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CC7566EA-2DBE-4CA7-8C46-D27DCFE60D95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Table'!$A$1:$CI$135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8" i="1" l="1"/>
  <c r="S126" i="2"/>
  <c r="H114" i="1"/>
  <c r="Z24" i="1"/>
  <c r="BJ130" i="1"/>
  <c r="BJ129" i="1"/>
  <c r="BJ128" i="1"/>
  <c r="BJ127" i="1"/>
  <c r="I20" i="3" l="1"/>
  <c r="BN134" i="1" l="1"/>
  <c r="BH134" i="1"/>
  <c r="BG134" i="1"/>
  <c r="BE134" i="1"/>
  <c r="AY134" i="1"/>
  <c r="AX134" i="1"/>
  <c r="AR134" i="1"/>
  <c r="AP134" i="1"/>
  <c r="AJ134" i="1"/>
  <c r="AI134" i="1"/>
  <c r="AA134" i="1"/>
  <c r="Y134" i="1"/>
  <c r="T134" i="1"/>
  <c r="S134" i="1"/>
  <c r="Q134" i="1"/>
  <c r="L134" i="1"/>
  <c r="K134" i="1"/>
  <c r="I134" i="1"/>
  <c r="BN133" i="1"/>
  <c r="BK133" i="1"/>
  <c r="BK134" i="1" s="1"/>
  <c r="BI133" i="1"/>
  <c r="BI134" i="1" s="1"/>
  <c r="BH133" i="1"/>
  <c r="BG133" i="1"/>
  <c r="BE133" i="1"/>
  <c r="BC133" i="1"/>
  <c r="BC134" i="1" s="1"/>
  <c r="BB133" i="1"/>
  <c r="BB134" i="1" s="1"/>
  <c r="BA133" i="1"/>
  <c r="BA134" i="1" s="1"/>
  <c r="AY133" i="1"/>
  <c r="AX133" i="1"/>
  <c r="AV133" i="1"/>
  <c r="AV134" i="1" s="1"/>
  <c r="AT133" i="1"/>
  <c r="AT134" i="1" s="1"/>
  <c r="AS133" i="1"/>
  <c r="AS134" i="1" s="1"/>
  <c r="AR133" i="1"/>
  <c r="AP133" i="1"/>
  <c r="AO133" i="1"/>
  <c r="AO134" i="1" s="1"/>
  <c r="AN133" i="1"/>
  <c r="AN134" i="1" s="1"/>
  <c r="AM133" i="1"/>
  <c r="AM134" i="1" s="1"/>
  <c r="AL133" i="1"/>
  <c r="AL134" i="1" s="1"/>
  <c r="AJ133" i="1"/>
  <c r="AI133" i="1"/>
  <c r="AE133" i="1"/>
  <c r="AE134" i="1" s="1"/>
  <c r="AC133" i="1"/>
  <c r="AC134" i="1" s="1"/>
  <c r="AA133" i="1"/>
  <c r="Y133" i="1"/>
  <c r="X133" i="1"/>
  <c r="X134" i="1" s="1"/>
  <c r="W133" i="1"/>
  <c r="W134" i="1" s="1"/>
  <c r="V133" i="1"/>
  <c r="V134" i="1" s="1"/>
  <c r="U133" i="1"/>
  <c r="U134" i="1" s="1"/>
  <c r="T133" i="1"/>
  <c r="S133" i="1"/>
  <c r="Q133" i="1"/>
  <c r="O133" i="1"/>
  <c r="O134" i="1" s="1"/>
  <c r="M133" i="1"/>
  <c r="M134" i="1" s="1"/>
  <c r="L133" i="1"/>
  <c r="K133" i="1"/>
  <c r="I133" i="1"/>
  <c r="D133" i="1"/>
  <c r="D134" i="1" s="1"/>
  <c r="BM125" i="1"/>
  <c r="BM133" i="1" s="1"/>
  <c r="BM134" i="1" s="1"/>
  <c r="BD125" i="1"/>
  <c r="BO125" i="1" s="1"/>
  <c r="BQ125" i="1" s="1"/>
  <c r="J145" i="1" s="1"/>
  <c r="AZ125" i="1"/>
  <c r="BJ125" i="1" s="1"/>
  <c r="BJ133" i="1" s="1"/>
  <c r="BJ134" i="1" s="1"/>
  <c r="AW125" i="1"/>
  <c r="AW133" i="1" s="1"/>
  <c r="AW134" i="1" s="1"/>
  <c r="AK125" i="1"/>
  <c r="AQ125" i="1" s="1"/>
  <c r="AQ133" i="1" s="1"/>
  <c r="AQ134" i="1" s="1"/>
  <c r="AG125" i="1"/>
  <c r="AG133" i="1" s="1"/>
  <c r="AF125" i="1"/>
  <c r="AH125" i="1" s="1"/>
  <c r="AH133" i="1" s="1"/>
  <c r="P125" i="1"/>
  <c r="R125" i="1" s="1"/>
  <c r="R133" i="1" s="1"/>
  <c r="R134" i="1" s="1"/>
  <c r="W126" i="2"/>
  <c r="W127" i="2" s="1"/>
  <c r="W128" i="2" s="1"/>
  <c r="W129" i="2" s="1"/>
  <c r="W130" i="2" s="1"/>
  <c r="W131" i="2" s="1"/>
  <c r="W132" i="2" s="1"/>
  <c r="W133" i="2" s="1"/>
  <c r="W134" i="2" s="1"/>
  <c r="W135" i="2" s="1"/>
  <c r="W136" i="2" s="1"/>
  <c r="K126" i="2"/>
  <c r="M126" i="2" s="1"/>
  <c r="C126" i="2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BD133" i="1" l="1"/>
  <c r="BD134" i="1" s="1"/>
  <c r="AK133" i="1"/>
  <c r="AK134" i="1" s="1"/>
  <c r="AZ133" i="1"/>
  <c r="AZ134" i="1" s="1"/>
  <c r="AF133" i="1"/>
  <c r="BF125" i="1"/>
  <c r="BF133" i="1" s="1"/>
  <c r="BF134" i="1" s="1"/>
  <c r="P133" i="1"/>
  <c r="P134" i="1" s="1"/>
  <c r="BO133" i="1"/>
  <c r="BO134" i="1" s="1"/>
  <c r="BL125" i="1"/>
  <c r="BL133" i="1" s="1"/>
  <c r="BL134" i="1" s="1"/>
  <c r="U126" i="2"/>
  <c r="Q126" i="2"/>
  <c r="S125" i="2" l="1"/>
  <c r="AG128" i="1"/>
  <c r="AG129" i="1" s="1"/>
  <c r="AQ151" i="1"/>
  <c r="AQ154" i="1"/>
  <c r="AU148" i="1"/>
  <c r="AQ148" i="1"/>
  <c r="AO148" i="1"/>
  <c r="AG49" i="1"/>
  <c r="AG50" i="1"/>
  <c r="AG51" i="1"/>
  <c r="AU150" i="1"/>
  <c r="AU149" i="1"/>
  <c r="AQ150" i="1"/>
  <c r="AO150" i="1"/>
  <c r="AQ149" i="1"/>
  <c r="AO149" i="1"/>
  <c r="AG115" i="1"/>
  <c r="AG114" i="1"/>
  <c r="AG113" i="1"/>
  <c r="AO152" i="1"/>
  <c r="AQ152" i="1"/>
  <c r="AG124" i="1"/>
  <c r="AF84" i="1"/>
  <c r="AF83" i="1"/>
  <c r="AF85" i="1" s="1"/>
  <c r="BM124" i="1"/>
  <c r="BD124" i="1"/>
  <c r="AZ124" i="1"/>
  <c r="BJ124" i="1" s="1"/>
  <c r="AW124" i="1"/>
  <c r="AK124" i="1"/>
  <c r="AF124" i="1"/>
  <c r="AF134" i="1" s="1"/>
  <c r="P124" i="1"/>
  <c r="K125" i="2"/>
  <c r="Q125" i="2" s="1"/>
  <c r="S124" i="2"/>
  <c r="AO151" i="1" l="1"/>
  <c r="AG134" i="1"/>
  <c r="AU152" i="1"/>
  <c r="AQ155" i="1"/>
  <c r="AQ156" i="1" s="1"/>
  <c r="AU156" i="1" s="1"/>
  <c r="AH124" i="1"/>
  <c r="AH134" i="1" s="1"/>
  <c r="AF128" i="1"/>
  <c r="AF129" i="1" s="1"/>
  <c r="AU151" i="1"/>
  <c r="AG126" i="1"/>
  <c r="BF124" i="1"/>
  <c r="AQ124" i="1"/>
  <c r="BO124" i="1"/>
  <c r="BL124" i="1"/>
  <c r="R124" i="1"/>
  <c r="U125" i="2"/>
  <c r="M125" i="2"/>
  <c r="BQ124" i="1" l="1"/>
  <c r="BM123" i="1"/>
  <c r="BD123" i="1"/>
  <c r="AZ123" i="1"/>
  <c r="BF123" i="1" s="1"/>
  <c r="AW123" i="1"/>
  <c r="AK123" i="1"/>
  <c r="AQ123" i="1" s="1"/>
  <c r="P123" i="1"/>
  <c r="S138" i="2"/>
  <c r="R138" i="2"/>
  <c r="P138" i="2"/>
  <c r="O138" i="2"/>
  <c r="N138" i="2"/>
  <c r="L138" i="2"/>
  <c r="J138" i="2"/>
  <c r="I138" i="2"/>
  <c r="H138" i="2"/>
  <c r="G138" i="2"/>
  <c r="E138" i="2"/>
  <c r="K124" i="2"/>
  <c r="Q124" i="2" s="1"/>
  <c r="Q138" i="2" s="1"/>
  <c r="K138" i="2" l="1"/>
  <c r="BO123" i="1"/>
  <c r="BQ123" i="1" s="1"/>
  <c r="BJ123" i="1"/>
  <c r="U124" i="2"/>
  <c r="M124" i="2"/>
  <c r="M138" i="2" s="1"/>
  <c r="S123" i="2"/>
  <c r="BL123" i="1" l="1"/>
  <c r="BV122" i="1"/>
  <c r="AW122" i="1" s="1"/>
  <c r="BD122" i="1"/>
  <c r="BO122" i="1" s="1"/>
  <c r="BQ122" i="1" s="1"/>
  <c r="AZ122" i="1"/>
  <c r="BJ122" i="1" s="1"/>
  <c r="AK122" i="1"/>
  <c r="AQ122" i="1" s="1"/>
  <c r="P122" i="1"/>
  <c r="B122" i="1"/>
  <c r="B123" i="1" s="1"/>
  <c r="B124" i="1" s="1"/>
  <c r="B125" i="1" s="1"/>
  <c r="B126" i="1" s="1"/>
  <c r="B127" i="1" s="1"/>
  <c r="B128" i="1" s="1"/>
  <c r="B129" i="1" s="1"/>
  <c r="B130" i="1" s="1"/>
  <c r="B131" i="1" s="1"/>
  <c r="K123" i="2"/>
  <c r="Q123" i="2" s="1"/>
  <c r="BL122" i="1" l="1"/>
  <c r="BV123" i="1"/>
  <c r="BV124" i="1" s="1"/>
  <c r="BV125" i="1" s="1"/>
  <c r="BV126" i="1" s="1"/>
  <c r="BV127" i="1" s="1"/>
  <c r="BV128" i="1" s="1"/>
  <c r="BV129" i="1" s="1"/>
  <c r="BV130" i="1" s="1"/>
  <c r="BV131" i="1" s="1"/>
  <c r="BF122" i="1"/>
  <c r="BM122" i="1"/>
  <c r="U123" i="2"/>
  <c r="M123" i="2"/>
  <c r="S122" i="2"/>
  <c r="D168" i="1"/>
  <c r="BD121" i="1"/>
  <c r="AZ121" i="1"/>
  <c r="BJ121" i="1" s="1"/>
  <c r="AK121" i="1"/>
  <c r="AQ121" i="1" s="1"/>
  <c r="P121" i="1"/>
  <c r="K122" i="2"/>
  <c r="M122" i="2" s="1"/>
  <c r="BF121" i="1" l="1"/>
  <c r="BL121" i="1"/>
  <c r="U122" i="2"/>
  <c r="Q122" i="2"/>
  <c r="E121" i="2" l="1"/>
  <c r="S121" i="2"/>
  <c r="G134" i="1" l="1"/>
  <c r="F134" i="1"/>
  <c r="E134" i="1"/>
  <c r="G133" i="1"/>
  <c r="F133" i="1"/>
  <c r="E133" i="1"/>
  <c r="BD120" i="1"/>
  <c r="AZ120" i="1"/>
  <c r="BJ120" i="1" s="1"/>
  <c r="AK120" i="1"/>
  <c r="AQ120" i="1" s="1"/>
  <c r="P120" i="1"/>
  <c r="K121" i="2"/>
  <c r="Q121" i="2" s="1"/>
  <c r="BF120" i="1" l="1"/>
  <c r="BL120" i="1"/>
  <c r="U121" i="2"/>
  <c r="M121" i="2"/>
  <c r="D118" i="1" l="1"/>
  <c r="D116" i="1"/>
  <c r="D115" i="1"/>
  <c r="D114" i="1"/>
  <c r="S120" i="2" l="1"/>
  <c r="BD119" i="1" l="1"/>
  <c r="AZ119" i="1"/>
  <c r="BJ119" i="1" s="1"/>
  <c r="AK119" i="1"/>
  <c r="AQ119" i="1" s="1"/>
  <c r="P119" i="1"/>
  <c r="K120" i="2"/>
  <c r="Q120" i="2" s="1"/>
  <c r="BF119" i="1" l="1"/>
  <c r="BL119" i="1"/>
  <c r="U120" i="2"/>
  <c r="M120" i="2"/>
  <c r="S119" i="2"/>
  <c r="BD118" i="1" l="1"/>
  <c r="AZ118" i="1"/>
  <c r="BJ118" i="1" s="1"/>
  <c r="AK118" i="1"/>
  <c r="AQ118" i="1" s="1"/>
  <c r="P118" i="1"/>
  <c r="K119" i="2"/>
  <c r="Q119" i="2" s="1"/>
  <c r="BF118" i="1" l="1"/>
  <c r="BL118" i="1"/>
  <c r="U119" i="2"/>
  <c r="M119" i="2"/>
  <c r="S118" i="2" l="1"/>
  <c r="K118" i="2"/>
  <c r="Q118" i="2" s="1"/>
  <c r="BD117" i="1"/>
  <c r="AZ117" i="1"/>
  <c r="BJ117" i="1" s="1"/>
  <c r="AK117" i="1"/>
  <c r="AQ117" i="1" s="1"/>
  <c r="AF117" i="1"/>
  <c r="AH117" i="1" s="1"/>
  <c r="P117" i="1"/>
  <c r="U118" i="2" l="1"/>
  <c r="M118" i="2"/>
  <c r="BL117" i="1"/>
  <c r="R117" i="1"/>
  <c r="BF117" i="1"/>
  <c r="BD116" i="1"/>
  <c r="BF116" i="1" s="1"/>
  <c r="AZ116" i="1"/>
  <c r="AK116" i="1"/>
  <c r="AQ116" i="1" s="1"/>
  <c r="S117" i="2"/>
  <c r="K117" i="2"/>
  <c r="Q117" i="2" s="1"/>
  <c r="S116" i="2"/>
  <c r="K116" i="2"/>
  <c r="Q116" i="2" s="1"/>
  <c r="BD115" i="1"/>
  <c r="AZ115" i="1"/>
  <c r="AK115" i="1"/>
  <c r="AQ115" i="1" s="1"/>
  <c r="U73" i="3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S115" i="2"/>
  <c r="U117" i="2" l="1"/>
  <c r="M117" i="2"/>
  <c r="U116" i="2"/>
  <c r="M116" i="2"/>
  <c r="BF115" i="1"/>
  <c r="BD114" i="1" l="1"/>
  <c r="AZ114" i="1"/>
  <c r="AK114" i="1"/>
  <c r="AQ114" i="1" s="1"/>
  <c r="K115" i="2"/>
  <c r="M115" i="2" s="1"/>
  <c r="S114" i="2"/>
  <c r="Q115" i="2" l="1"/>
  <c r="U115" i="2"/>
  <c r="BF114" i="1"/>
  <c r="BD113" i="1" l="1"/>
  <c r="AZ113" i="1"/>
  <c r="AK113" i="1"/>
  <c r="K114" i="2"/>
  <c r="AQ113" i="1" l="1"/>
  <c r="BF113" i="1"/>
  <c r="U114" i="2"/>
  <c r="S113" i="2" l="1"/>
  <c r="BD112" i="1"/>
  <c r="AZ112" i="1"/>
  <c r="AK112" i="1"/>
  <c r="K113" i="2"/>
  <c r="M114" i="2" l="1"/>
  <c r="Q114" i="2"/>
  <c r="AQ112" i="1"/>
  <c r="BF112" i="1"/>
  <c r="U113" i="2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S112" i="2" l="1"/>
  <c r="BD111" i="1" l="1"/>
  <c r="K112" i="2"/>
  <c r="Q113" i="2" l="1"/>
  <c r="M113" i="2"/>
  <c r="U112" i="2"/>
  <c r="Q112" i="2"/>
  <c r="S111" i="2"/>
  <c r="AO110" i="1"/>
  <c r="BB110" i="1"/>
  <c r="K111" i="2"/>
  <c r="BD110" i="1"/>
  <c r="AF110" i="1"/>
  <c r="P110" i="1"/>
  <c r="BD109" i="1"/>
  <c r="AZ109" i="1"/>
  <c r="AK109" i="1"/>
  <c r="AQ109" i="1" s="1"/>
  <c r="S110" i="2"/>
  <c r="K110" i="2"/>
  <c r="S109" i="2"/>
  <c r="U70" i="3"/>
  <c r="U71" i="3" s="1"/>
  <c r="U72" i="3" s="1"/>
  <c r="Q111" i="2" l="1"/>
  <c r="M112" i="2"/>
  <c r="AZ111" i="1"/>
  <c r="AK110" i="1"/>
  <c r="AQ110" i="1" s="1"/>
  <c r="AK111" i="1"/>
  <c r="AZ110" i="1"/>
  <c r="U111" i="2"/>
  <c r="M111" i="2"/>
  <c r="BF109" i="1"/>
  <c r="U110" i="2"/>
  <c r="K109" i="2"/>
  <c r="BD108" i="1"/>
  <c r="AZ108" i="1"/>
  <c r="AK108" i="1"/>
  <c r="AQ108" i="1" s="1"/>
  <c r="Q110" i="2" l="1"/>
  <c r="M110" i="2"/>
  <c r="AQ111" i="1"/>
  <c r="BF111" i="1"/>
  <c r="BF110" i="1"/>
  <c r="U109" i="2"/>
  <c r="BF108" i="1"/>
  <c r="S108" i="2" l="1"/>
  <c r="BD107" i="1" l="1"/>
  <c r="AK107" i="1"/>
  <c r="AQ107" i="1" s="1"/>
  <c r="K108" i="2"/>
  <c r="AA61" i="3"/>
  <c r="BB106" i="1"/>
  <c r="AZ107" i="1" s="1"/>
  <c r="AA105" i="3"/>
  <c r="AA104" i="3"/>
  <c r="AA103" i="3"/>
  <c r="AA102" i="3"/>
  <c r="AA101" i="3"/>
  <c r="AA100" i="3"/>
  <c r="AA99" i="3"/>
  <c r="AA98" i="3"/>
  <c r="AA97" i="3"/>
  <c r="AA96" i="3"/>
  <c r="AA106" i="3" s="1"/>
  <c r="AA109" i="3" s="1"/>
  <c r="AJ106" i="3"/>
  <c r="AJ109" i="3" s="1"/>
  <c r="Y106" i="3"/>
  <c r="W106" i="3"/>
  <c r="U106" i="3" s="1"/>
  <c r="S107" i="2"/>
  <c r="Q109" i="2" l="1"/>
  <c r="M109" i="2"/>
  <c r="BF107" i="1"/>
  <c r="U108" i="2"/>
  <c r="M108" i="2"/>
  <c r="BD106" i="1"/>
  <c r="AZ106" i="1"/>
  <c r="AK106" i="1"/>
  <c r="AQ106" i="1" s="1"/>
  <c r="K107" i="2"/>
  <c r="Q108" i="2" s="1"/>
  <c r="BF106" i="1" l="1"/>
  <c r="U107" i="2"/>
  <c r="S106" i="2" l="1"/>
  <c r="BD105" i="1"/>
  <c r="AZ105" i="1"/>
  <c r="AK105" i="1"/>
  <c r="AQ105" i="1" s="1"/>
  <c r="K106" i="2"/>
  <c r="S105" i="2"/>
  <c r="Q107" i="2" l="1"/>
  <c r="M107" i="2"/>
  <c r="BF105" i="1"/>
  <c r="U106" i="2"/>
  <c r="BD104" i="1" l="1"/>
  <c r="AZ104" i="1"/>
  <c r="BJ110" i="1" s="1"/>
  <c r="BL110" i="1" s="1"/>
  <c r="AK104" i="1"/>
  <c r="AQ104" i="1" s="1"/>
  <c r="K105" i="2"/>
  <c r="Q106" i="2" l="1"/>
  <c r="M106" i="2"/>
  <c r="BF104" i="1"/>
  <c r="U105" i="2"/>
  <c r="S104" i="2"/>
  <c r="K104" i="2"/>
  <c r="M105" i="2" s="1"/>
  <c r="BD103" i="1"/>
  <c r="AZ103" i="1"/>
  <c r="AK103" i="1"/>
  <c r="AQ103" i="1" s="1"/>
  <c r="AF103" i="1"/>
  <c r="P103" i="1"/>
  <c r="R110" i="1" s="1"/>
  <c r="S103" i="2"/>
  <c r="Q105" i="2" l="1"/>
  <c r="AH110" i="1"/>
  <c r="U104" i="2"/>
  <c r="BF103" i="1"/>
  <c r="BD102" i="1"/>
  <c r="AZ102" i="1"/>
  <c r="AK102" i="1"/>
  <c r="AQ102" i="1" s="1"/>
  <c r="K103" i="2"/>
  <c r="Q104" i="2" s="1"/>
  <c r="S102" i="2"/>
  <c r="BD101" i="1"/>
  <c r="AZ101" i="1"/>
  <c r="AK101" i="1"/>
  <c r="AQ101" i="1" s="1"/>
  <c r="S101" i="2"/>
  <c r="K102" i="2"/>
  <c r="M104" i="2" l="1"/>
  <c r="Q103" i="2"/>
  <c r="BF102" i="1"/>
  <c r="U103" i="2"/>
  <c r="M103" i="2"/>
  <c r="BF101" i="1"/>
  <c r="U102" i="2"/>
  <c r="BD100" i="1" l="1"/>
  <c r="AZ100" i="1"/>
  <c r="AK100" i="1"/>
  <c r="K101" i="2"/>
  <c r="S100" i="2"/>
  <c r="Q102" i="2" l="1"/>
  <c r="M102" i="2"/>
  <c r="AQ100" i="1"/>
  <c r="BF100" i="1"/>
  <c r="U101" i="2"/>
  <c r="BD99" i="1"/>
  <c r="AZ99" i="1"/>
  <c r="AK99" i="1"/>
  <c r="AQ99" i="1" s="1"/>
  <c r="K100" i="2"/>
  <c r="Q101" i="2" l="1"/>
  <c r="M101" i="2"/>
  <c r="BF99" i="1"/>
  <c r="U100" i="2"/>
  <c r="S99" i="2" l="1"/>
  <c r="BD98" i="1"/>
  <c r="AZ98" i="1"/>
  <c r="AK98" i="1"/>
  <c r="AQ98" i="1" s="1"/>
  <c r="K99" i="2"/>
  <c r="M100" i="2" l="1"/>
  <c r="Q100" i="2"/>
  <c r="BF98" i="1"/>
  <c r="U99" i="2"/>
  <c r="S98" i="2"/>
  <c r="BD97" i="1" l="1"/>
  <c r="AZ97" i="1"/>
  <c r="AK97" i="1"/>
  <c r="AQ97" i="1" s="1"/>
  <c r="K98" i="2"/>
  <c r="Q99" i="2" l="1"/>
  <c r="M99" i="2"/>
  <c r="BJ103" i="1"/>
  <c r="BL103" i="1" s="1"/>
  <c r="BF97" i="1"/>
  <c r="U98" i="2"/>
  <c r="P96" i="1" l="1"/>
  <c r="BD96" i="1"/>
  <c r="AZ96" i="1"/>
  <c r="AK96" i="1"/>
  <c r="AQ96" i="1" s="1"/>
  <c r="AF96" i="1"/>
  <c r="S97" i="2"/>
  <c r="K97" i="2"/>
  <c r="S96" i="2"/>
  <c r="K96" i="2"/>
  <c r="AH103" i="1" l="1"/>
  <c r="R103" i="1"/>
  <c r="Q97" i="2"/>
  <c r="Q98" i="2"/>
  <c r="M98" i="2"/>
  <c r="BF96" i="1"/>
  <c r="U97" i="2"/>
  <c r="M97" i="2"/>
  <c r="U96" i="2"/>
  <c r="BD95" i="1" l="1"/>
  <c r="AZ95" i="1"/>
  <c r="AK95" i="1"/>
  <c r="AQ95" i="1" s="1"/>
  <c r="S95" i="2"/>
  <c r="BF95" i="1" l="1"/>
  <c r="D152" i="1"/>
  <c r="BD94" i="1"/>
  <c r="AZ94" i="1"/>
  <c r="AK94" i="1"/>
  <c r="AQ94" i="1" s="1"/>
  <c r="K95" i="2"/>
  <c r="Q96" i="2" l="1"/>
  <c r="M96" i="2"/>
  <c r="BF94" i="1"/>
  <c r="U95" i="2"/>
  <c r="S94" i="2" l="1"/>
  <c r="BD93" i="1" l="1"/>
  <c r="AZ93" i="1"/>
  <c r="AK93" i="1"/>
  <c r="AQ93" i="1" s="1"/>
  <c r="K94" i="2"/>
  <c r="M95" i="2" l="1"/>
  <c r="Q95" i="2"/>
  <c r="BF93" i="1"/>
  <c r="U94" i="2"/>
  <c r="S93" i="2"/>
  <c r="K93" i="2"/>
  <c r="BD92" i="1"/>
  <c r="AZ92" i="1"/>
  <c r="AK92" i="1"/>
  <c r="AQ92" i="1" s="1"/>
  <c r="M94" i="2" l="1"/>
  <c r="Q94" i="2"/>
  <c r="U93" i="2"/>
  <c r="BF92" i="1"/>
  <c r="S92" i="2" l="1"/>
  <c r="BD91" i="1" l="1"/>
  <c r="AZ91" i="1"/>
  <c r="AK91" i="1"/>
  <c r="AQ91" i="1" s="1"/>
  <c r="K92" i="2"/>
  <c r="M93" i="2" l="1"/>
  <c r="Q93" i="2"/>
  <c r="BF91" i="1"/>
  <c r="U92" i="2"/>
  <c r="S91" i="2"/>
  <c r="BD90" i="1" l="1"/>
  <c r="AZ90" i="1"/>
  <c r="BJ96" i="1" s="1"/>
  <c r="BL96" i="1" s="1"/>
  <c r="AK90" i="1"/>
  <c r="AQ90" i="1" s="1"/>
  <c r="K91" i="2"/>
  <c r="Q92" i="2" l="1"/>
  <c r="M92" i="2"/>
  <c r="BF90" i="1"/>
  <c r="U91" i="2"/>
  <c r="S89" i="2"/>
  <c r="S90" i="2"/>
  <c r="K90" i="2"/>
  <c r="M91" i="2" s="1"/>
  <c r="AF75" i="1"/>
  <c r="AF68" i="1"/>
  <c r="AF61" i="1"/>
  <c r="AF47" i="1"/>
  <c r="AF40" i="1"/>
  <c r="P82" i="1"/>
  <c r="R82" i="1" s="1"/>
  <c r="P75" i="1"/>
  <c r="P61" i="1"/>
  <c r="P54" i="1"/>
  <c r="R54" i="1" s="1"/>
  <c r="P47" i="1"/>
  <c r="P40" i="1"/>
  <c r="P33" i="1"/>
  <c r="BD89" i="1"/>
  <c r="AZ89" i="1"/>
  <c r="AK89" i="1"/>
  <c r="AQ89" i="1" s="1"/>
  <c r="AF89" i="1"/>
  <c r="AH96" i="1" s="1"/>
  <c r="P89" i="1"/>
  <c r="R89" i="1" l="1"/>
  <c r="R96" i="1"/>
  <c r="R40" i="1"/>
  <c r="AH68" i="1"/>
  <c r="R61" i="1"/>
  <c r="AH47" i="1"/>
  <c r="R47" i="1"/>
  <c r="AH75" i="1"/>
  <c r="Q91" i="2"/>
  <c r="U90" i="2"/>
  <c r="BF89" i="1"/>
  <c r="BD88" i="1"/>
  <c r="AZ88" i="1"/>
  <c r="AK88" i="1"/>
  <c r="AQ88" i="1" s="1"/>
  <c r="K89" i="2"/>
  <c r="Q90" i="2" l="1"/>
  <c r="M90" i="2"/>
  <c r="BF88" i="1"/>
  <c r="U89" i="2"/>
  <c r="S88" i="2"/>
  <c r="BD87" i="1" l="1"/>
  <c r="AZ87" i="1"/>
  <c r="AK87" i="1"/>
  <c r="AQ87" i="1" s="1"/>
  <c r="K88" i="2"/>
  <c r="Q89" i="2" l="1"/>
  <c r="M89" i="2"/>
  <c r="BF87" i="1"/>
  <c r="U88" i="2"/>
  <c r="S87" i="2"/>
  <c r="K87" i="2"/>
  <c r="Q88" i="2" s="1"/>
  <c r="BD86" i="1"/>
  <c r="AZ86" i="1"/>
  <c r="AK86" i="1"/>
  <c r="AQ86" i="1" s="1"/>
  <c r="U87" i="2" l="1"/>
  <c r="M88" i="2"/>
  <c r="BF86" i="1"/>
  <c r="S86" i="2"/>
  <c r="BD85" i="1" l="1"/>
  <c r="AZ85" i="1"/>
  <c r="AK85" i="1"/>
  <c r="AQ85" i="1" s="1"/>
  <c r="K86" i="2"/>
  <c r="Q87" i="2" l="1"/>
  <c r="M87" i="2"/>
  <c r="BF85" i="1"/>
  <c r="U86" i="2"/>
  <c r="S85" i="2"/>
  <c r="K85" i="2" l="1"/>
  <c r="BD84" i="1"/>
  <c r="AZ84" i="1"/>
  <c r="AK84" i="1"/>
  <c r="AQ84" i="1" s="1"/>
  <c r="Q86" i="2" l="1"/>
  <c r="M86" i="2"/>
  <c r="U85" i="2"/>
  <c r="BF84" i="1"/>
  <c r="BD83" i="1" l="1"/>
  <c r="AZ83" i="1"/>
  <c r="BJ89" i="1" s="1"/>
  <c r="BL89" i="1" s="1"/>
  <c r="AK83" i="1"/>
  <c r="AQ83" i="1" s="1"/>
  <c r="S84" i="2"/>
  <c r="K84" i="2"/>
  <c r="F117" i="3"/>
  <c r="F120" i="3" s="1"/>
  <c r="S83" i="2"/>
  <c r="Q85" i="2" l="1"/>
  <c r="M85" i="2"/>
  <c r="BF83" i="1"/>
  <c r="U84" i="2"/>
  <c r="V78" i="1" l="1"/>
  <c r="AF82" i="1" s="1"/>
  <c r="K83" i="2"/>
  <c r="BD82" i="1"/>
  <c r="AZ82" i="1"/>
  <c r="AK82" i="1"/>
  <c r="S82" i="2"/>
  <c r="K82" i="2"/>
  <c r="BD81" i="1"/>
  <c r="AZ81" i="1"/>
  <c r="AK81" i="1"/>
  <c r="AH82" i="1" l="1"/>
  <c r="AH89" i="1"/>
  <c r="U83" i="2"/>
  <c r="Q84" i="2"/>
  <c r="M84" i="2"/>
  <c r="AQ82" i="1"/>
  <c r="BF82" i="1"/>
  <c r="M83" i="2"/>
  <c r="Q83" i="2"/>
  <c r="U82" i="2"/>
  <c r="AQ81" i="1"/>
  <c r="BF81" i="1"/>
  <c r="AK80" i="1"/>
  <c r="AQ80" i="1" s="1"/>
  <c r="S81" i="2"/>
  <c r="K81" i="2"/>
  <c r="M82" i="2" s="1"/>
  <c r="BD80" i="1"/>
  <c r="AZ80" i="1"/>
  <c r="U81" i="2" l="1"/>
  <c r="Q82" i="2"/>
  <c r="BF80" i="1"/>
  <c r="S80" i="2"/>
  <c r="K80" i="2"/>
  <c r="BD79" i="1"/>
  <c r="AZ79" i="1"/>
  <c r="AK79" i="1"/>
  <c r="U80" i="2" l="1"/>
  <c r="Q81" i="2"/>
  <c r="M81" i="2"/>
  <c r="AQ79" i="1"/>
  <c r="BF79" i="1"/>
  <c r="S79" i="2"/>
  <c r="K79" i="2" l="1"/>
  <c r="BD78" i="1"/>
  <c r="AZ78" i="1"/>
  <c r="AK78" i="1"/>
  <c r="AQ78" i="1" s="1"/>
  <c r="M80" i="2" l="1"/>
  <c r="Q80" i="2"/>
  <c r="U79" i="2"/>
  <c r="BF78" i="1"/>
  <c r="S78" i="2" l="1"/>
  <c r="BD77" i="1"/>
  <c r="AZ77" i="1"/>
  <c r="AK77" i="1"/>
  <c r="AQ77" i="1" s="1"/>
  <c r="K78" i="2"/>
  <c r="Q79" i="2" l="1"/>
  <c r="M79" i="2"/>
  <c r="BF77" i="1"/>
  <c r="U78" i="2"/>
  <c r="BD76" i="1"/>
  <c r="AZ76" i="1"/>
  <c r="BJ82" i="1" s="1"/>
  <c r="AK76" i="1"/>
  <c r="AQ76" i="1" s="1"/>
  <c r="S77" i="2"/>
  <c r="K77" i="2"/>
  <c r="Q78" i="2" s="1"/>
  <c r="M78" i="2" l="1"/>
  <c r="BL82" i="1"/>
  <c r="BJ136" i="1"/>
  <c r="BF76" i="1"/>
  <c r="U77" i="2"/>
  <c r="S76" i="2"/>
  <c r="BD75" i="1" l="1"/>
  <c r="AZ75" i="1"/>
  <c r="AK75" i="1"/>
  <c r="AQ75" i="1" s="1"/>
  <c r="K76" i="2"/>
  <c r="Q77" i="2" l="1"/>
  <c r="M77" i="2"/>
  <c r="BF75" i="1"/>
  <c r="U76" i="2"/>
  <c r="S75" i="2" l="1"/>
  <c r="BD74" i="1"/>
  <c r="AZ74" i="1"/>
  <c r="AK74" i="1"/>
  <c r="AQ74" i="1" s="1"/>
  <c r="K75" i="2"/>
  <c r="M76" i="2" l="1"/>
  <c r="Q76" i="2"/>
  <c r="BF74" i="1"/>
  <c r="U75" i="2"/>
  <c r="S74" i="2"/>
  <c r="K74" i="2"/>
  <c r="BD73" i="1"/>
  <c r="AZ73" i="1"/>
  <c r="AK73" i="1"/>
  <c r="M75" i="2" l="1"/>
  <c r="Q75" i="2"/>
  <c r="AQ73" i="1"/>
  <c r="U74" i="2"/>
  <c r="BF73" i="1"/>
  <c r="D149" i="1"/>
  <c r="I60" i="3"/>
  <c r="S73" i="2" l="1"/>
  <c r="K73" i="2"/>
  <c r="S72" i="2"/>
  <c r="BD72" i="1"/>
  <c r="AZ72" i="1"/>
  <c r="AK72" i="1"/>
  <c r="AQ72" i="1" s="1"/>
  <c r="Q74" i="2" l="1"/>
  <c r="M74" i="2"/>
  <c r="BF72" i="1"/>
  <c r="U73" i="2"/>
  <c r="K72" i="2"/>
  <c r="BD71" i="1"/>
  <c r="AZ71" i="1"/>
  <c r="AK71" i="1"/>
  <c r="AQ71" i="1" s="1"/>
  <c r="M73" i="2" l="1"/>
  <c r="Q73" i="2"/>
  <c r="U72" i="2"/>
  <c r="BF71" i="1"/>
  <c r="S71" i="2"/>
  <c r="K71" i="2"/>
  <c r="M72" i="2" l="1"/>
  <c r="Q72" i="2"/>
  <c r="U71" i="2"/>
  <c r="BD70" i="1"/>
  <c r="AZ70" i="1"/>
  <c r="AK70" i="1"/>
  <c r="AQ70" i="1" s="1"/>
  <c r="BF70" i="1" l="1"/>
  <c r="S70" i="2"/>
  <c r="K70" i="2" l="1"/>
  <c r="BD69" i="1"/>
  <c r="AZ69" i="1"/>
  <c r="BJ75" i="1" s="1"/>
  <c r="BL75" i="1" s="1"/>
  <c r="AK69" i="1"/>
  <c r="AQ69" i="1" s="1"/>
  <c r="Q71" i="2" l="1"/>
  <c r="M71" i="2"/>
  <c r="U70" i="2"/>
  <c r="BF69" i="1"/>
  <c r="S69" i="2"/>
  <c r="K69" i="2" l="1"/>
  <c r="BD68" i="1"/>
  <c r="AZ68" i="1"/>
  <c r="AK68" i="1"/>
  <c r="AQ68" i="1" s="1"/>
  <c r="Q70" i="2" l="1"/>
  <c r="M70" i="2"/>
  <c r="U69" i="2"/>
  <c r="BF68" i="1"/>
  <c r="S68" i="2"/>
  <c r="D65" i="1"/>
  <c r="P68" i="1" s="1"/>
  <c r="K68" i="2"/>
  <c r="M69" i="2" s="1"/>
  <c r="BD67" i="1"/>
  <c r="AZ67" i="1"/>
  <c r="AK67" i="1"/>
  <c r="R68" i="1" l="1"/>
  <c r="R75" i="1"/>
  <c r="Q69" i="2"/>
  <c r="AQ67" i="1"/>
  <c r="U68" i="2"/>
  <c r="BF67" i="1"/>
  <c r="D161" i="1" l="1"/>
  <c r="S67" i="2"/>
  <c r="K67" i="2"/>
  <c r="BD66" i="1"/>
  <c r="AZ66" i="1"/>
  <c r="AK66" i="1"/>
  <c r="AQ66" i="1" s="1"/>
  <c r="M68" i="2" l="1"/>
  <c r="Q68" i="2"/>
  <c r="U67" i="2"/>
  <c r="BF66" i="1"/>
  <c r="S66" i="2"/>
  <c r="K66" i="2" l="1"/>
  <c r="BD65" i="1"/>
  <c r="AZ65" i="1"/>
  <c r="AK65" i="1"/>
  <c r="Q67" i="2" l="1"/>
  <c r="M67" i="2"/>
  <c r="AQ65" i="1"/>
  <c r="U66" i="2"/>
  <c r="BF65" i="1"/>
  <c r="S65" i="2" l="1"/>
  <c r="I89" i="3" l="1"/>
  <c r="I86" i="3"/>
  <c r="L86" i="3" s="1"/>
  <c r="I78" i="3"/>
  <c r="I80" i="3" s="1"/>
  <c r="I77" i="3"/>
  <c r="BD64" i="1"/>
  <c r="AZ64" i="1"/>
  <c r="AK64" i="1"/>
  <c r="AQ64" i="1" s="1"/>
  <c r="K65" i="2"/>
  <c r="Y19" i="3"/>
  <c r="Q66" i="2" l="1"/>
  <c r="M66" i="2"/>
  <c r="L89" i="3"/>
  <c r="I79" i="3"/>
  <c r="I81" i="3" s="1"/>
  <c r="I82" i="3" s="1"/>
  <c r="BF64" i="1"/>
  <c r="U65" i="2"/>
  <c r="S64" i="2"/>
  <c r="N81" i="3" l="1"/>
  <c r="N82" i="3" s="1"/>
  <c r="I88" i="3"/>
  <c r="L88" i="3" s="1"/>
  <c r="K64" i="2"/>
  <c r="BD63" i="1"/>
  <c r="AZ63" i="1"/>
  <c r="AK63" i="1"/>
  <c r="AQ63" i="1" s="1"/>
  <c r="Y18" i="3"/>
  <c r="Q65" i="2" l="1"/>
  <c r="M65" i="2"/>
  <c r="I90" i="3"/>
  <c r="P90" i="3" s="1"/>
  <c r="U64" i="2"/>
  <c r="BF63" i="1"/>
  <c r="L97" i="3" l="1"/>
  <c r="L90" i="3"/>
  <c r="L96" i="3"/>
  <c r="S63" i="2"/>
  <c r="BD62" i="1"/>
  <c r="AZ62" i="1"/>
  <c r="BJ68" i="1" s="1"/>
  <c r="BL68" i="1" s="1"/>
  <c r="AK62" i="1"/>
  <c r="AQ62" i="1" s="1"/>
  <c r="K63" i="2"/>
  <c r="Y17" i="3"/>
  <c r="Q64" i="2" l="1"/>
  <c r="M64" i="2"/>
  <c r="BF62" i="1"/>
  <c r="U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Y16" i="3"/>
  <c r="M63" i="2" l="1"/>
  <c r="Q63" i="2"/>
  <c r="BF61" i="1"/>
  <c r="U62" i="2"/>
  <c r="S61" i="2"/>
  <c r="Y15" i="3" l="1"/>
  <c r="K61" i="2"/>
  <c r="Q62" i="2" l="1"/>
  <c r="M62" i="2"/>
  <c r="U61" i="2"/>
  <c r="BD60" i="1"/>
  <c r="AZ60" i="1"/>
  <c r="AK60" i="1"/>
  <c r="I58" i="3"/>
  <c r="I55" i="3"/>
  <c r="L55" i="3" l="1"/>
  <c r="L58" i="3"/>
  <c r="AQ60" i="1"/>
  <c r="BF60" i="1"/>
  <c r="S60" i="2"/>
  <c r="T138" i="2"/>
  <c r="S59" i="2"/>
  <c r="K60" i="2"/>
  <c r="BD59" i="1"/>
  <c r="AZ59" i="1"/>
  <c r="AK59" i="1"/>
  <c r="AQ59" i="1" s="1"/>
  <c r="Y14" i="3"/>
  <c r="M61" i="2" l="1"/>
  <c r="Q61" i="2"/>
  <c r="U60" i="2"/>
  <c r="BF59" i="1"/>
  <c r="D55" i="7"/>
  <c r="D56" i="7" s="1"/>
  <c r="D57" i="7" s="1"/>
  <c r="D58" i="7" s="1"/>
  <c r="D59" i="7" s="1"/>
  <c r="D60" i="7" s="1"/>
  <c r="K59" i="2"/>
  <c r="Y13" i="3"/>
  <c r="BD58" i="1"/>
  <c r="AZ58" i="1"/>
  <c r="AK58" i="1"/>
  <c r="AQ58" i="1" s="1"/>
  <c r="M60" i="2" l="1"/>
  <c r="Q60" i="2"/>
  <c r="U59" i="2"/>
  <c r="BF58" i="1"/>
  <c r="S58" i="2"/>
  <c r="AA11" i="3" l="1"/>
  <c r="AA10" i="3"/>
  <c r="AA9" i="3"/>
  <c r="AA8" i="3"/>
  <c r="AA7" i="3"/>
  <c r="K58" i="2" l="1"/>
  <c r="BD57" i="1"/>
  <c r="AZ57" i="1"/>
  <c r="AK57" i="1"/>
  <c r="AQ57" i="1" s="1"/>
  <c r="M59" i="2" l="1"/>
  <c r="Q59" i="2"/>
  <c r="U58" i="2"/>
  <c r="BF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D56" i="1"/>
  <c r="AZ56" i="1"/>
  <c r="AK56" i="1"/>
  <c r="AQ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Q58" i="2"/>
  <c r="M58" i="2"/>
  <c r="I59" i="3"/>
  <c r="L57" i="3"/>
  <c r="N50" i="3"/>
  <c r="I51" i="3"/>
  <c r="U57" i="2"/>
  <c r="BF56" i="1"/>
  <c r="S56" i="2"/>
  <c r="L53" i="7"/>
  <c r="K56" i="2"/>
  <c r="Q57" i="2" s="1"/>
  <c r="BD55" i="1"/>
  <c r="AZ55" i="1"/>
  <c r="BJ61" i="1" s="1"/>
  <c r="BL61" i="1" s="1"/>
  <c r="AK55" i="1"/>
  <c r="AQ55" i="1" s="1"/>
  <c r="M57" i="2" l="1"/>
  <c r="I61" i="3"/>
  <c r="L61" i="3" s="1"/>
  <c r="L67" i="3"/>
  <c r="L66" i="3"/>
  <c r="L59" i="3"/>
  <c r="N51" i="3"/>
  <c r="U56" i="2"/>
  <c r="BF55" i="1"/>
  <c r="V48" i="1"/>
  <c r="AF54" i="1" s="1"/>
  <c r="S55" i="2"/>
  <c r="L52" i="7"/>
  <c r="K55" i="2"/>
  <c r="Q56" i="2" s="1"/>
  <c r="BD54" i="1"/>
  <c r="AZ54" i="1"/>
  <c r="AK54" i="1"/>
  <c r="AQ54" i="1" s="1"/>
  <c r="AH54" i="1" l="1"/>
  <c r="AH61" i="1"/>
  <c r="U55" i="2"/>
  <c r="M56" i="2"/>
  <c r="BF54" i="1"/>
  <c r="S54" i="2"/>
  <c r="L51" i="7" l="1"/>
  <c r="K54" i="2"/>
  <c r="BD53" i="1"/>
  <c r="AZ53" i="1"/>
  <c r="AK53" i="1"/>
  <c r="AQ53" i="1" s="1"/>
  <c r="F73" i="7"/>
  <c r="F71" i="7"/>
  <c r="S53" i="2"/>
  <c r="L50" i="7"/>
  <c r="Q55" i="2" l="1"/>
  <c r="M55" i="2"/>
  <c r="U54" i="2"/>
  <c r="BF53" i="1"/>
  <c r="K53" i="2"/>
  <c r="Q54" i="2" s="1"/>
  <c r="BD52" i="1"/>
  <c r="AZ52" i="1"/>
  <c r="AK52" i="1"/>
  <c r="AQ52" i="1" s="1"/>
  <c r="M54" i="2" l="1"/>
  <c r="U53" i="2"/>
  <c r="BF52" i="1"/>
  <c r="G46" i="2"/>
  <c r="AO150" i="2"/>
  <c r="S52" i="2"/>
  <c r="AD29" i="2" l="1"/>
  <c r="G51" i="2"/>
  <c r="K51" i="2" s="1"/>
  <c r="G50" i="2"/>
  <c r="G49" i="2"/>
  <c r="G48" i="2"/>
  <c r="K48" i="2" s="1"/>
  <c r="G47" i="2"/>
  <c r="K47" i="2" s="1"/>
  <c r="G45" i="2"/>
  <c r="K45" i="2" s="1"/>
  <c r="G44" i="2"/>
  <c r="K44" i="2" s="1"/>
  <c r="G43" i="2"/>
  <c r="G42" i="2"/>
  <c r="G41" i="2"/>
  <c r="G40" i="2"/>
  <c r="K40" i="2" s="1"/>
  <c r="G39" i="2"/>
  <c r="G38" i="2"/>
  <c r="K38" i="2" s="1"/>
  <c r="G37" i="2"/>
  <c r="K37" i="2" s="1"/>
  <c r="G36" i="2"/>
  <c r="K36" i="2" s="1"/>
  <c r="Q36" i="2" s="1"/>
  <c r="G35" i="2"/>
  <c r="G34" i="2"/>
  <c r="G33" i="2"/>
  <c r="G32" i="2"/>
  <c r="K32" i="2" s="1"/>
  <c r="G31" i="2"/>
  <c r="K31" i="2" s="1"/>
  <c r="K52" i="2"/>
  <c r="K50" i="2"/>
  <c r="K49" i="2"/>
  <c r="Q49" i="2" s="1"/>
  <c r="K46" i="2"/>
  <c r="K43" i="2"/>
  <c r="K42" i="2"/>
  <c r="K41" i="2"/>
  <c r="K39" i="2"/>
  <c r="K35" i="2"/>
  <c r="K34" i="2"/>
  <c r="K33" i="2"/>
  <c r="Q33" i="2" s="1"/>
  <c r="G30" i="2"/>
  <c r="K30" i="2" s="1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38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Q41" i="2" l="1"/>
  <c r="Q39" i="2"/>
  <c r="Q21" i="2"/>
  <c r="Q25" i="2"/>
  <c r="Q31" i="2"/>
  <c r="Q42" i="2"/>
  <c r="Q38" i="2"/>
  <c r="Q44" i="2"/>
  <c r="Q32" i="2"/>
  <c r="Q48" i="2"/>
  <c r="U50" i="2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BV13" i="1"/>
  <c r="AW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W113" i="2" l="1"/>
  <c r="W114" i="2" s="1"/>
  <c r="W115" i="2" s="1"/>
  <c r="W116" i="2" s="1"/>
  <c r="W117" i="2" s="1"/>
  <c r="W118" i="2" s="1"/>
  <c r="W119" i="2" s="1"/>
  <c r="W120" i="2" s="1"/>
  <c r="W121" i="2" s="1"/>
  <c r="BV14" i="1"/>
  <c r="AW13" i="1"/>
  <c r="AH29" i="2"/>
  <c r="AJ29" i="2" s="1"/>
  <c r="AH28" i="2"/>
  <c r="AJ28" i="2" s="1"/>
  <c r="AH27" i="2"/>
  <c r="BF51" i="1"/>
  <c r="BD50" i="1"/>
  <c r="AZ50" i="1"/>
  <c r="AK50" i="1"/>
  <c r="AQ50" i="1" s="1"/>
  <c r="W122" i="2" l="1"/>
  <c r="W123" i="2" s="1"/>
  <c r="W124" i="2" s="1"/>
  <c r="W125" i="2" s="1"/>
  <c r="BV15" i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87" i="1"/>
  <c r="B190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AF33" i="1" s="1"/>
  <c r="AH40" i="1" l="1"/>
  <c r="BV39" i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AF26" i="1" s="1"/>
  <c r="AH33" i="1" s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P26" i="1" s="1"/>
  <c r="R33" i="1" s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V53" i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BV79" i="1" s="1"/>
  <c r="AW77" i="1"/>
  <c r="BM77" i="1"/>
  <c r="BQ52" i="1"/>
  <c r="BO53" i="1"/>
  <c r="Z34" i="1"/>
  <c r="Z35" i="1" s="1"/>
  <c r="H31" i="1"/>
  <c r="J31" i="1"/>
  <c r="AU30" i="1"/>
  <c r="AB30" i="1"/>
  <c r="AD34" i="1" l="1"/>
  <c r="BV80" i="1"/>
  <c r="BM79" i="1"/>
  <c r="AW79" i="1"/>
  <c r="BM78" i="1"/>
  <c r="AW78" i="1"/>
  <c r="J32" i="1"/>
  <c r="N31" i="1"/>
  <c r="BQ53" i="1"/>
  <c r="BO54" i="1"/>
  <c r="H32" i="1"/>
  <c r="AB31" i="1"/>
  <c r="AU31" i="1"/>
  <c r="AD35" i="1"/>
  <c r="BV81" i="1" l="1"/>
  <c r="BM80" i="1"/>
  <c r="AW80" i="1"/>
  <c r="J33" i="1"/>
  <c r="N32" i="1"/>
  <c r="H33" i="1"/>
  <c r="BQ54" i="1"/>
  <c r="BO55" i="1"/>
  <c r="AU32" i="1"/>
  <c r="AB32" i="1"/>
  <c r="Z36" i="1"/>
  <c r="AD36" i="1" s="1"/>
  <c r="BV82" i="1" l="1"/>
  <c r="BM81" i="1"/>
  <c r="AW81" i="1"/>
  <c r="N33" i="1"/>
  <c r="AB33" i="1"/>
  <c r="AU33" i="1"/>
  <c r="H34" i="1"/>
  <c r="H35" i="1" s="1"/>
  <c r="BQ55" i="1"/>
  <c r="BO56" i="1"/>
  <c r="J34" i="1"/>
  <c r="Z37" i="1"/>
  <c r="AD37" i="1" s="1"/>
  <c r="N34" i="1" l="1"/>
  <c r="BV83" i="1"/>
  <c r="BV84" i="1" s="1"/>
  <c r="BM82" i="1"/>
  <c r="AW82" i="1"/>
  <c r="AB34" i="1"/>
  <c r="J35" i="1"/>
  <c r="N35" i="1"/>
  <c r="AU34" i="1"/>
  <c r="BQ56" i="1"/>
  <c r="BO57" i="1"/>
  <c r="Z38" i="1"/>
  <c r="AD38" i="1" s="1"/>
  <c r="J36" i="1" l="1"/>
  <c r="BV85" i="1"/>
  <c r="BM84" i="1"/>
  <c r="AW84" i="1"/>
  <c r="BM83" i="1"/>
  <c r="AW83" i="1"/>
  <c r="H36" i="1"/>
  <c r="N36" i="1" s="1"/>
  <c r="AB35" i="1"/>
  <c r="AU35" i="1"/>
  <c r="BQ57" i="1"/>
  <c r="BO58" i="1"/>
  <c r="Z39" i="1"/>
  <c r="AD39" i="1" s="1"/>
  <c r="BV86" i="1" l="1"/>
  <c r="BV87" i="1" s="1"/>
  <c r="BM85" i="1"/>
  <c r="AW85" i="1"/>
  <c r="J37" i="1"/>
  <c r="H37" i="1"/>
  <c r="N37" i="1" s="1"/>
  <c r="AU36" i="1"/>
  <c r="AB36" i="1"/>
  <c r="BQ58" i="1"/>
  <c r="BO59" i="1"/>
  <c r="Z40" i="1"/>
  <c r="AD40" i="1" s="1"/>
  <c r="BV88" i="1" l="1"/>
  <c r="BM87" i="1"/>
  <c r="AW87" i="1"/>
  <c r="AB37" i="1"/>
  <c r="AW86" i="1"/>
  <c r="BM86" i="1"/>
  <c r="AU37" i="1"/>
  <c r="H38" i="1"/>
  <c r="N38" i="1" s="1"/>
  <c r="J38" i="1"/>
  <c r="BQ59" i="1"/>
  <c r="BO60" i="1"/>
  <c r="Z41" i="1"/>
  <c r="AD41" i="1" s="1"/>
  <c r="BV89" i="1" l="1"/>
  <c r="AW88" i="1"/>
  <c r="BM88" i="1"/>
  <c r="AB38" i="1"/>
  <c r="AU38" i="1"/>
  <c r="J39" i="1"/>
  <c r="H39" i="1"/>
  <c r="N39" i="1" s="1"/>
  <c r="BQ60" i="1"/>
  <c r="BO61" i="1"/>
  <c r="Z42" i="1"/>
  <c r="AD42" i="1" s="1"/>
  <c r="BV90" i="1" l="1"/>
  <c r="BV91" i="1" s="1"/>
  <c r="AW89" i="1"/>
  <c r="BM89" i="1"/>
  <c r="H40" i="1"/>
  <c r="J41" i="1" s="1"/>
  <c r="AB39" i="1"/>
  <c r="AU39" i="1"/>
  <c r="J40" i="1"/>
  <c r="N40" i="1"/>
  <c r="BQ61" i="1"/>
  <c r="BO62" i="1"/>
  <c r="Z43" i="1"/>
  <c r="AD43" i="1" s="1"/>
  <c r="AB40" i="1"/>
  <c r="AU40" i="1" l="1"/>
  <c r="H41" i="1"/>
  <c r="N41" i="1" s="1"/>
  <c r="BV92" i="1"/>
  <c r="BM91" i="1"/>
  <c r="AW91" i="1"/>
  <c r="BM90" i="1"/>
  <c r="AW90" i="1"/>
  <c r="BQ62" i="1"/>
  <c r="BO63" i="1"/>
  <c r="Z44" i="1"/>
  <c r="AD44" i="1" s="1"/>
  <c r="J42" i="1"/>
  <c r="H42" i="1"/>
  <c r="N42" i="1" s="1"/>
  <c r="AU41" i="1"/>
  <c r="AB41" i="1"/>
  <c r="BV93" i="1" l="1"/>
  <c r="BM92" i="1"/>
  <c r="AW92" i="1"/>
  <c r="BO64" i="1"/>
  <c r="BQ63" i="1"/>
  <c r="Z45" i="1"/>
  <c r="AD45" i="1" s="1"/>
  <c r="J43" i="1"/>
  <c r="H43" i="1"/>
  <c r="N43" i="1" s="1"/>
  <c r="AU42" i="1"/>
  <c r="AB42" i="1"/>
  <c r="BV94" i="1" l="1"/>
  <c r="BM93" i="1"/>
  <c r="AW93" i="1"/>
  <c r="BO65" i="1"/>
  <c r="BQ64" i="1"/>
  <c r="Z46" i="1"/>
  <c r="AD46" i="1" s="1"/>
  <c r="J44" i="1"/>
  <c r="H44" i="1"/>
  <c r="AU43" i="1"/>
  <c r="AB43" i="1"/>
  <c r="BV95" i="1" l="1"/>
  <c r="BV96" i="1" s="1"/>
  <c r="AW94" i="1"/>
  <c r="BM94" i="1"/>
  <c r="BO66" i="1"/>
  <c r="BQ65" i="1"/>
  <c r="N44" i="1"/>
  <c r="Z47" i="1"/>
  <c r="AD47" i="1" s="1"/>
  <c r="AU44" i="1"/>
  <c r="J45" i="1"/>
  <c r="AB44" i="1"/>
  <c r="H45" i="1"/>
  <c r="N45" i="1" l="1"/>
  <c r="H46" i="1"/>
  <c r="BV97" i="1"/>
  <c r="BM96" i="1"/>
  <c r="AW96" i="1"/>
  <c r="BM95" i="1"/>
  <c r="AW95" i="1"/>
  <c r="BO67" i="1"/>
  <c r="BQ66" i="1"/>
  <c r="Z48" i="1"/>
  <c r="AD48" i="1" s="1"/>
  <c r="J46" i="1"/>
  <c r="AU45" i="1"/>
  <c r="AB45" i="1"/>
  <c r="BM97" i="1" l="1"/>
  <c r="AW97" i="1"/>
  <c r="BV98" i="1"/>
  <c r="BO68" i="1"/>
  <c r="BO69" i="1" s="1"/>
  <c r="BQ67" i="1"/>
  <c r="J47" i="1"/>
  <c r="N46" i="1"/>
  <c r="H47" i="1"/>
  <c r="Z49" i="1"/>
  <c r="AD49" i="1" s="1"/>
  <c r="AU46" i="1"/>
  <c r="AB46" i="1"/>
  <c r="BV99" i="1" l="1"/>
  <c r="BV100" i="1" s="1"/>
  <c r="BM98" i="1"/>
  <c r="AW98" i="1"/>
  <c r="BQ69" i="1"/>
  <c r="BO70" i="1"/>
  <c r="BQ68" i="1"/>
  <c r="AU47" i="1"/>
  <c r="N47" i="1"/>
  <c r="AB47" i="1"/>
  <c r="H48" i="1"/>
  <c r="AU48" i="1" s="1"/>
  <c r="J48" i="1"/>
  <c r="Z50" i="1"/>
  <c r="AD50" i="1" s="1"/>
  <c r="BV101" i="1" l="1"/>
  <c r="BM100" i="1"/>
  <c r="AW100" i="1"/>
  <c r="BM99" i="1"/>
  <c r="AW99" i="1"/>
  <c r="BQ70" i="1"/>
  <c r="BO71" i="1"/>
  <c r="AB48" i="1"/>
  <c r="J49" i="1"/>
  <c r="N48" i="1"/>
  <c r="H49" i="1"/>
  <c r="H50" i="1" s="1"/>
  <c r="N50" i="1" s="1"/>
  <c r="Z51" i="1"/>
  <c r="BV102" i="1" l="1"/>
  <c r="AW101" i="1"/>
  <c r="BM101" i="1"/>
  <c r="AU49" i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V103" i="1" l="1"/>
  <c r="AW102" i="1"/>
  <c r="BM102" i="1"/>
  <c r="BQ73" i="1"/>
  <c r="BO74" i="1"/>
  <c r="BQ72" i="1"/>
  <c r="N51" i="1"/>
  <c r="Z53" i="1"/>
  <c r="AD52" i="1"/>
  <c r="H52" i="1"/>
  <c r="N52" i="1" s="1"/>
  <c r="J52" i="1"/>
  <c r="AB51" i="1"/>
  <c r="AU51" i="1"/>
  <c r="BV104" i="1" l="1"/>
  <c r="AW103" i="1"/>
  <c r="BM103" i="1"/>
  <c r="BQ74" i="1"/>
  <c r="BO75" i="1"/>
  <c r="Z54" i="1"/>
  <c r="AD53" i="1"/>
  <c r="AU52" i="1"/>
  <c r="H53" i="1"/>
  <c r="J53" i="1"/>
  <c r="AB52" i="1"/>
  <c r="BV105" i="1" l="1"/>
  <c r="BM104" i="1"/>
  <c r="AW104" i="1"/>
  <c r="BO76" i="1"/>
  <c r="BQ75" i="1"/>
  <c r="N53" i="1"/>
  <c r="AD54" i="1"/>
  <c r="Z55" i="1"/>
  <c r="AU53" i="1"/>
  <c r="H54" i="1"/>
  <c r="J54" i="1"/>
  <c r="AB53" i="1"/>
  <c r="BV106" i="1" l="1"/>
  <c r="BM105" i="1"/>
  <c r="AW105" i="1"/>
  <c r="BQ76" i="1"/>
  <c r="BO77" i="1"/>
  <c r="H55" i="1"/>
  <c r="J55" i="1"/>
  <c r="N54" i="1"/>
  <c r="AD55" i="1"/>
  <c r="Z56" i="1"/>
  <c r="AU54" i="1"/>
  <c r="AB54" i="1"/>
  <c r="BM106" i="1" l="1"/>
  <c r="AW106" i="1"/>
  <c r="BV107" i="1"/>
  <c r="BQ77" i="1"/>
  <c r="BO78" i="1"/>
  <c r="BO79" i="1" s="1"/>
  <c r="N55" i="1"/>
  <c r="AD56" i="1"/>
  <c r="Z57" i="1"/>
  <c r="J56" i="1"/>
  <c r="H56" i="1"/>
  <c r="AU55" i="1"/>
  <c r="AB55" i="1"/>
  <c r="BV108" i="1" l="1"/>
  <c r="BV109" i="1" s="1"/>
  <c r="AW107" i="1"/>
  <c r="BM107" i="1"/>
  <c r="BQ79" i="1"/>
  <c r="BO80" i="1"/>
  <c r="BQ78" i="1"/>
  <c r="N56" i="1"/>
  <c r="H57" i="1"/>
  <c r="AB57" i="1" s="1"/>
  <c r="J57" i="1"/>
  <c r="AD57" i="1"/>
  <c r="Z58" i="1"/>
  <c r="AU56" i="1"/>
  <c r="AB56" i="1"/>
  <c r="BV110" i="1" l="1"/>
  <c r="BM109" i="1"/>
  <c r="AW109" i="1"/>
  <c r="AW108" i="1"/>
  <c r="BM108" i="1"/>
  <c r="BQ80" i="1"/>
  <c r="BO81" i="1"/>
  <c r="AD58" i="1"/>
  <c r="Z59" i="1"/>
  <c r="Z60" i="1" s="1"/>
  <c r="AU57" i="1"/>
  <c r="N57" i="1"/>
  <c r="J58" i="1"/>
  <c r="H58" i="1"/>
  <c r="AB58" i="1" s="1"/>
  <c r="BV111" i="1" l="1"/>
  <c r="AW110" i="1"/>
  <c r="BM110" i="1"/>
  <c r="BQ81" i="1"/>
  <c r="BO82" i="1"/>
  <c r="Z61" i="1"/>
  <c r="AD60" i="1"/>
  <c r="AD59" i="1"/>
  <c r="AU58" i="1"/>
  <c r="J59" i="1"/>
  <c r="H59" i="1"/>
  <c r="N58" i="1"/>
  <c r="BV112" i="1" l="1"/>
  <c r="AW111" i="1"/>
  <c r="BM111" i="1"/>
  <c r="BO83" i="1"/>
  <c r="BO84" i="1" s="1"/>
  <c r="BQ82" i="1"/>
  <c r="Z62" i="1"/>
  <c r="AD61" i="1"/>
  <c r="J60" i="1"/>
  <c r="H60" i="1"/>
  <c r="AU59" i="1"/>
  <c r="N59" i="1"/>
  <c r="AB59" i="1"/>
  <c r="AA12" i="3"/>
  <c r="AA13" i="3"/>
  <c r="BV113" i="1" l="1"/>
  <c r="BV114" i="1" s="1"/>
  <c r="BM112" i="1"/>
  <c r="AW112" i="1"/>
  <c r="BQ84" i="1"/>
  <c r="BO85" i="1"/>
  <c r="BO86" i="1" s="1"/>
  <c r="BO87" i="1" s="1"/>
  <c r="BQ83" i="1"/>
  <c r="AD62" i="1"/>
  <c r="Z63" i="1"/>
  <c r="J61" i="1"/>
  <c r="H61" i="1"/>
  <c r="AU60" i="1"/>
  <c r="N60" i="1"/>
  <c r="AB60" i="1"/>
  <c r="BV115" i="1" l="1"/>
  <c r="BM114" i="1"/>
  <c r="AW114" i="1"/>
  <c r="BM113" i="1"/>
  <c r="AW113" i="1"/>
  <c r="BQ87" i="1"/>
  <c r="BO88" i="1"/>
  <c r="BQ86" i="1"/>
  <c r="BQ85" i="1"/>
  <c r="Z64" i="1"/>
  <c r="Z65" i="1" s="1"/>
  <c r="H62" i="1"/>
  <c r="J62" i="1"/>
  <c r="AD63" i="1"/>
  <c r="AU61" i="1"/>
  <c r="N61" i="1"/>
  <c r="AB61" i="1"/>
  <c r="BV116" i="1" l="1"/>
  <c r="AW115" i="1"/>
  <c r="BM115" i="1"/>
  <c r="BO89" i="1"/>
  <c r="BQ88" i="1"/>
  <c r="AD65" i="1"/>
  <c r="Z66" i="1"/>
  <c r="AD64" i="1"/>
  <c r="AU62" i="1"/>
  <c r="H63" i="1"/>
  <c r="J63" i="1"/>
  <c r="N62" i="1"/>
  <c r="AB62" i="1"/>
  <c r="BV117" i="1" l="1"/>
  <c r="AW116" i="1"/>
  <c r="BM116" i="1"/>
  <c r="BQ89" i="1"/>
  <c r="BO90" i="1"/>
  <c r="BO91" i="1" s="1"/>
  <c r="Z67" i="1"/>
  <c r="AD66" i="1"/>
  <c r="J64" i="1"/>
  <c r="H64" i="1"/>
  <c r="AU63" i="1"/>
  <c r="N63" i="1"/>
  <c r="AB63" i="1"/>
  <c r="AA17" i="3"/>
  <c r="AA18" i="3"/>
  <c r="AA15" i="3"/>
  <c r="AA16" i="3"/>
  <c r="AA14" i="3"/>
  <c r="BV118" i="1" l="1"/>
  <c r="AW117" i="1"/>
  <c r="BM117" i="1"/>
  <c r="BQ91" i="1"/>
  <c r="BO92" i="1"/>
  <c r="BQ90" i="1"/>
  <c r="Z68" i="1"/>
  <c r="Z69" i="1" s="1"/>
  <c r="AD67" i="1"/>
  <c r="H65" i="1"/>
  <c r="J65" i="1"/>
  <c r="AU64" i="1"/>
  <c r="N64" i="1"/>
  <c r="AB64" i="1"/>
  <c r="BV119" i="1" l="1"/>
  <c r="BM118" i="1"/>
  <c r="AW118" i="1"/>
  <c r="BQ92" i="1"/>
  <c r="BO93" i="1"/>
  <c r="Z70" i="1"/>
  <c r="Z71" i="1" s="1"/>
  <c r="AD69" i="1"/>
  <c r="AD68" i="1"/>
  <c r="AB65" i="1"/>
  <c r="J66" i="1"/>
  <c r="H66" i="1"/>
  <c r="AU65" i="1"/>
  <c r="N65" i="1"/>
  <c r="BV120" i="1" l="1"/>
  <c r="BM119" i="1"/>
  <c r="AW119" i="1"/>
  <c r="BQ93" i="1"/>
  <c r="BO94" i="1"/>
  <c r="Z72" i="1"/>
  <c r="AD71" i="1"/>
  <c r="AD70" i="1"/>
  <c r="J67" i="1"/>
  <c r="H67" i="1"/>
  <c r="AU66" i="1"/>
  <c r="N66" i="1"/>
  <c r="AB66" i="1"/>
  <c r="AA20" i="3"/>
  <c r="AA19" i="3"/>
  <c r="BV121" i="1" l="1"/>
  <c r="AW120" i="1"/>
  <c r="BM120" i="1"/>
  <c r="BO95" i="1"/>
  <c r="BO96" i="1" s="1"/>
  <c r="BQ94" i="1"/>
  <c r="Z73" i="1"/>
  <c r="AD72" i="1"/>
  <c r="H68" i="1"/>
  <c r="J68" i="1"/>
  <c r="AU67" i="1"/>
  <c r="N67" i="1"/>
  <c r="AB67" i="1"/>
  <c r="BM121" i="1" l="1"/>
  <c r="AW121" i="1"/>
  <c r="BQ96" i="1"/>
  <c r="BO97" i="1"/>
  <c r="BQ95" i="1"/>
  <c r="Z74" i="1"/>
  <c r="AD73" i="1"/>
  <c r="J69" i="1"/>
  <c r="H69" i="1"/>
  <c r="AU68" i="1"/>
  <c r="N68" i="1"/>
  <c r="AB68" i="1"/>
  <c r="BO98" i="1" l="1"/>
  <c r="BQ97" i="1"/>
  <c r="Z75" i="1"/>
  <c r="AD74" i="1"/>
  <c r="J70" i="1"/>
  <c r="H70" i="1"/>
  <c r="AU69" i="1"/>
  <c r="AB69" i="1"/>
  <c r="N69" i="1"/>
  <c r="AA22" i="3"/>
  <c r="AA21" i="3"/>
  <c r="BO99" i="1" l="1"/>
  <c r="BO100" i="1" s="1"/>
  <c r="BQ98" i="1"/>
  <c r="Z76" i="1"/>
  <c r="AD75" i="1"/>
  <c r="H71" i="1"/>
  <c r="J71" i="1"/>
  <c r="N70" i="1"/>
  <c r="AU70" i="1"/>
  <c r="AB70" i="1"/>
  <c r="BQ100" i="1" l="1"/>
  <c r="BO101" i="1"/>
  <c r="BQ99" i="1"/>
  <c r="Z77" i="1"/>
  <c r="AD76" i="1"/>
  <c r="AU71" i="1"/>
  <c r="H72" i="1"/>
  <c r="AB71" i="1"/>
  <c r="N71" i="1"/>
  <c r="J72" i="1"/>
  <c r="AA24" i="3"/>
  <c r="AA23" i="3"/>
  <c r="BO102" i="1" l="1"/>
  <c r="BQ101" i="1"/>
  <c r="AD77" i="1"/>
  <c r="Z78" i="1"/>
  <c r="Z79" i="1" s="1"/>
  <c r="J73" i="1"/>
  <c r="H73" i="1"/>
  <c r="AU72" i="1"/>
  <c r="AB72" i="1"/>
  <c r="N72" i="1"/>
  <c r="BO103" i="1" l="1"/>
  <c r="BQ102" i="1"/>
  <c r="AD79" i="1"/>
  <c r="Z80" i="1"/>
  <c r="AD78" i="1"/>
  <c r="J74" i="1"/>
  <c r="H74" i="1"/>
  <c r="AU73" i="1"/>
  <c r="AB73" i="1"/>
  <c r="N73" i="1"/>
  <c r="AA26" i="3"/>
  <c r="AA25" i="3"/>
  <c r="BQ103" i="1" l="1"/>
  <c r="BO104" i="1"/>
  <c r="AD80" i="1"/>
  <c r="Z81" i="1"/>
  <c r="AU74" i="1"/>
  <c r="J75" i="1"/>
  <c r="H75" i="1"/>
  <c r="AB74" i="1"/>
  <c r="N74" i="1"/>
  <c r="BO105" i="1" l="1"/>
  <c r="BQ104" i="1"/>
  <c r="AD81" i="1"/>
  <c r="Z82" i="1"/>
  <c r="Z83" i="1" s="1"/>
  <c r="Z84" i="1" s="1"/>
  <c r="AU75" i="1"/>
  <c r="J76" i="1"/>
  <c r="H76" i="1"/>
  <c r="AB75" i="1"/>
  <c r="N75" i="1"/>
  <c r="AA30" i="3"/>
  <c r="AA31" i="3"/>
  <c r="AA28" i="3"/>
  <c r="AA29" i="3"/>
  <c r="BO106" i="1" l="1"/>
  <c r="BQ105" i="1"/>
  <c r="AD84" i="1"/>
  <c r="Z85" i="1"/>
  <c r="Z86" i="1" s="1"/>
  <c r="Z87" i="1" s="1"/>
  <c r="AD83" i="1"/>
  <c r="AD82" i="1"/>
  <c r="AU76" i="1"/>
  <c r="J77" i="1"/>
  <c r="H77" i="1"/>
  <c r="N76" i="1"/>
  <c r="AB76" i="1"/>
  <c r="AA27" i="3"/>
  <c r="BQ106" i="1" l="1"/>
  <c r="BO107" i="1"/>
  <c r="AD87" i="1"/>
  <c r="Z88" i="1"/>
  <c r="AD86" i="1"/>
  <c r="AD85" i="1"/>
  <c r="H78" i="1"/>
  <c r="J78" i="1"/>
  <c r="N77" i="1"/>
  <c r="AU77" i="1"/>
  <c r="AB77" i="1"/>
  <c r="BO108" i="1" l="1"/>
  <c r="BO109" i="1" s="1"/>
  <c r="BQ107" i="1"/>
  <c r="Z89" i="1"/>
  <c r="AD88" i="1"/>
  <c r="J79" i="1"/>
  <c r="H79" i="1"/>
  <c r="AU78" i="1"/>
  <c r="N78" i="1"/>
  <c r="AB78" i="1"/>
  <c r="BQ109" i="1" l="1"/>
  <c r="BO110" i="1"/>
  <c r="BQ108" i="1"/>
  <c r="AD89" i="1"/>
  <c r="Z90" i="1"/>
  <c r="Z91" i="1" s="1"/>
  <c r="N79" i="1"/>
  <c r="J80" i="1"/>
  <c r="H80" i="1"/>
  <c r="AB79" i="1"/>
  <c r="AU79" i="1"/>
  <c r="AA32" i="3"/>
  <c r="BO111" i="1" l="1"/>
  <c r="BO112" i="1" s="1"/>
  <c r="BQ110" i="1"/>
  <c r="Z92" i="1"/>
  <c r="AD91" i="1"/>
  <c r="AD90" i="1"/>
  <c r="H81" i="1"/>
  <c r="J81" i="1"/>
  <c r="AU80" i="1"/>
  <c r="N80" i="1"/>
  <c r="AB80" i="1"/>
  <c r="BQ112" i="1" l="1"/>
  <c r="BO113" i="1"/>
  <c r="BO114" i="1" s="1"/>
  <c r="BO115" i="1" s="1"/>
  <c r="BQ111" i="1"/>
  <c r="Z93" i="1"/>
  <c r="Z94" i="1" s="1"/>
  <c r="AD92" i="1"/>
  <c r="N81" i="1"/>
  <c r="H82" i="1"/>
  <c r="J82" i="1"/>
  <c r="AB81" i="1"/>
  <c r="AU81" i="1"/>
  <c r="AA36" i="3"/>
  <c r="AA34" i="3"/>
  <c r="AA35" i="3"/>
  <c r="AA33" i="3"/>
  <c r="BO116" i="1" l="1"/>
  <c r="BQ115" i="1"/>
  <c r="BQ114" i="1"/>
  <c r="BQ113" i="1"/>
  <c r="Z95" i="1"/>
  <c r="Z96" i="1" s="1"/>
  <c r="AD94" i="1"/>
  <c r="AD93" i="1"/>
  <c r="J83" i="1"/>
  <c r="H83" i="1"/>
  <c r="AU82" i="1"/>
  <c r="N82" i="1"/>
  <c r="AB82" i="1"/>
  <c r="BQ116" i="1" l="1"/>
  <c r="BO117" i="1"/>
  <c r="Z97" i="1"/>
  <c r="AD96" i="1"/>
  <c r="AD95" i="1"/>
  <c r="J84" i="1"/>
  <c r="H84" i="1"/>
  <c r="AU83" i="1"/>
  <c r="N83" i="1"/>
  <c r="AB83" i="1"/>
  <c r="BQ117" i="1" l="1"/>
  <c r="BO118" i="1"/>
  <c r="AD97" i="1"/>
  <c r="Z98" i="1"/>
  <c r="AU84" i="1"/>
  <c r="J85" i="1"/>
  <c r="H85" i="1"/>
  <c r="N84" i="1"/>
  <c r="AB84" i="1"/>
  <c r="BO119" i="1" l="1"/>
  <c r="BO120" i="1" s="1"/>
  <c r="BQ118" i="1"/>
  <c r="Z99" i="1"/>
  <c r="Z100" i="1" s="1"/>
  <c r="AD98" i="1"/>
  <c r="H86" i="1"/>
  <c r="J86" i="1"/>
  <c r="AU85" i="1"/>
  <c r="N85" i="1"/>
  <c r="AB85" i="1"/>
  <c r="AA39" i="3"/>
  <c r="AA38" i="3"/>
  <c r="AA37" i="3"/>
  <c r="BO121" i="1" l="1"/>
  <c r="BQ120" i="1"/>
  <c r="BQ119" i="1"/>
  <c r="AD100" i="1"/>
  <c r="Z101" i="1"/>
  <c r="AD99" i="1"/>
  <c r="J87" i="1"/>
  <c r="H87" i="1"/>
  <c r="AU86" i="1"/>
  <c r="N86" i="1"/>
  <c r="AB86" i="1"/>
  <c r="BQ121" i="1" l="1"/>
  <c r="AD101" i="1"/>
  <c r="Z102" i="1"/>
  <c r="AU87" i="1"/>
  <c r="J88" i="1"/>
  <c r="H88" i="1"/>
  <c r="N87" i="1"/>
  <c r="AB87" i="1"/>
  <c r="Z103" i="1" l="1"/>
  <c r="AD102" i="1"/>
  <c r="AU88" i="1"/>
  <c r="J89" i="1"/>
  <c r="H89" i="1"/>
  <c r="N88" i="1"/>
  <c r="AB88" i="1"/>
  <c r="AA45" i="3"/>
  <c r="AA43" i="3"/>
  <c r="AA44" i="3"/>
  <c r="AA41" i="3"/>
  <c r="AA42" i="3"/>
  <c r="AA40" i="3"/>
  <c r="AD103" i="1" l="1"/>
  <c r="Z104" i="1"/>
  <c r="J90" i="1"/>
  <c r="H90" i="1"/>
  <c r="N89" i="1"/>
  <c r="AU89" i="1"/>
  <c r="AB89" i="1"/>
  <c r="AD104" i="1" l="1"/>
  <c r="Z105" i="1"/>
  <c r="J91" i="1"/>
  <c r="H91" i="1"/>
  <c r="AU90" i="1"/>
  <c r="N90" i="1"/>
  <c r="AB90" i="1"/>
  <c r="Z106" i="1" l="1"/>
  <c r="AD105" i="1"/>
  <c r="N91" i="1"/>
  <c r="H92" i="1"/>
  <c r="J92" i="1"/>
  <c r="AU91" i="1"/>
  <c r="AB91" i="1"/>
  <c r="Z107" i="1" l="1"/>
  <c r="Z108" i="1" s="1"/>
  <c r="Z109" i="1" s="1"/>
  <c r="AD106" i="1"/>
  <c r="Y108" i="3"/>
  <c r="Y109" i="3" s="1"/>
  <c r="N92" i="1"/>
  <c r="H93" i="1"/>
  <c r="J93" i="1"/>
  <c r="AB92" i="1"/>
  <c r="AU92" i="1"/>
  <c r="Z110" i="1" l="1"/>
  <c r="AD109" i="1"/>
  <c r="AD108" i="1"/>
  <c r="AD107" i="1"/>
  <c r="H94" i="1"/>
  <c r="J94" i="1"/>
  <c r="N93" i="1"/>
  <c r="AU93" i="1"/>
  <c r="AB93" i="1"/>
  <c r="AA46" i="3"/>
  <c r="Z111" i="1" l="1"/>
  <c r="Z112" i="1" s="1"/>
  <c r="AD110" i="1"/>
  <c r="H95" i="1"/>
  <c r="J95" i="1"/>
  <c r="N94" i="1"/>
  <c r="AU94" i="1"/>
  <c r="AB94" i="1"/>
  <c r="Z113" i="1" l="1"/>
  <c r="Z114" i="1" s="1"/>
  <c r="AD112" i="1"/>
  <c r="AD111" i="1"/>
  <c r="J96" i="1"/>
  <c r="H96" i="1"/>
  <c r="N95" i="1"/>
  <c r="AU95" i="1"/>
  <c r="AB95" i="1"/>
  <c r="AA48" i="3"/>
  <c r="AA49" i="3"/>
  <c r="AA47" i="3"/>
  <c r="Z115" i="1" l="1"/>
  <c r="AD114" i="1"/>
  <c r="AD113" i="1"/>
  <c r="AU96" i="1"/>
  <c r="H97" i="1"/>
  <c r="J97" i="1"/>
  <c r="N96" i="1"/>
  <c r="AB96" i="1"/>
  <c r="Z116" i="1" l="1"/>
  <c r="AD115" i="1"/>
  <c r="N97" i="1"/>
  <c r="H98" i="1"/>
  <c r="J98" i="1"/>
  <c r="AU97" i="1"/>
  <c r="AB97" i="1"/>
  <c r="Z117" i="1" l="1"/>
  <c r="AD116" i="1"/>
  <c r="J99" i="1"/>
  <c r="H99" i="1"/>
  <c r="N98" i="1"/>
  <c r="AU98" i="1"/>
  <c r="AB98" i="1"/>
  <c r="AA53" i="3"/>
  <c r="AA51" i="3"/>
  <c r="AA52" i="3"/>
  <c r="AA50" i="3"/>
  <c r="AD117" i="1" l="1"/>
  <c r="Z118" i="1"/>
  <c r="H100" i="1"/>
  <c r="J100" i="1"/>
  <c r="N99" i="1"/>
  <c r="AU99" i="1"/>
  <c r="AB99" i="1"/>
  <c r="AD118" i="1" l="1"/>
  <c r="Z119" i="1"/>
  <c r="AU100" i="1"/>
  <c r="J101" i="1"/>
  <c r="H101" i="1"/>
  <c r="N100" i="1"/>
  <c r="AB100" i="1"/>
  <c r="Z120" i="1" l="1"/>
  <c r="AD119" i="1"/>
  <c r="N101" i="1"/>
  <c r="J102" i="1"/>
  <c r="H102" i="1"/>
  <c r="AU101" i="1"/>
  <c r="AB101" i="1"/>
  <c r="AD120" i="1" l="1"/>
  <c r="Z121" i="1"/>
  <c r="Z122" i="1" s="1"/>
  <c r="N102" i="1"/>
  <c r="J103" i="1"/>
  <c r="H103" i="1"/>
  <c r="AU102" i="1"/>
  <c r="AB102" i="1"/>
  <c r="AA59" i="3"/>
  <c r="AA60" i="3"/>
  <c r="AA57" i="3"/>
  <c r="AA58" i="3"/>
  <c r="AA55" i="3"/>
  <c r="AA56" i="3"/>
  <c r="AA54" i="3"/>
  <c r="Z123" i="1" l="1"/>
  <c r="AD122" i="1"/>
  <c r="AD121" i="1"/>
  <c r="J104" i="1"/>
  <c r="H104" i="1"/>
  <c r="AU103" i="1"/>
  <c r="N103" i="1"/>
  <c r="AB103" i="1"/>
  <c r="AD123" i="1" l="1"/>
  <c r="Z124" i="1"/>
  <c r="N104" i="1"/>
  <c r="H105" i="1"/>
  <c r="J105" i="1"/>
  <c r="AU104" i="1"/>
  <c r="AB104" i="1"/>
  <c r="AD124" i="1" l="1"/>
  <c r="Z125" i="1"/>
  <c r="N105" i="1"/>
  <c r="J106" i="1"/>
  <c r="H106" i="1"/>
  <c r="H107" i="1" s="1"/>
  <c r="AU105" i="1"/>
  <c r="AB105" i="1"/>
  <c r="Z133" i="1" l="1"/>
  <c r="AD125" i="1"/>
  <c r="AD133" i="1" s="1"/>
  <c r="AD134" i="1" s="1"/>
  <c r="AU106" i="1"/>
  <c r="J107" i="1"/>
  <c r="N106" i="1"/>
  <c r="W108" i="3"/>
  <c r="W109" i="3" s="1"/>
  <c r="AB106" i="1"/>
  <c r="Z134" i="1" l="1"/>
  <c r="AD49" i="2"/>
  <c r="AD51" i="2" s="1"/>
  <c r="AD53" i="2" s="1"/>
  <c r="AD55" i="2" s="1"/>
  <c r="AD57" i="2" s="1"/>
  <c r="I21" i="3"/>
  <c r="I35" i="3" s="1"/>
  <c r="AJ21" i="2"/>
  <c r="J108" i="1"/>
  <c r="H108" i="1"/>
  <c r="N107" i="1"/>
  <c r="AU107" i="1"/>
  <c r="AB107" i="1"/>
  <c r="H109" i="1" l="1"/>
  <c r="J109" i="1"/>
  <c r="AU108" i="1"/>
  <c r="N108" i="1"/>
  <c r="AB108" i="1"/>
  <c r="N109" i="1" l="1"/>
  <c r="J110" i="1"/>
  <c r="H110" i="1"/>
  <c r="I23" i="3" s="1"/>
  <c r="I25" i="3" s="1"/>
  <c r="I27" i="3" s="1"/>
  <c r="AB109" i="1"/>
  <c r="AU109" i="1"/>
  <c r="N27" i="3" l="1"/>
  <c r="N28" i="3" s="1"/>
  <c r="I34" i="3"/>
  <c r="N110" i="1"/>
  <c r="J111" i="1"/>
  <c r="H111" i="1"/>
  <c r="AB110" i="1"/>
  <c r="AU110" i="1"/>
  <c r="AA65" i="3"/>
  <c r="AA63" i="3"/>
  <c r="AA64" i="3"/>
  <c r="AA62" i="3"/>
  <c r="J112" i="1" l="1"/>
  <c r="H112" i="1"/>
  <c r="N111" i="1"/>
  <c r="AB111" i="1"/>
  <c r="AU111" i="1"/>
  <c r="AU112" i="1" l="1"/>
  <c r="J113" i="1"/>
  <c r="H113" i="1"/>
  <c r="N112" i="1"/>
  <c r="AB112" i="1"/>
  <c r="J114" i="1" l="1"/>
  <c r="N113" i="1"/>
  <c r="AU113" i="1"/>
  <c r="AB113" i="1"/>
  <c r="H115" i="1" l="1"/>
  <c r="J115" i="1"/>
  <c r="N114" i="1"/>
  <c r="AU114" i="1"/>
  <c r="AB114" i="1"/>
  <c r="AA67" i="3"/>
  <c r="AA66" i="3"/>
  <c r="N115" i="1" l="1"/>
  <c r="J116" i="1"/>
  <c r="AU115" i="1"/>
  <c r="H116" i="1"/>
  <c r="AB115" i="1"/>
  <c r="N116" i="1" l="1"/>
  <c r="J117" i="1"/>
  <c r="H117" i="1"/>
  <c r="AB116" i="1"/>
  <c r="AU116" i="1"/>
  <c r="AA71" i="3"/>
  <c r="AA72" i="3"/>
  <c r="AA69" i="3"/>
  <c r="AA70" i="3"/>
  <c r="AA68" i="3"/>
  <c r="AU117" i="1" l="1"/>
  <c r="H118" i="1"/>
  <c r="J118" i="1"/>
  <c r="AB117" i="1"/>
  <c r="N117" i="1"/>
  <c r="H119" i="1" l="1"/>
  <c r="J119" i="1"/>
  <c r="N118" i="1"/>
  <c r="AB118" i="1"/>
  <c r="AU118" i="1"/>
  <c r="H120" i="1" l="1"/>
  <c r="J120" i="1"/>
  <c r="N119" i="1"/>
  <c r="AU119" i="1"/>
  <c r="AB119" i="1"/>
  <c r="N120" i="1" l="1"/>
  <c r="J121" i="1"/>
  <c r="H121" i="1"/>
  <c r="AU120" i="1"/>
  <c r="AB120" i="1"/>
  <c r="J122" i="1" l="1"/>
  <c r="H122" i="1"/>
  <c r="N121" i="1"/>
  <c r="AU121" i="1"/>
  <c r="AB121" i="1"/>
  <c r="AA75" i="3"/>
  <c r="AA76" i="3"/>
  <c r="AA73" i="3"/>
  <c r="AA74" i="3"/>
  <c r="AU122" i="1" l="1"/>
  <c r="J123" i="1"/>
  <c r="H123" i="1"/>
  <c r="N122" i="1"/>
  <c r="AB122" i="1"/>
  <c r="N123" i="1" l="1"/>
  <c r="J124" i="1"/>
  <c r="H124" i="1"/>
  <c r="AU123" i="1"/>
  <c r="AB123" i="1"/>
  <c r="N124" i="1" l="1"/>
  <c r="H125" i="1"/>
  <c r="J125" i="1"/>
  <c r="J133" i="1" s="1"/>
  <c r="AU124" i="1"/>
  <c r="AB124" i="1"/>
  <c r="AA78" i="3"/>
  <c r="AA79" i="3"/>
  <c r="AA77" i="3"/>
  <c r="J134" i="1" l="1"/>
  <c r="T14" i="7"/>
  <c r="AU125" i="1"/>
  <c r="AU133" i="1" s="1"/>
  <c r="AU134" i="1" s="1"/>
  <c r="H133" i="1"/>
  <c r="N125" i="1"/>
  <c r="N133" i="1" s="1"/>
  <c r="N134" i="1" s="1"/>
  <c r="AB125" i="1"/>
  <c r="AB133" i="1" l="1"/>
  <c r="AB134" i="1" s="1"/>
  <c r="J146" i="1"/>
  <c r="J147" i="1" s="1"/>
  <c r="H134" i="1"/>
  <c r="I32" i="3"/>
  <c r="AF21" i="2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P15" i="7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L32" i="3" l="1"/>
  <c r="L35" i="3"/>
  <c r="L34" i="3"/>
  <c r="I36" i="3"/>
  <c r="I28" i="3"/>
  <c r="W80" i="3" l="1"/>
  <c r="AA80" i="3" s="1"/>
  <c r="L36" i="3"/>
  <c r="Y80" i="3" l="1"/>
  <c r="Y12" i="3"/>
</calcChain>
</file>

<file path=xl/sharedStrings.xml><?xml version="1.0" encoding="utf-8"?>
<sst xmlns="http://schemas.openxmlformats.org/spreadsheetml/2006/main" count="281" uniqueCount="159">
  <si>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</si>
  <si>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</si>
  <si>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</si>
  <si>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</si>
  <si>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</si>
  <si>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</si>
  <si>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</si>
  <si>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</si>
  <si>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</si>
  <si>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</si>
  <si>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</si>
  <si>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</si>
  <si>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</si>
  <si>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</si>
  <si>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</si>
  <si>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</si>
  <si>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</si>
  <si>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</si>
  <si>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</si>
  <si>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</si>
  <si>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</si>
  <si>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</si>
  <si>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</si>
  <si>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</si>
  <si>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</si>
  <si>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</si>
  <si>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</si>
  <si>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</si>
  <si>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</si>
  <si>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</si>
  <si>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</si>
  <si>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</si>
  <si>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</si>
  <si>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</si>
  <si>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</si>
  <si>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</si>
  <si>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</si>
  <si>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</si>
  <si>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</si>
  <si>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</si>
  <si>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</si>
  <si>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</si>
  <si>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</si>
  <si>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</si>
  <si>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</si>
  <si>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</si>
  <si>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</si>
  <si>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</si>
  <si>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</si>
  <si>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</si>
  <si>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</si>
  <si>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</si>
  <si>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</si>
  <si>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</si>
  <si>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</si>
  <si>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</si>
  <si>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</si>
  <si>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</si>
  <si>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</si>
  <si>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</si>
  <si>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</si>
  <si>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</si>
  <si>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</si>
  <si>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</si>
  <si>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</si>
  <si>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</si>
  <si>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</si>
  <si>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</si>
  <si>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</si>
  <si>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</si>
  <si>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</si>
  <si>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</si>
  <si>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</si>
  <si>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</si>
  <si>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</si>
  <si>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</si>
  <si>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</si>
  <si>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</si>
  <si>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</si>
  <si>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</si>
  <si>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</si>
  <si>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</si>
  <si>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</si>
  <si>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</si>
  <si>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</si>
  <si>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</si>
  <si>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</si>
  <si>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</si>
  <si>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</si>
  <si>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</si>
  <si>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</si>
  <si>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</si>
  <si>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</si>
  <si>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</si>
  <si>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</si>
  <si>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</si>
  <si>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</si>
  <si>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</si>
  <si>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</si>
  <si>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</si>
  <si>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</si>
  <si>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</si>
  <si>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</si>
  <si>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</si>
  <si>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</si>
  <si>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</si>
  <si>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</si>
  <si>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</si>
  <si>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</si>
  <si>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</si>
  <si>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</si>
  <si>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</si>
  <si>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</si>
  <si>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</si>
  <si>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</si>
  <si>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</si>
  <si>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</si>
  <si>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</si>
  <si>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</si>
  <si>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</si>
  <si>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</si>
  <si>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</si>
  <si>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</si>
  <si>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</si>
  <si>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</si>
  <si>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</si>
  <si>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</si>
  <si>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</si>
  <si>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</si>
  <si>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</si>
  <si>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</si>
  <si>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</si>
  <si>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</si>
  <si>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</si>
  <si>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</si>
  <si>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</si>
  <si>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</si>
  <si>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</si>
  <si>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</si>
  <si>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</si>
  <si>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</si>
  <si>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</si>
  <si>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</si>
  <si>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</si>
  <si>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</si>
  <si>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</si>
  <si>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</si>
  <si>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</si>
  <si>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</si>
  <si>
    <t>On 4/14/20 NYC added an additional 3,778 deaths that happened since 3/11/20, the retroactive data effected both cases and deaths.  Other retroactive adjustments are also posted on this date.</t>
  </si>
  <si>
    <t>(5)</t>
  </si>
  <si>
    <t>Los Angelos county reported 11,247 cases retroactively due to reporting challenges.</t>
  </si>
  <si>
    <t>April</t>
  </si>
  <si>
    <t>May</t>
  </si>
  <si>
    <t>June</t>
  </si>
  <si>
    <t>7/5 -7/12</t>
  </si>
  <si>
    <t>Time Frame</t>
  </si>
  <si>
    <t>US COVID Death Rates</t>
  </si>
  <si>
    <t>6/13 - 7/12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</si>
</sst>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7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  <xf numFmtId="49" fontId="5" fillId="2" borderId="0" xfId="1" applyNumberFormat="1" applyFont="1" applyFill="1" applyAlignment="1">
      <alignment horizontal="right"/>
    </xf>
    <xf numFmtId="10" fontId="10" fillId="7" borderId="26" xfId="2" applyNumberFormat="1" applyFont="1" applyFill="1" applyBorder="1"/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0" fontId="0" fillId="13" borderId="20" xfId="0" applyFill="1" applyBorder="1"/>
    <xf numFmtId="0" fontId="0" fillId="13" borderId="21" xfId="0" applyFill="1" applyBorder="1"/>
    <xf numFmtId="0" fontId="0" fillId="13" borderId="22" xfId="0" applyFill="1" applyBorder="1"/>
    <xf numFmtId="0" fontId="0" fillId="13" borderId="14" xfId="0" applyFill="1" applyBorder="1"/>
    <xf numFmtId="0" fontId="0" fillId="13" borderId="15" xfId="0" applyFill="1" applyBorder="1"/>
    <xf numFmtId="17" fontId="0" fillId="13" borderId="0" xfId="0" applyNumberForma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164" fontId="0" fillId="13" borderId="0" xfId="0" applyNumberFormat="1" applyFill="1" applyBorder="1"/>
    <xf numFmtId="0" fontId="0" fillId="13" borderId="16" xfId="0" applyFill="1" applyBorder="1"/>
    <xf numFmtId="0" fontId="0" fillId="13" borderId="17" xfId="0" applyFill="1" applyBorder="1"/>
    <xf numFmtId="0" fontId="0" fillId="13" borderId="18" xfId="0" applyFill="1" applyBorder="1"/>
    <xf numFmtId="0" fontId="2" fillId="13" borderId="1" xfId="0" applyFont="1" applyFill="1" applyBorder="1" applyAlignment="1">
      <alignment horizontal="center"/>
    </xf>
    <xf numFmtId="0" fontId="2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0" xfId="0" applyFont="1" applyFill="1" applyBorder="1"/>
    <xf numFmtId="0" fontId="0" fillId="13" borderId="23" xfId="0" applyFont="1" applyFill="1" applyBorder="1" applyAlignment="1">
      <alignment horizontal="center"/>
    </xf>
    <xf numFmtId="164" fontId="0" fillId="13" borderId="0" xfId="0" applyNumberFormat="1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3" borderId="0" xfId="0" applyFont="1" applyFill="1" applyBorder="1"/>
    <xf numFmtId="165" fontId="1" fillId="13" borderId="0" xfId="2" applyNumberFormat="1" applyFont="1" applyFill="1" applyBorder="1" applyAlignment="1">
      <alignment horizontal="right"/>
    </xf>
    <xf numFmtId="0" fontId="3" fillId="13" borderId="1" xfId="0" applyFont="1" applyFill="1" applyBorder="1" applyAlignment="1">
      <alignment horizontal="center"/>
    </xf>
    <xf numFmtId="0" fontId="17" fillId="13" borderId="17" xfId="0" applyFont="1" applyFill="1" applyBorder="1" applyAlignment="1">
      <alignment horizontal="center"/>
    </xf>
    <xf numFmtId="0" fontId="17" fillId="13" borderId="17" xfId="0" applyFont="1" applyFill="1" applyBorder="1"/>
    <xf numFmtId="164" fontId="17" fillId="13" borderId="17" xfId="0" applyNumberFormat="1" applyFont="1" applyFill="1" applyBorder="1"/>
    <xf numFmtId="165" fontId="17" fillId="13" borderId="17" xfId="2" applyNumberFormat="1" applyFont="1" applyFill="1" applyBorder="1"/>
    <xf numFmtId="165" fontId="2" fillId="13" borderId="0" xfId="2" applyNumberFormat="1" applyFont="1" applyFill="1" applyBorder="1"/>
    <xf numFmtId="164" fontId="0" fillId="23" borderId="0" xfId="1" applyNumberFormat="1" applyFont="1" applyFill="1"/>
    <xf numFmtId="0" fontId="0" fillId="23" borderId="0" xfId="0" applyFill="1"/>
    <xf numFmtId="10" fontId="0" fillId="0" borderId="0" xfId="0" applyNumberFormat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Table'!$AF$21:$AF$25</c:f>
              <c:strCache>
                <c:ptCount val="5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Table'!$AF$26:$AF$124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Table'!$P$26:$P$124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'Main Table'!$BJ$40:$BJ$124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136</xdr:row>
      <xdr:rowOff>0</xdr:rowOff>
    </xdr:from>
    <xdr:to>
      <xdr:col>53</xdr:col>
      <xdr:colOff>160020</xdr:colOff>
      <xdr:row>136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137</xdr:row>
      <xdr:rowOff>0</xdr:rowOff>
    </xdr:from>
    <xdr:to>
      <xdr:col>53</xdr:col>
      <xdr:colOff>160020</xdr:colOff>
      <xdr:row>137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146</xdr:row>
      <xdr:rowOff>99060</xdr:rowOff>
    </xdr:from>
    <xdr:to>
      <xdr:col>21</xdr:col>
      <xdr:colOff>312420</xdr:colOff>
      <xdr:row>147</xdr:row>
      <xdr:rowOff>83820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4846320" y="26906220"/>
          <a:ext cx="175260" cy="18288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146</xdr:row>
      <xdr:rowOff>129540</xdr:rowOff>
    </xdr:from>
    <xdr:to>
      <xdr:col>22</xdr:col>
      <xdr:colOff>68580</xdr:colOff>
      <xdr:row>147</xdr:row>
      <xdr:rowOff>114300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5234940" y="26936700"/>
          <a:ext cx="152400" cy="18288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77</xdr:col>
      <xdr:colOff>426720</xdr:colOff>
      <xdr:row>13</xdr:row>
      <xdr:rowOff>91440</xdr:rowOff>
    </xdr:from>
    <xdr:to>
      <xdr:col>88</xdr:col>
      <xdr:colOff>518160</xdr:colOff>
      <xdr:row>31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79</xdr:col>
      <xdr:colOff>91440</xdr:colOff>
      <xdr:row>26</xdr:row>
      <xdr:rowOff>160020</xdr:rowOff>
    </xdr:from>
    <xdr:to>
      <xdr:col>89</xdr:col>
      <xdr:colOff>144780</xdr:colOff>
      <xdr:row>44</xdr:row>
      <xdr:rowOff>106680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77</xdr:col>
      <xdr:colOff>160020</xdr:colOff>
      <xdr:row>4</xdr:row>
      <xdr:rowOff>99060</xdr:rowOff>
    </xdr:from>
    <xdr:to>
      <xdr:col>89</xdr:col>
      <xdr:colOff>304800</xdr:colOff>
      <xdr:row>22</xdr:row>
      <xdr:rowOff>38100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44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82</xdr:row>
      <xdr:rowOff>0</xdr:rowOff>
    </xdr:from>
    <xdr:to>
      <xdr:col>70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82</xdr:row>
      <xdr:rowOff>0</xdr:rowOff>
    </xdr:from>
    <xdr:to>
      <xdr:col>59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82</xdr:row>
      <xdr:rowOff>0</xdr:rowOff>
    </xdr:from>
    <xdr:to>
      <xdr:col>38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83</xdr:row>
      <xdr:rowOff>0</xdr:rowOff>
    </xdr:from>
    <xdr:to>
      <xdr:col>44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83</xdr:row>
      <xdr:rowOff>0</xdr:rowOff>
    </xdr:from>
    <xdr:to>
      <xdr:col>70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83</xdr:row>
      <xdr:rowOff>0</xdr:rowOff>
    </xdr:from>
    <xdr:to>
      <xdr:col>38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59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84</xdr:row>
      <xdr:rowOff>0</xdr:rowOff>
    </xdr:from>
    <xdr:to>
      <xdr:col>44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84</xdr:row>
      <xdr:rowOff>0</xdr:rowOff>
    </xdr:from>
    <xdr:to>
      <xdr:col>70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84</xdr:row>
      <xdr:rowOff>0</xdr:rowOff>
    </xdr:from>
    <xdr:to>
      <xdr:col>59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84</xdr:row>
      <xdr:rowOff>0</xdr:rowOff>
    </xdr:from>
    <xdr:to>
      <xdr:col>23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85</xdr:row>
      <xdr:rowOff>0</xdr:rowOff>
    </xdr:from>
    <xdr:to>
      <xdr:col>44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85</xdr:row>
      <xdr:rowOff>0</xdr:rowOff>
    </xdr:from>
    <xdr:to>
      <xdr:col>70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85</xdr:row>
      <xdr:rowOff>0</xdr:rowOff>
    </xdr:from>
    <xdr:to>
      <xdr:col>23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85</xdr:row>
      <xdr:rowOff>0</xdr:rowOff>
    </xdr:from>
    <xdr:to>
      <xdr:col>38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85</xdr:row>
      <xdr:rowOff>0</xdr:rowOff>
    </xdr:from>
    <xdr:to>
      <xdr:col>59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86</xdr:row>
      <xdr:rowOff>0</xdr:rowOff>
    </xdr:from>
    <xdr:to>
      <xdr:col>44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86</xdr:row>
      <xdr:rowOff>0</xdr:rowOff>
    </xdr:from>
    <xdr:to>
      <xdr:col>70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86</xdr:row>
      <xdr:rowOff>0</xdr:rowOff>
    </xdr:from>
    <xdr:to>
      <xdr:col>23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86</xdr:row>
      <xdr:rowOff>0</xdr:rowOff>
    </xdr:from>
    <xdr:to>
      <xdr:col>38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86</xdr:row>
      <xdr:rowOff>0</xdr:rowOff>
    </xdr:from>
    <xdr:to>
      <xdr:col>59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87</xdr:row>
      <xdr:rowOff>0</xdr:rowOff>
    </xdr:from>
    <xdr:to>
      <xdr:col>44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87</xdr:row>
      <xdr:rowOff>0</xdr:rowOff>
    </xdr:from>
    <xdr:to>
      <xdr:col>70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87</xdr:row>
      <xdr:rowOff>0</xdr:rowOff>
    </xdr:from>
    <xdr:to>
      <xdr:col>59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87</xdr:row>
      <xdr:rowOff>0</xdr:rowOff>
    </xdr:from>
    <xdr:to>
      <xdr:col>38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88</xdr:row>
      <xdr:rowOff>0</xdr:rowOff>
    </xdr:from>
    <xdr:to>
      <xdr:col>44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88</xdr:row>
      <xdr:rowOff>0</xdr:rowOff>
    </xdr:from>
    <xdr:to>
      <xdr:col>70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88</xdr:row>
      <xdr:rowOff>0</xdr:rowOff>
    </xdr:from>
    <xdr:to>
      <xdr:col>23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88</xdr:row>
      <xdr:rowOff>0</xdr:rowOff>
    </xdr:from>
    <xdr:to>
      <xdr:col>59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88</xdr:row>
      <xdr:rowOff>0</xdr:rowOff>
    </xdr:from>
    <xdr:to>
      <xdr:col>38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89</xdr:row>
      <xdr:rowOff>0</xdr:rowOff>
    </xdr:from>
    <xdr:to>
      <xdr:col>44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89</xdr:row>
      <xdr:rowOff>0</xdr:rowOff>
    </xdr:from>
    <xdr:to>
      <xdr:col>70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89</xdr:row>
      <xdr:rowOff>0</xdr:rowOff>
    </xdr:from>
    <xdr:to>
      <xdr:col>38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89</xdr:row>
      <xdr:rowOff>0</xdr:rowOff>
    </xdr:from>
    <xdr:to>
      <xdr:col>59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90</xdr:row>
      <xdr:rowOff>0</xdr:rowOff>
    </xdr:from>
    <xdr:to>
      <xdr:col>44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90</xdr:row>
      <xdr:rowOff>0</xdr:rowOff>
    </xdr:from>
    <xdr:to>
      <xdr:col>70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90</xdr:row>
      <xdr:rowOff>0</xdr:rowOff>
    </xdr:from>
    <xdr:to>
      <xdr:col>38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90</xdr:row>
      <xdr:rowOff>0</xdr:rowOff>
    </xdr:from>
    <xdr:to>
      <xdr:col>59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91</xdr:row>
      <xdr:rowOff>0</xdr:rowOff>
    </xdr:from>
    <xdr:to>
      <xdr:col>44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91</xdr:row>
      <xdr:rowOff>0</xdr:rowOff>
    </xdr:from>
    <xdr:to>
      <xdr:col>70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91</xdr:row>
      <xdr:rowOff>0</xdr:rowOff>
    </xdr:from>
    <xdr:to>
      <xdr:col>38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91</xdr:row>
      <xdr:rowOff>0</xdr:rowOff>
    </xdr:from>
    <xdr:to>
      <xdr:col>59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91</xdr:row>
      <xdr:rowOff>0</xdr:rowOff>
    </xdr:from>
    <xdr:to>
      <xdr:col>23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92</xdr:row>
      <xdr:rowOff>0</xdr:rowOff>
    </xdr:from>
    <xdr:to>
      <xdr:col>70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92</xdr:row>
      <xdr:rowOff>0</xdr:rowOff>
    </xdr:from>
    <xdr:to>
      <xdr:col>38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92</xdr:row>
      <xdr:rowOff>0</xdr:rowOff>
    </xdr:from>
    <xdr:to>
      <xdr:col>44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93</xdr:row>
      <xdr:rowOff>0</xdr:rowOff>
    </xdr:from>
    <xdr:to>
      <xdr:col>70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93</xdr:row>
      <xdr:rowOff>0</xdr:rowOff>
    </xdr:from>
    <xdr:to>
      <xdr:col>23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92</xdr:row>
      <xdr:rowOff>0</xdr:rowOff>
    </xdr:from>
    <xdr:to>
      <xdr:col>59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94</xdr:row>
      <xdr:rowOff>0</xdr:rowOff>
    </xdr:from>
    <xdr:to>
      <xdr:col>70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94</xdr:row>
      <xdr:rowOff>0</xdr:rowOff>
    </xdr:from>
    <xdr:to>
      <xdr:col>23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94</xdr:row>
      <xdr:rowOff>0</xdr:rowOff>
    </xdr:from>
    <xdr:to>
      <xdr:col>38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93</xdr:row>
      <xdr:rowOff>0</xdr:rowOff>
    </xdr:from>
    <xdr:to>
      <xdr:col>44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93</xdr:row>
      <xdr:rowOff>0</xdr:rowOff>
    </xdr:from>
    <xdr:to>
      <xdr:col>38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93</xdr:row>
      <xdr:rowOff>0</xdr:rowOff>
    </xdr:from>
    <xdr:to>
      <xdr:col>59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94</xdr:row>
      <xdr:rowOff>0</xdr:rowOff>
    </xdr:from>
    <xdr:to>
      <xdr:col>44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94</xdr:row>
      <xdr:rowOff>0</xdr:rowOff>
    </xdr:from>
    <xdr:to>
      <xdr:col>59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95</xdr:row>
      <xdr:rowOff>0</xdr:rowOff>
    </xdr:from>
    <xdr:to>
      <xdr:col>70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95</xdr:row>
      <xdr:rowOff>0</xdr:rowOff>
    </xdr:from>
    <xdr:to>
      <xdr:col>23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95</xdr:row>
      <xdr:rowOff>0</xdr:rowOff>
    </xdr:from>
    <xdr:to>
      <xdr:col>38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95</xdr:row>
      <xdr:rowOff>0</xdr:rowOff>
    </xdr:from>
    <xdr:to>
      <xdr:col>59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95</xdr:row>
      <xdr:rowOff>0</xdr:rowOff>
    </xdr:from>
    <xdr:to>
      <xdr:col>45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96</xdr:row>
      <xdr:rowOff>0</xdr:rowOff>
    </xdr:from>
    <xdr:to>
      <xdr:col>70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96</xdr:row>
      <xdr:rowOff>0</xdr:rowOff>
    </xdr:from>
    <xdr:to>
      <xdr:col>38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96</xdr:row>
      <xdr:rowOff>0</xdr:rowOff>
    </xdr:from>
    <xdr:to>
      <xdr:col>44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96</xdr:row>
      <xdr:rowOff>0</xdr:rowOff>
    </xdr:from>
    <xdr:to>
      <xdr:col>23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96</xdr:row>
      <xdr:rowOff>0</xdr:rowOff>
    </xdr:from>
    <xdr:to>
      <xdr:col>59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97</xdr:row>
      <xdr:rowOff>0</xdr:rowOff>
    </xdr:from>
    <xdr:to>
      <xdr:col>70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97</xdr:row>
      <xdr:rowOff>0</xdr:rowOff>
    </xdr:from>
    <xdr:to>
      <xdr:col>59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97</xdr:row>
      <xdr:rowOff>0</xdr:rowOff>
    </xdr:from>
    <xdr:to>
      <xdr:col>38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97</xdr:row>
      <xdr:rowOff>0</xdr:rowOff>
    </xdr:from>
    <xdr:to>
      <xdr:col>44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98</xdr:row>
      <xdr:rowOff>0</xdr:rowOff>
    </xdr:from>
    <xdr:to>
      <xdr:col>70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98</xdr:row>
      <xdr:rowOff>0</xdr:rowOff>
    </xdr:from>
    <xdr:to>
      <xdr:col>44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98</xdr:row>
      <xdr:rowOff>0</xdr:rowOff>
    </xdr:from>
    <xdr:to>
      <xdr:col>59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98</xdr:row>
      <xdr:rowOff>0</xdr:rowOff>
    </xdr:from>
    <xdr:to>
      <xdr:col>23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98</xdr:row>
      <xdr:rowOff>0</xdr:rowOff>
    </xdr:from>
    <xdr:to>
      <xdr:col>38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99</xdr:row>
      <xdr:rowOff>0</xdr:rowOff>
    </xdr:from>
    <xdr:to>
      <xdr:col>70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99</xdr:row>
      <xdr:rowOff>0</xdr:rowOff>
    </xdr:from>
    <xdr:to>
      <xdr:col>44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99</xdr:row>
      <xdr:rowOff>0</xdr:rowOff>
    </xdr:from>
    <xdr:to>
      <xdr:col>23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99</xdr:row>
      <xdr:rowOff>0</xdr:rowOff>
    </xdr:from>
    <xdr:to>
      <xdr:col>38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99</xdr:row>
      <xdr:rowOff>0</xdr:rowOff>
    </xdr:from>
    <xdr:to>
      <xdr:col>59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100</xdr:row>
      <xdr:rowOff>0</xdr:rowOff>
    </xdr:from>
    <xdr:to>
      <xdr:col>70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100</xdr:row>
      <xdr:rowOff>0</xdr:rowOff>
    </xdr:from>
    <xdr:to>
      <xdr:col>44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100</xdr:row>
      <xdr:rowOff>0</xdr:rowOff>
    </xdr:from>
    <xdr:to>
      <xdr:col>23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100</xdr:row>
      <xdr:rowOff>0</xdr:rowOff>
    </xdr:from>
    <xdr:to>
      <xdr:col>59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100</xdr:row>
      <xdr:rowOff>0</xdr:rowOff>
    </xdr:from>
    <xdr:to>
      <xdr:col>38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101</xdr:row>
      <xdr:rowOff>0</xdr:rowOff>
    </xdr:from>
    <xdr:to>
      <xdr:col>70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101</xdr:row>
      <xdr:rowOff>0</xdr:rowOff>
    </xdr:from>
    <xdr:to>
      <xdr:col>44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101</xdr:row>
      <xdr:rowOff>0</xdr:rowOff>
    </xdr:from>
    <xdr:to>
      <xdr:col>23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101</xdr:row>
      <xdr:rowOff>0</xdr:rowOff>
    </xdr:from>
    <xdr:to>
      <xdr:col>59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101</xdr:row>
      <xdr:rowOff>0</xdr:rowOff>
    </xdr:from>
    <xdr:to>
      <xdr:col>38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102</xdr:row>
      <xdr:rowOff>0</xdr:rowOff>
    </xdr:from>
    <xdr:to>
      <xdr:col>70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102</xdr:row>
      <xdr:rowOff>0</xdr:rowOff>
    </xdr:from>
    <xdr:to>
      <xdr:col>59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102</xdr:row>
      <xdr:rowOff>0</xdr:rowOff>
    </xdr:from>
    <xdr:to>
      <xdr:col>38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102</xdr:row>
      <xdr:rowOff>0</xdr:rowOff>
    </xdr:from>
    <xdr:to>
      <xdr:col>44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103</xdr:row>
      <xdr:rowOff>0</xdr:rowOff>
    </xdr:from>
    <xdr:to>
      <xdr:col>70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103</xdr:row>
      <xdr:rowOff>0</xdr:rowOff>
    </xdr:from>
    <xdr:to>
      <xdr:col>23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103</xdr:row>
      <xdr:rowOff>0</xdr:rowOff>
    </xdr:from>
    <xdr:to>
      <xdr:col>38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103</xdr:row>
      <xdr:rowOff>0</xdr:rowOff>
    </xdr:from>
    <xdr:to>
      <xdr:col>59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103</xdr:row>
      <xdr:rowOff>0</xdr:rowOff>
    </xdr:from>
    <xdr:to>
      <xdr:col>44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104</xdr:row>
      <xdr:rowOff>0</xdr:rowOff>
    </xdr:from>
    <xdr:to>
      <xdr:col>70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104</xdr:row>
      <xdr:rowOff>0</xdr:rowOff>
    </xdr:from>
    <xdr:to>
      <xdr:col>23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104</xdr:row>
      <xdr:rowOff>0</xdr:rowOff>
    </xdr:from>
    <xdr:to>
      <xdr:col>59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104</xdr:row>
      <xdr:rowOff>0</xdr:rowOff>
    </xdr:from>
    <xdr:to>
      <xdr:col>44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104</xdr:row>
      <xdr:rowOff>0</xdr:rowOff>
    </xdr:from>
    <xdr:to>
      <xdr:col>38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105</xdr:row>
      <xdr:rowOff>0</xdr:rowOff>
    </xdr:from>
    <xdr:to>
      <xdr:col>59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105</xdr:row>
      <xdr:rowOff>0</xdr:rowOff>
    </xdr:from>
    <xdr:to>
      <xdr:col>44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105</xdr:row>
      <xdr:rowOff>0</xdr:rowOff>
    </xdr:from>
    <xdr:to>
      <xdr:col>23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105</xdr:row>
      <xdr:rowOff>0</xdr:rowOff>
    </xdr:from>
    <xdr:to>
      <xdr:col>38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105</xdr:row>
      <xdr:rowOff>0</xdr:rowOff>
    </xdr:from>
    <xdr:to>
      <xdr:col>70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106</xdr:row>
      <xdr:rowOff>0</xdr:rowOff>
    </xdr:from>
    <xdr:to>
      <xdr:col>23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106</xdr:row>
      <xdr:rowOff>0</xdr:rowOff>
    </xdr:from>
    <xdr:to>
      <xdr:col>70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106</xdr:row>
      <xdr:rowOff>0</xdr:rowOff>
    </xdr:from>
    <xdr:to>
      <xdr:col>59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106</xdr:row>
      <xdr:rowOff>0</xdr:rowOff>
    </xdr:from>
    <xdr:to>
      <xdr:col>38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106</xdr:row>
      <xdr:rowOff>0</xdr:rowOff>
    </xdr:from>
    <xdr:to>
      <xdr:col>44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107</xdr:row>
      <xdr:rowOff>0</xdr:rowOff>
    </xdr:from>
    <xdr:to>
      <xdr:col>38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107</xdr:row>
      <xdr:rowOff>0</xdr:rowOff>
    </xdr:from>
    <xdr:to>
      <xdr:col>44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107</xdr:row>
      <xdr:rowOff>0</xdr:rowOff>
    </xdr:from>
    <xdr:to>
      <xdr:col>23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107</xdr:row>
      <xdr:rowOff>0</xdr:rowOff>
    </xdr:from>
    <xdr:to>
      <xdr:col>59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107</xdr:row>
      <xdr:rowOff>0</xdr:rowOff>
    </xdr:from>
    <xdr:to>
      <xdr:col>70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108</xdr:row>
      <xdr:rowOff>0</xdr:rowOff>
    </xdr:from>
    <xdr:to>
      <xdr:col>23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108</xdr:row>
      <xdr:rowOff>0</xdr:rowOff>
    </xdr:from>
    <xdr:to>
      <xdr:col>44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108</xdr:row>
      <xdr:rowOff>0</xdr:rowOff>
    </xdr:from>
    <xdr:to>
      <xdr:col>38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108</xdr:row>
      <xdr:rowOff>0</xdr:rowOff>
    </xdr:from>
    <xdr:to>
      <xdr:col>59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108</xdr:row>
      <xdr:rowOff>0</xdr:rowOff>
    </xdr:from>
    <xdr:to>
      <xdr:col>70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109</xdr:row>
      <xdr:rowOff>0</xdr:rowOff>
    </xdr:from>
    <xdr:to>
      <xdr:col>23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109</xdr:row>
      <xdr:rowOff>0</xdr:rowOff>
    </xdr:from>
    <xdr:to>
      <xdr:col>70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109</xdr:row>
      <xdr:rowOff>0</xdr:rowOff>
    </xdr:from>
    <xdr:to>
      <xdr:col>59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38</xdr:col>
      <xdr:colOff>0</xdr:colOff>
      <xdr:row>109</xdr:row>
      <xdr:rowOff>0</xdr:rowOff>
    </xdr:from>
    <xdr:to>
      <xdr:col>38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109</xdr:row>
      <xdr:rowOff>0</xdr:rowOff>
    </xdr:from>
    <xdr:to>
      <xdr:col>44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110</xdr:row>
      <xdr:rowOff>0</xdr:rowOff>
    </xdr:from>
    <xdr:to>
      <xdr:col>23</xdr:col>
      <xdr:colOff>83820</xdr:colOff>
      <xdr:row>110</xdr:row>
      <xdr:rowOff>114300</xdr:rowOff>
    </xdr:to>
    <xdr:sp macro="" textlink="">
      <xdr:nvSpPr>
        <xdr:cNvPr id="735" name="Arrow: Down 734">
          <a:extLst>
            <a:ext uri="{FF2B5EF4-FFF2-40B4-BE49-F238E27FC236}">
              <a16:creationId xmlns:a16="http://schemas.microsoft.com/office/drawing/2014/main" id="{D408C349-D81F-482D-8DBA-695D5F847D0E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83820</xdr:colOff>
      <xdr:row>110</xdr:row>
      <xdr:rowOff>114300</xdr:rowOff>
    </xdr:to>
    <xdr:sp macro="" textlink="">
      <xdr:nvSpPr>
        <xdr:cNvPr id="738" name="Arrow: Down 737">
          <a:extLst>
            <a:ext uri="{FF2B5EF4-FFF2-40B4-BE49-F238E27FC236}">
              <a16:creationId xmlns:a16="http://schemas.microsoft.com/office/drawing/2014/main" id="{A8F2E3E5-32D1-4D14-89C3-577A124A1FE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110</xdr:row>
      <xdr:rowOff>0</xdr:rowOff>
    </xdr:from>
    <xdr:to>
      <xdr:col>38</xdr:col>
      <xdr:colOff>83820</xdr:colOff>
      <xdr:row>110</xdr:row>
      <xdr:rowOff>114300</xdr:rowOff>
    </xdr:to>
    <xdr:sp macro="" textlink="">
      <xdr:nvSpPr>
        <xdr:cNvPr id="739" name="Arrow: Down 738">
          <a:extLst>
            <a:ext uri="{FF2B5EF4-FFF2-40B4-BE49-F238E27FC236}">
              <a16:creationId xmlns:a16="http://schemas.microsoft.com/office/drawing/2014/main" id="{9BE97AC5-0527-4B63-8D52-D9D25C1C31E7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110</xdr:row>
      <xdr:rowOff>0</xdr:rowOff>
    </xdr:from>
    <xdr:to>
      <xdr:col>44</xdr:col>
      <xdr:colOff>83820</xdr:colOff>
      <xdr:row>110</xdr:row>
      <xdr:rowOff>114300</xdr:rowOff>
    </xdr:to>
    <xdr:sp macro="" textlink="">
      <xdr:nvSpPr>
        <xdr:cNvPr id="749" name="Arrow: Down 748">
          <a:extLst>
            <a:ext uri="{FF2B5EF4-FFF2-40B4-BE49-F238E27FC236}">
              <a16:creationId xmlns:a16="http://schemas.microsoft.com/office/drawing/2014/main" id="{2A638162-0BF2-4CEC-BA8E-287F4FE1E4A5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83820</xdr:colOff>
      <xdr:row>110</xdr:row>
      <xdr:rowOff>114300</xdr:rowOff>
    </xdr:to>
    <xdr:sp macro="" textlink="">
      <xdr:nvSpPr>
        <xdr:cNvPr id="753" name="Arrow: Down 752">
          <a:extLst>
            <a:ext uri="{FF2B5EF4-FFF2-40B4-BE49-F238E27FC236}">
              <a16:creationId xmlns:a16="http://schemas.microsoft.com/office/drawing/2014/main" id="{499B4929-1A03-442F-8D16-1B2BDECC545A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110</xdr:row>
      <xdr:rowOff>0</xdr:rowOff>
    </xdr:from>
    <xdr:to>
      <xdr:col>59</xdr:col>
      <xdr:colOff>83820</xdr:colOff>
      <xdr:row>110</xdr:row>
      <xdr:rowOff>114300</xdr:rowOff>
    </xdr:to>
    <xdr:sp macro="" textlink="">
      <xdr:nvSpPr>
        <xdr:cNvPr id="687" name="Arrow: Down 686">
          <a:extLst>
            <a:ext uri="{FF2B5EF4-FFF2-40B4-BE49-F238E27FC236}">
              <a16:creationId xmlns:a16="http://schemas.microsoft.com/office/drawing/2014/main" id="{BA38C92B-D6F2-45D4-99F7-5DA764983D75}"/>
            </a:ext>
          </a:extLst>
        </xdr:cNvPr>
        <xdr:cNvSpPr/>
      </xdr:nvSpPr>
      <xdr:spPr>
        <a:xfrm rot="10800000">
          <a:off x="1475232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110</xdr:row>
      <xdr:rowOff>0</xdr:rowOff>
    </xdr:from>
    <xdr:to>
      <xdr:col>70</xdr:col>
      <xdr:colOff>83820</xdr:colOff>
      <xdr:row>110</xdr:row>
      <xdr:rowOff>114300</xdr:rowOff>
    </xdr:to>
    <xdr:sp macro="" textlink="">
      <xdr:nvSpPr>
        <xdr:cNvPr id="692" name="Arrow: Down 691">
          <a:extLst>
            <a:ext uri="{FF2B5EF4-FFF2-40B4-BE49-F238E27FC236}">
              <a16:creationId xmlns:a16="http://schemas.microsoft.com/office/drawing/2014/main" id="{9BBD72C4-9006-4374-9F00-7722AFD21F53}"/>
            </a:ext>
          </a:extLst>
        </xdr:cNvPr>
        <xdr:cNvSpPr/>
      </xdr:nvSpPr>
      <xdr:spPr>
        <a:xfrm rot="10800000">
          <a:off x="170688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83820</xdr:colOff>
      <xdr:row>111</xdr:row>
      <xdr:rowOff>114300</xdr:rowOff>
    </xdr:to>
    <xdr:sp macro="" textlink="">
      <xdr:nvSpPr>
        <xdr:cNvPr id="693" name="Arrow: Down 692">
          <a:extLst>
            <a:ext uri="{FF2B5EF4-FFF2-40B4-BE49-F238E27FC236}">
              <a16:creationId xmlns:a16="http://schemas.microsoft.com/office/drawing/2014/main" id="{32E00BAC-72BB-4822-B8EE-1A22F24B5D0F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83820</xdr:colOff>
      <xdr:row>111</xdr:row>
      <xdr:rowOff>114300</xdr:rowOff>
    </xdr:to>
    <xdr:sp macro="" textlink="">
      <xdr:nvSpPr>
        <xdr:cNvPr id="700" name="Arrow: Down 699">
          <a:extLst>
            <a:ext uri="{FF2B5EF4-FFF2-40B4-BE49-F238E27FC236}">
              <a16:creationId xmlns:a16="http://schemas.microsoft.com/office/drawing/2014/main" id="{2F23EF97-87D4-4AAF-A1C3-AF30CD74C6A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111</xdr:row>
      <xdr:rowOff>0</xdr:rowOff>
    </xdr:from>
    <xdr:to>
      <xdr:col>38</xdr:col>
      <xdr:colOff>83820</xdr:colOff>
      <xdr:row>111</xdr:row>
      <xdr:rowOff>114300</xdr:rowOff>
    </xdr:to>
    <xdr:sp macro="" textlink="">
      <xdr:nvSpPr>
        <xdr:cNvPr id="720" name="Arrow: Down 719">
          <a:extLst>
            <a:ext uri="{FF2B5EF4-FFF2-40B4-BE49-F238E27FC236}">
              <a16:creationId xmlns:a16="http://schemas.microsoft.com/office/drawing/2014/main" id="{7205720B-19A7-4E7D-A9F6-570F11439F61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111</xdr:row>
      <xdr:rowOff>0</xdr:rowOff>
    </xdr:from>
    <xdr:to>
      <xdr:col>44</xdr:col>
      <xdr:colOff>83820</xdr:colOff>
      <xdr:row>111</xdr:row>
      <xdr:rowOff>114300</xdr:rowOff>
    </xdr:to>
    <xdr:sp macro="" textlink="">
      <xdr:nvSpPr>
        <xdr:cNvPr id="726" name="Arrow: Down 725">
          <a:extLst>
            <a:ext uri="{FF2B5EF4-FFF2-40B4-BE49-F238E27FC236}">
              <a16:creationId xmlns:a16="http://schemas.microsoft.com/office/drawing/2014/main" id="{72E9C2B8-7940-469A-8329-AA311F50E6D6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11</xdr:col>
      <xdr:colOff>83820</xdr:colOff>
      <xdr:row>111</xdr:row>
      <xdr:rowOff>114300</xdr:rowOff>
    </xdr:to>
    <xdr:sp macro="" textlink="">
      <xdr:nvSpPr>
        <xdr:cNvPr id="727" name="Arrow: Down 726">
          <a:extLst>
            <a:ext uri="{FF2B5EF4-FFF2-40B4-BE49-F238E27FC236}">
              <a16:creationId xmlns:a16="http://schemas.microsoft.com/office/drawing/2014/main" id="{A165C0A3-96BD-4A61-BE82-1BC02716DE04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111</xdr:row>
      <xdr:rowOff>0</xdr:rowOff>
    </xdr:from>
    <xdr:to>
      <xdr:col>59</xdr:col>
      <xdr:colOff>83820</xdr:colOff>
      <xdr:row>111</xdr:row>
      <xdr:rowOff>114300</xdr:rowOff>
    </xdr:to>
    <xdr:sp macro="" textlink="">
      <xdr:nvSpPr>
        <xdr:cNvPr id="743" name="Arrow: Down 742">
          <a:extLst>
            <a:ext uri="{FF2B5EF4-FFF2-40B4-BE49-F238E27FC236}">
              <a16:creationId xmlns:a16="http://schemas.microsoft.com/office/drawing/2014/main" id="{504C92D6-C0A1-4D22-8356-82BDA1430204}"/>
            </a:ext>
          </a:extLst>
        </xdr:cNvPr>
        <xdr:cNvSpPr/>
      </xdr:nvSpPr>
      <xdr:spPr>
        <a:xfrm>
          <a:off x="1475232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111</xdr:row>
      <xdr:rowOff>0</xdr:rowOff>
    </xdr:from>
    <xdr:to>
      <xdr:col>70</xdr:col>
      <xdr:colOff>83820</xdr:colOff>
      <xdr:row>111</xdr:row>
      <xdr:rowOff>114300</xdr:rowOff>
    </xdr:to>
    <xdr:sp macro="" textlink="">
      <xdr:nvSpPr>
        <xdr:cNvPr id="761" name="Arrow: Down 760">
          <a:extLst>
            <a:ext uri="{FF2B5EF4-FFF2-40B4-BE49-F238E27FC236}">
              <a16:creationId xmlns:a16="http://schemas.microsoft.com/office/drawing/2014/main" id="{65B1DCC6-1D6D-4085-82F4-F609503A082E}"/>
            </a:ext>
          </a:extLst>
        </xdr:cNvPr>
        <xdr:cNvSpPr/>
      </xdr:nvSpPr>
      <xdr:spPr>
        <a:xfrm>
          <a:off x="170688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112</xdr:row>
      <xdr:rowOff>0</xdr:rowOff>
    </xdr:from>
    <xdr:to>
      <xdr:col>5</xdr:col>
      <xdr:colOff>83820</xdr:colOff>
      <xdr:row>112</xdr:row>
      <xdr:rowOff>114300</xdr:rowOff>
    </xdr:to>
    <xdr:sp macro="" textlink="">
      <xdr:nvSpPr>
        <xdr:cNvPr id="764" name="Arrow: Down 763">
          <a:extLst>
            <a:ext uri="{FF2B5EF4-FFF2-40B4-BE49-F238E27FC236}">
              <a16:creationId xmlns:a16="http://schemas.microsoft.com/office/drawing/2014/main" id="{BFAF3E4C-E1B2-484B-8237-853F2082F034}"/>
            </a:ext>
          </a:extLst>
        </xdr:cNvPr>
        <xdr:cNvSpPr/>
      </xdr:nvSpPr>
      <xdr:spPr>
        <a:xfrm rot="10800000">
          <a:off x="192786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112</xdr:row>
      <xdr:rowOff>0</xdr:rowOff>
    </xdr:from>
    <xdr:to>
      <xdr:col>44</xdr:col>
      <xdr:colOff>83820</xdr:colOff>
      <xdr:row>112</xdr:row>
      <xdr:rowOff>114300</xdr:rowOff>
    </xdr:to>
    <xdr:sp macro="" textlink="">
      <xdr:nvSpPr>
        <xdr:cNvPr id="766" name="Arrow: Down 765">
          <a:extLst>
            <a:ext uri="{FF2B5EF4-FFF2-40B4-BE49-F238E27FC236}">
              <a16:creationId xmlns:a16="http://schemas.microsoft.com/office/drawing/2014/main" id="{D82C32EC-ED33-4B15-83C1-9EC5E3B2ECD6}"/>
            </a:ext>
          </a:extLst>
        </xdr:cNvPr>
        <xdr:cNvSpPr/>
      </xdr:nvSpPr>
      <xdr:spPr>
        <a:xfrm rot="10800000">
          <a:off x="101346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11</xdr:col>
      <xdr:colOff>83820</xdr:colOff>
      <xdr:row>112</xdr:row>
      <xdr:rowOff>114300</xdr:rowOff>
    </xdr:to>
    <xdr:sp macro="" textlink="">
      <xdr:nvSpPr>
        <xdr:cNvPr id="767" name="Arrow: Down 766">
          <a:extLst>
            <a:ext uri="{FF2B5EF4-FFF2-40B4-BE49-F238E27FC236}">
              <a16:creationId xmlns:a16="http://schemas.microsoft.com/office/drawing/2014/main" id="{FC4463F0-39DB-4A94-AD5A-C375E27DA7A6}"/>
            </a:ext>
          </a:extLst>
        </xdr:cNvPr>
        <xdr:cNvSpPr/>
      </xdr:nvSpPr>
      <xdr:spPr>
        <a:xfrm rot="10800000">
          <a:off x="361950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113</xdr:row>
      <xdr:rowOff>0</xdr:rowOff>
    </xdr:from>
    <xdr:to>
      <xdr:col>5</xdr:col>
      <xdr:colOff>83820</xdr:colOff>
      <xdr:row>113</xdr:row>
      <xdr:rowOff>114300</xdr:rowOff>
    </xdr:to>
    <xdr:sp macro="" textlink="">
      <xdr:nvSpPr>
        <xdr:cNvPr id="773" name="Arrow: Down 772">
          <a:extLst>
            <a:ext uri="{FF2B5EF4-FFF2-40B4-BE49-F238E27FC236}">
              <a16:creationId xmlns:a16="http://schemas.microsoft.com/office/drawing/2014/main" id="{95BCFE93-843B-4B04-B735-214D63DC7C99}"/>
            </a:ext>
          </a:extLst>
        </xdr:cNvPr>
        <xdr:cNvSpPr/>
      </xdr:nvSpPr>
      <xdr:spPr>
        <a:xfrm rot="10800000">
          <a:off x="192786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113</xdr:row>
      <xdr:rowOff>0</xdr:rowOff>
    </xdr:from>
    <xdr:to>
      <xdr:col>44</xdr:col>
      <xdr:colOff>83820</xdr:colOff>
      <xdr:row>113</xdr:row>
      <xdr:rowOff>114300</xdr:rowOff>
    </xdr:to>
    <xdr:sp macro="" textlink="">
      <xdr:nvSpPr>
        <xdr:cNvPr id="776" name="Arrow: Down 775">
          <a:extLst>
            <a:ext uri="{FF2B5EF4-FFF2-40B4-BE49-F238E27FC236}">
              <a16:creationId xmlns:a16="http://schemas.microsoft.com/office/drawing/2014/main" id="{54D49D89-BF04-4B76-9E82-3797F6F6A0E5}"/>
            </a:ext>
          </a:extLst>
        </xdr:cNvPr>
        <xdr:cNvSpPr/>
      </xdr:nvSpPr>
      <xdr:spPr>
        <a:xfrm rot="10800000">
          <a:off x="10134600" y="2058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113</xdr:row>
      <xdr:rowOff>0</xdr:rowOff>
    </xdr:from>
    <xdr:to>
      <xdr:col>11</xdr:col>
      <xdr:colOff>83820</xdr:colOff>
      <xdr:row>113</xdr:row>
      <xdr:rowOff>114300</xdr:rowOff>
    </xdr:to>
    <xdr:sp macro="" textlink="">
      <xdr:nvSpPr>
        <xdr:cNvPr id="777" name="Arrow: Down 776">
          <a:extLst>
            <a:ext uri="{FF2B5EF4-FFF2-40B4-BE49-F238E27FC236}">
              <a16:creationId xmlns:a16="http://schemas.microsoft.com/office/drawing/2014/main" id="{83AFB0A1-74F1-4667-BADE-7E12784C654C}"/>
            </a:ext>
          </a:extLst>
        </xdr:cNvPr>
        <xdr:cNvSpPr/>
      </xdr:nvSpPr>
      <xdr:spPr>
        <a:xfrm rot="10800000">
          <a:off x="36195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112</xdr:row>
      <xdr:rowOff>0</xdr:rowOff>
    </xdr:from>
    <xdr:to>
      <xdr:col>23</xdr:col>
      <xdr:colOff>83820</xdr:colOff>
      <xdr:row>112</xdr:row>
      <xdr:rowOff>114300</xdr:rowOff>
    </xdr:to>
    <xdr:sp macro="" textlink="">
      <xdr:nvSpPr>
        <xdr:cNvPr id="780" name="Arrow: Down 779">
          <a:extLst>
            <a:ext uri="{FF2B5EF4-FFF2-40B4-BE49-F238E27FC236}">
              <a16:creationId xmlns:a16="http://schemas.microsoft.com/office/drawing/2014/main" id="{ABC2F574-42B4-4EA8-90DF-D36AF2970FAD}"/>
            </a:ext>
          </a:extLst>
        </xdr:cNvPr>
        <xdr:cNvSpPr/>
      </xdr:nvSpPr>
      <xdr:spPr>
        <a:xfrm>
          <a:off x="5440680" y="20581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112</xdr:row>
      <xdr:rowOff>0</xdr:rowOff>
    </xdr:from>
    <xdr:to>
      <xdr:col>38</xdr:col>
      <xdr:colOff>83820</xdr:colOff>
      <xdr:row>112</xdr:row>
      <xdr:rowOff>114300</xdr:rowOff>
    </xdr:to>
    <xdr:sp macro="" textlink="">
      <xdr:nvSpPr>
        <xdr:cNvPr id="781" name="Arrow: Down 780">
          <a:extLst>
            <a:ext uri="{FF2B5EF4-FFF2-40B4-BE49-F238E27FC236}">
              <a16:creationId xmlns:a16="http://schemas.microsoft.com/office/drawing/2014/main" id="{FB53A926-3C6F-4C27-A761-D06A12A6DC7A}"/>
            </a:ext>
          </a:extLst>
        </xdr:cNvPr>
        <xdr:cNvSpPr/>
      </xdr:nvSpPr>
      <xdr:spPr>
        <a:xfrm>
          <a:off x="854964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112</xdr:row>
      <xdr:rowOff>0</xdr:rowOff>
    </xdr:from>
    <xdr:to>
      <xdr:col>59</xdr:col>
      <xdr:colOff>83820</xdr:colOff>
      <xdr:row>112</xdr:row>
      <xdr:rowOff>114300</xdr:rowOff>
    </xdr:to>
    <xdr:sp macro="" textlink="">
      <xdr:nvSpPr>
        <xdr:cNvPr id="782" name="Arrow: Down 781">
          <a:extLst>
            <a:ext uri="{FF2B5EF4-FFF2-40B4-BE49-F238E27FC236}">
              <a16:creationId xmlns:a16="http://schemas.microsoft.com/office/drawing/2014/main" id="{592C225C-8872-4B29-9112-461B8CD12DCD}"/>
            </a:ext>
          </a:extLst>
        </xdr:cNvPr>
        <xdr:cNvSpPr/>
      </xdr:nvSpPr>
      <xdr:spPr>
        <a:xfrm rot="10800000">
          <a:off x="1475232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112</xdr:row>
      <xdr:rowOff>0</xdr:rowOff>
    </xdr:from>
    <xdr:to>
      <xdr:col>70</xdr:col>
      <xdr:colOff>83820</xdr:colOff>
      <xdr:row>112</xdr:row>
      <xdr:rowOff>114300</xdr:rowOff>
    </xdr:to>
    <xdr:sp macro="" textlink="">
      <xdr:nvSpPr>
        <xdr:cNvPr id="785" name="Arrow: Down 784">
          <a:extLst>
            <a:ext uri="{FF2B5EF4-FFF2-40B4-BE49-F238E27FC236}">
              <a16:creationId xmlns:a16="http://schemas.microsoft.com/office/drawing/2014/main" id="{D560FD01-565C-4567-A27E-7701FB47A931}"/>
            </a:ext>
          </a:extLst>
        </xdr:cNvPr>
        <xdr:cNvSpPr/>
      </xdr:nvSpPr>
      <xdr:spPr>
        <a:xfrm rot="10800000">
          <a:off x="170688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114</xdr:row>
      <xdr:rowOff>0</xdr:rowOff>
    </xdr:from>
    <xdr:to>
      <xdr:col>23</xdr:col>
      <xdr:colOff>83820</xdr:colOff>
      <xdr:row>114</xdr:row>
      <xdr:rowOff>114300</xdr:rowOff>
    </xdr:to>
    <xdr:sp macro="" textlink="">
      <xdr:nvSpPr>
        <xdr:cNvPr id="786" name="Arrow: Down 785">
          <a:extLst>
            <a:ext uri="{FF2B5EF4-FFF2-40B4-BE49-F238E27FC236}">
              <a16:creationId xmlns:a16="http://schemas.microsoft.com/office/drawing/2014/main" id="{0CEF9245-4110-4CCA-A8A6-F4E6EE25FE07}"/>
            </a:ext>
          </a:extLst>
        </xdr:cNvPr>
        <xdr:cNvSpPr/>
      </xdr:nvSpPr>
      <xdr:spPr>
        <a:xfrm rot="10800000">
          <a:off x="544068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114</xdr:row>
      <xdr:rowOff>0</xdr:rowOff>
    </xdr:from>
    <xdr:to>
      <xdr:col>38</xdr:col>
      <xdr:colOff>83820</xdr:colOff>
      <xdr:row>114</xdr:row>
      <xdr:rowOff>114300</xdr:rowOff>
    </xdr:to>
    <xdr:sp macro="" textlink="">
      <xdr:nvSpPr>
        <xdr:cNvPr id="788" name="Arrow: Down 787">
          <a:extLst>
            <a:ext uri="{FF2B5EF4-FFF2-40B4-BE49-F238E27FC236}">
              <a16:creationId xmlns:a16="http://schemas.microsoft.com/office/drawing/2014/main" id="{0FF6BB03-DDDF-487A-A4F4-1592774925D6}"/>
            </a:ext>
          </a:extLst>
        </xdr:cNvPr>
        <xdr:cNvSpPr/>
      </xdr:nvSpPr>
      <xdr:spPr>
        <a:xfrm rot="10800000">
          <a:off x="854964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114</xdr:row>
      <xdr:rowOff>0</xdr:rowOff>
    </xdr:from>
    <xdr:to>
      <xdr:col>44</xdr:col>
      <xdr:colOff>83820</xdr:colOff>
      <xdr:row>114</xdr:row>
      <xdr:rowOff>114300</xdr:rowOff>
    </xdr:to>
    <xdr:sp macro="" textlink="">
      <xdr:nvSpPr>
        <xdr:cNvPr id="789" name="Arrow: Down 788">
          <a:extLst>
            <a:ext uri="{FF2B5EF4-FFF2-40B4-BE49-F238E27FC236}">
              <a16:creationId xmlns:a16="http://schemas.microsoft.com/office/drawing/2014/main" id="{D3F8ABE8-F39B-4763-9BD0-57E78D66E48B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114</xdr:row>
      <xdr:rowOff>0</xdr:rowOff>
    </xdr:from>
    <xdr:to>
      <xdr:col>59</xdr:col>
      <xdr:colOff>83820</xdr:colOff>
      <xdr:row>114</xdr:row>
      <xdr:rowOff>114300</xdr:rowOff>
    </xdr:to>
    <xdr:sp macro="" textlink="">
      <xdr:nvSpPr>
        <xdr:cNvPr id="791" name="Arrow: Down 790">
          <a:extLst>
            <a:ext uri="{FF2B5EF4-FFF2-40B4-BE49-F238E27FC236}">
              <a16:creationId xmlns:a16="http://schemas.microsoft.com/office/drawing/2014/main" id="{C05B7871-C5EB-4267-A31F-B3D90079C353}"/>
            </a:ext>
          </a:extLst>
        </xdr:cNvPr>
        <xdr:cNvSpPr/>
      </xdr:nvSpPr>
      <xdr:spPr>
        <a:xfrm>
          <a:off x="1475232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83820</xdr:colOff>
      <xdr:row>113</xdr:row>
      <xdr:rowOff>114300</xdr:rowOff>
    </xdr:to>
    <xdr:sp macro="" textlink="">
      <xdr:nvSpPr>
        <xdr:cNvPr id="793" name="Arrow: Down 792">
          <a:extLst>
            <a:ext uri="{FF2B5EF4-FFF2-40B4-BE49-F238E27FC236}">
              <a16:creationId xmlns:a16="http://schemas.microsoft.com/office/drawing/2014/main" id="{7E2EC415-34ED-4854-8E9D-0573F41E516B}"/>
            </a:ext>
          </a:extLst>
        </xdr:cNvPr>
        <xdr:cNvSpPr/>
      </xdr:nvSpPr>
      <xdr:spPr>
        <a:xfrm>
          <a:off x="5440680" y="20764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113</xdr:row>
      <xdr:rowOff>0</xdr:rowOff>
    </xdr:from>
    <xdr:to>
      <xdr:col>38</xdr:col>
      <xdr:colOff>83820</xdr:colOff>
      <xdr:row>113</xdr:row>
      <xdr:rowOff>114300</xdr:rowOff>
    </xdr:to>
    <xdr:sp macro="" textlink="">
      <xdr:nvSpPr>
        <xdr:cNvPr id="794" name="Arrow: Down 793">
          <a:extLst>
            <a:ext uri="{FF2B5EF4-FFF2-40B4-BE49-F238E27FC236}">
              <a16:creationId xmlns:a16="http://schemas.microsoft.com/office/drawing/2014/main" id="{EE58D913-524C-4229-9768-159C19E51546}"/>
            </a:ext>
          </a:extLst>
        </xdr:cNvPr>
        <xdr:cNvSpPr/>
      </xdr:nvSpPr>
      <xdr:spPr>
        <a:xfrm>
          <a:off x="854964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113</xdr:row>
      <xdr:rowOff>0</xdr:rowOff>
    </xdr:from>
    <xdr:to>
      <xdr:col>59</xdr:col>
      <xdr:colOff>83820</xdr:colOff>
      <xdr:row>113</xdr:row>
      <xdr:rowOff>114300</xdr:rowOff>
    </xdr:to>
    <xdr:sp macro="" textlink="">
      <xdr:nvSpPr>
        <xdr:cNvPr id="795" name="Arrow: Down 794">
          <a:extLst>
            <a:ext uri="{FF2B5EF4-FFF2-40B4-BE49-F238E27FC236}">
              <a16:creationId xmlns:a16="http://schemas.microsoft.com/office/drawing/2014/main" id="{18F41EB1-66FF-41D0-ACEB-DE4FAF62FB36}"/>
            </a:ext>
          </a:extLst>
        </xdr:cNvPr>
        <xdr:cNvSpPr/>
      </xdr:nvSpPr>
      <xdr:spPr>
        <a:xfrm rot="10800000">
          <a:off x="1475232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113</xdr:row>
      <xdr:rowOff>0</xdr:rowOff>
    </xdr:from>
    <xdr:to>
      <xdr:col>70</xdr:col>
      <xdr:colOff>83820</xdr:colOff>
      <xdr:row>113</xdr:row>
      <xdr:rowOff>114300</xdr:rowOff>
    </xdr:to>
    <xdr:sp macro="" textlink="">
      <xdr:nvSpPr>
        <xdr:cNvPr id="796" name="Arrow: Down 795">
          <a:extLst>
            <a:ext uri="{FF2B5EF4-FFF2-40B4-BE49-F238E27FC236}">
              <a16:creationId xmlns:a16="http://schemas.microsoft.com/office/drawing/2014/main" id="{FA62FEAB-F6CD-438A-AC00-DE18437BE824}"/>
            </a:ext>
          </a:extLst>
        </xdr:cNvPr>
        <xdr:cNvSpPr/>
      </xdr:nvSpPr>
      <xdr:spPr>
        <a:xfrm rot="10800000">
          <a:off x="1706880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114</xdr:row>
      <xdr:rowOff>0</xdr:rowOff>
    </xdr:from>
    <xdr:to>
      <xdr:col>44</xdr:col>
      <xdr:colOff>83820</xdr:colOff>
      <xdr:row>114</xdr:row>
      <xdr:rowOff>114300</xdr:rowOff>
    </xdr:to>
    <xdr:sp macro="" textlink="">
      <xdr:nvSpPr>
        <xdr:cNvPr id="797" name="Arrow: Down 796">
          <a:extLst>
            <a:ext uri="{FF2B5EF4-FFF2-40B4-BE49-F238E27FC236}">
              <a16:creationId xmlns:a16="http://schemas.microsoft.com/office/drawing/2014/main" id="{A1EA5953-4F1B-454A-9866-9693AA202256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114</xdr:row>
      <xdr:rowOff>0</xdr:rowOff>
    </xdr:from>
    <xdr:to>
      <xdr:col>5</xdr:col>
      <xdr:colOff>83820</xdr:colOff>
      <xdr:row>114</xdr:row>
      <xdr:rowOff>114300</xdr:rowOff>
    </xdr:to>
    <xdr:sp macro="" textlink="">
      <xdr:nvSpPr>
        <xdr:cNvPr id="803" name="Arrow: Down 802">
          <a:extLst>
            <a:ext uri="{FF2B5EF4-FFF2-40B4-BE49-F238E27FC236}">
              <a16:creationId xmlns:a16="http://schemas.microsoft.com/office/drawing/2014/main" id="{62C70FC9-E48D-459E-B8D0-07E5DE3D4D23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11</xdr:col>
      <xdr:colOff>83820</xdr:colOff>
      <xdr:row>114</xdr:row>
      <xdr:rowOff>114300</xdr:rowOff>
    </xdr:to>
    <xdr:sp macro="" textlink="">
      <xdr:nvSpPr>
        <xdr:cNvPr id="804" name="Arrow: Down 803">
          <a:extLst>
            <a:ext uri="{FF2B5EF4-FFF2-40B4-BE49-F238E27FC236}">
              <a16:creationId xmlns:a16="http://schemas.microsoft.com/office/drawing/2014/main" id="{353D55E1-BF4F-4FED-98E9-7FC89D23C8A0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114</xdr:row>
      <xdr:rowOff>0</xdr:rowOff>
    </xdr:from>
    <xdr:to>
      <xdr:col>70</xdr:col>
      <xdr:colOff>83820</xdr:colOff>
      <xdr:row>114</xdr:row>
      <xdr:rowOff>114300</xdr:rowOff>
    </xdr:to>
    <xdr:sp macro="" textlink="">
      <xdr:nvSpPr>
        <xdr:cNvPr id="806" name="Arrow: Down 805">
          <a:extLst>
            <a:ext uri="{FF2B5EF4-FFF2-40B4-BE49-F238E27FC236}">
              <a16:creationId xmlns:a16="http://schemas.microsoft.com/office/drawing/2014/main" id="{C8C86455-5859-4092-A1D9-F25970E97950}"/>
            </a:ext>
          </a:extLst>
        </xdr:cNvPr>
        <xdr:cNvSpPr/>
      </xdr:nvSpPr>
      <xdr:spPr>
        <a:xfrm rot="10800000">
          <a:off x="17068800" y="2094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115</xdr:row>
      <xdr:rowOff>0</xdr:rowOff>
    </xdr:from>
    <xdr:to>
      <xdr:col>44</xdr:col>
      <xdr:colOff>83820</xdr:colOff>
      <xdr:row>115</xdr:row>
      <xdr:rowOff>114300</xdr:rowOff>
    </xdr:to>
    <xdr:sp macro="" textlink="">
      <xdr:nvSpPr>
        <xdr:cNvPr id="809" name="Arrow: Down 808">
          <a:extLst>
            <a:ext uri="{FF2B5EF4-FFF2-40B4-BE49-F238E27FC236}">
              <a16:creationId xmlns:a16="http://schemas.microsoft.com/office/drawing/2014/main" id="{D76005C7-8ACA-429B-A134-401ACFEF3257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115</xdr:row>
      <xdr:rowOff>0</xdr:rowOff>
    </xdr:from>
    <xdr:to>
      <xdr:col>59</xdr:col>
      <xdr:colOff>83820</xdr:colOff>
      <xdr:row>115</xdr:row>
      <xdr:rowOff>114300</xdr:rowOff>
    </xdr:to>
    <xdr:sp macro="" textlink="">
      <xdr:nvSpPr>
        <xdr:cNvPr id="810" name="Arrow: Down 809">
          <a:extLst>
            <a:ext uri="{FF2B5EF4-FFF2-40B4-BE49-F238E27FC236}">
              <a16:creationId xmlns:a16="http://schemas.microsoft.com/office/drawing/2014/main" id="{367C926E-CB3E-4845-A38F-BAF4928B4FAA}"/>
            </a:ext>
          </a:extLst>
        </xdr:cNvPr>
        <xdr:cNvSpPr/>
      </xdr:nvSpPr>
      <xdr:spPr>
        <a:xfrm>
          <a:off x="1475232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115</xdr:row>
      <xdr:rowOff>0</xdr:rowOff>
    </xdr:from>
    <xdr:to>
      <xdr:col>44</xdr:col>
      <xdr:colOff>83820</xdr:colOff>
      <xdr:row>115</xdr:row>
      <xdr:rowOff>114300</xdr:rowOff>
    </xdr:to>
    <xdr:sp macro="" textlink="">
      <xdr:nvSpPr>
        <xdr:cNvPr id="811" name="Arrow: Down 810">
          <a:extLst>
            <a:ext uri="{FF2B5EF4-FFF2-40B4-BE49-F238E27FC236}">
              <a16:creationId xmlns:a16="http://schemas.microsoft.com/office/drawing/2014/main" id="{BBC45068-5C02-48C3-9D0F-F04D3DC03D10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83820</xdr:colOff>
      <xdr:row>115</xdr:row>
      <xdr:rowOff>114300</xdr:rowOff>
    </xdr:to>
    <xdr:sp macro="" textlink="">
      <xdr:nvSpPr>
        <xdr:cNvPr id="812" name="Arrow: Down 811">
          <a:extLst>
            <a:ext uri="{FF2B5EF4-FFF2-40B4-BE49-F238E27FC236}">
              <a16:creationId xmlns:a16="http://schemas.microsoft.com/office/drawing/2014/main" id="{0D71CC93-D56D-4E9F-AF9C-EA14356A1276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115</xdr:row>
      <xdr:rowOff>0</xdr:rowOff>
    </xdr:from>
    <xdr:to>
      <xdr:col>11</xdr:col>
      <xdr:colOff>83820</xdr:colOff>
      <xdr:row>115</xdr:row>
      <xdr:rowOff>114300</xdr:rowOff>
    </xdr:to>
    <xdr:sp macro="" textlink="">
      <xdr:nvSpPr>
        <xdr:cNvPr id="813" name="Arrow: Down 812">
          <a:extLst>
            <a:ext uri="{FF2B5EF4-FFF2-40B4-BE49-F238E27FC236}">
              <a16:creationId xmlns:a16="http://schemas.microsoft.com/office/drawing/2014/main" id="{37F8B3AF-E62B-4175-97C9-34EEAE30F0E3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115</xdr:row>
      <xdr:rowOff>0</xdr:rowOff>
    </xdr:from>
    <xdr:to>
      <xdr:col>70</xdr:col>
      <xdr:colOff>83820</xdr:colOff>
      <xdr:row>115</xdr:row>
      <xdr:rowOff>114300</xdr:rowOff>
    </xdr:to>
    <xdr:sp macro="" textlink="">
      <xdr:nvSpPr>
        <xdr:cNvPr id="816" name="Arrow: Down 815">
          <a:extLst>
            <a:ext uri="{FF2B5EF4-FFF2-40B4-BE49-F238E27FC236}">
              <a16:creationId xmlns:a16="http://schemas.microsoft.com/office/drawing/2014/main" id="{90DB0C9F-2559-4C61-A256-8A097C373A8E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115</xdr:row>
      <xdr:rowOff>0</xdr:rowOff>
    </xdr:from>
    <xdr:to>
      <xdr:col>23</xdr:col>
      <xdr:colOff>83820</xdr:colOff>
      <xdr:row>115</xdr:row>
      <xdr:rowOff>114300</xdr:rowOff>
    </xdr:to>
    <xdr:sp macro="" textlink="">
      <xdr:nvSpPr>
        <xdr:cNvPr id="817" name="Arrow: Down 816">
          <a:extLst>
            <a:ext uri="{FF2B5EF4-FFF2-40B4-BE49-F238E27FC236}">
              <a16:creationId xmlns:a16="http://schemas.microsoft.com/office/drawing/2014/main" id="{085A59B9-882A-4528-B5E1-BCF1348925A7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115</xdr:row>
      <xdr:rowOff>0</xdr:rowOff>
    </xdr:from>
    <xdr:to>
      <xdr:col>38</xdr:col>
      <xdr:colOff>83820</xdr:colOff>
      <xdr:row>115</xdr:row>
      <xdr:rowOff>114300</xdr:rowOff>
    </xdr:to>
    <xdr:sp macro="" textlink="">
      <xdr:nvSpPr>
        <xdr:cNvPr id="819" name="Arrow: Down 818">
          <a:extLst>
            <a:ext uri="{FF2B5EF4-FFF2-40B4-BE49-F238E27FC236}">
              <a16:creationId xmlns:a16="http://schemas.microsoft.com/office/drawing/2014/main" id="{2D7C3DAD-4B24-4BDA-8B2B-8590882DADDE}"/>
            </a:ext>
          </a:extLst>
        </xdr:cNvPr>
        <xdr:cNvSpPr/>
      </xdr:nvSpPr>
      <xdr:spPr>
        <a:xfrm>
          <a:off x="8549640" y="2113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116</xdr:row>
      <xdr:rowOff>0</xdr:rowOff>
    </xdr:from>
    <xdr:to>
      <xdr:col>44</xdr:col>
      <xdr:colOff>83820</xdr:colOff>
      <xdr:row>116</xdr:row>
      <xdr:rowOff>114300</xdr:rowOff>
    </xdr:to>
    <xdr:sp macro="" textlink="">
      <xdr:nvSpPr>
        <xdr:cNvPr id="820" name="Arrow: Down 819">
          <a:extLst>
            <a:ext uri="{FF2B5EF4-FFF2-40B4-BE49-F238E27FC236}">
              <a16:creationId xmlns:a16="http://schemas.microsoft.com/office/drawing/2014/main" id="{B26C6D4B-CCD4-4FBD-B235-FB1495C9074C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116</xdr:row>
      <xdr:rowOff>0</xdr:rowOff>
    </xdr:from>
    <xdr:to>
      <xdr:col>59</xdr:col>
      <xdr:colOff>83820</xdr:colOff>
      <xdr:row>116</xdr:row>
      <xdr:rowOff>114300</xdr:rowOff>
    </xdr:to>
    <xdr:sp macro="" textlink="">
      <xdr:nvSpPr>
        <xdr:cNvPr id="821" name="Arrow: Down 820">
          <a:extLst>
            <a:ext uri="{FF2B5EF4-FFF2-40B4-BE49-F238E27FC236}">
              <a16:creationId xmlns:a16="http://schemas.microsoft.com/office/drawing/2014/main" id="{4B97AFCD-D909-4716-A550-91AE07D82AD7}"/>
            </a:ext>
          </a:extLst>
        </xdr:cNvPr>
        <xdr:cNvSpPr/>
      </xdr:nvSpPr>
      <xdr:spPr>
        <a:xfrm>
          <a:off x="1475232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116</xdr:row>
      <xdr:rowOff>0</xdr:rowOff>
    </xdr:from>
    <xdr:to>
      <xdr:col>44</xdr:col>
      <xdr:colOff>83820</xdr:colOff>
      <xdr:row>116</xdr:row>
      <xdr:rowOff>114300</xdr:rowOff>
    </xdr:to>
    <xdr:sp macro="" textlink="">
      <xdr:nvSpPr>
        <xdr:cNvPr id="822" name="Arrow: Down 821">
          <a:extLst>
            <a:ext uri="{FF2B5EF4-FFF2-40B4-BE49-F238E27FC236}">
              <a16:creationId xmlns:a16="http://schemas.microsoft.com/office/drawing/2014/main" id="{0B3BB8D2-A2E0-41BF-B291-41212CD30299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116</xdr:row>
      <xdr:rowOff>0</xdr:rowOff>
    </xdr:from>
    <xdr:to>
      <xdr:col>5</xdr:col>
      <xdr:colOff>83820</xdr:colOff>
      <xdr:row>116</xdr:row>
      <xdr:rowOff>114300</xdr:rowOff>
    </xdr:to>
    <xdr:sp macro="" textlink="">
      <xdr:nvSpPr>
        <xdr:cNvPr id="823" name="Arrow: Down 822">
          <a:extLst>
            <a:ext uri="{FF2B5EF4-FFF2-40B4-BE49-F238E27FC236}">
              <a16:creationId xmlns:a16="http://schemas.microsoft.com/office/drawing/2014/main" id="{FDF23AB8-F5DE-403A-8063-2F7022A58B71}"/>
            </a:ext>
          </a:extLst>
        </xdr:cNvPr>
        <xdr:cNvSpPr/>
      </xdr:nvSpPr>
      <xdr:spPr>
        <a:xfrm>
          <a:off x="192786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116</xdr:row>
      <xdr:rowOff>0</xdr:rowOff>
    </xdr:from>
    <xdr:to>
      <xdr:col>11</xdr:col>
      <xdr:colOff>83820</xdr:colOff>
      <xdr:row>116</xdr:row>
      <xdr:rowOff>114300</xdr:rowOff>
    </xdr:to>
    <xdr:sp macro="" textlink="">
      <xdr:nvSpPr>
        <xdr:cNvPr id="824" name="Arrow: Down 823">
          <a:extLst>
            <a:ext uri="{FF2B5EF4-FFF2-40B4-BE49-F238E27FC236}">
              <a16:creationId xmlns:a16="http://schemas.microsoft.com/office/drawing/2014/main" id="{0CA679FB-1FEB-4014-9552-67625EA04082}"/>
            </a:ext>
          </a:extLst>
        </xdr:cNvPr>
        <xdr:cNvSpPr/>
      </xdr:nvSpPr>
      <xdr:spPr>
        <a:xfrm>
          <a:off x="361950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116</xdr:row>
      <xdr:rowOff>0</xdr:rowOff>
    </xdr:from>
    <xdr:to>
      <xdr:col>70</xdr:col>
      <xdr:colOff>83820</xdr:colOff>
      <xdr:row>116</xdr:row>
      <xdr:rowOff>114300</xdr:rowOff>
    </xdr:to>
    <xdr:sp macro="" textlink="">
      <xdr:nvSpPr>
        <xdr:cNvPr id="825" name="Arrow: Down 824">
          <a:extLst>
            <a:ext uri="{FF2B5EF4-FFF2-40B4-BE49-F238E27FC236}">
              <a16:creationId xmlns:a16="http://schemas.microsoft.com/office/drawing/2014/main" id="{C50F7EC6-29A3-4BB5-AA2C-4FE19A59B899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116</xdr:row>
      <xdr:rowOff>0</xdr:rowOff>
    </xdr:from>
    <xdr:to>
      <xdr:col>23</xdr:col>
      <xdr:colOff>83820</xdr:colOff>
      <xdr:row>116</xdr:row>
      <xdr:rowOff>114300</xdr:rowOff>
    </xdr:to>
    <xdr:sp macro="" textlink="">
      <xdr:nvSpPr>
        <xdr:cNvPr id="826" name="Arrow: Down 825">
          <a:extLst>
            <a:ext uri="{FF2B5EF4-FFF2-40B4-BE49-F238E27FC236}">
              <a16:creationId xmlns:a16="http://schemas.microsoft.com/office/drawing/2014/main" id="{51802596-8174-4091-A241-0AAD991870D6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116</xdr:row>
      <xdr:rowOff>0</xdr:rowOff>
    </xdr:from>
    <xdr:to>
      <xdr:col>38</xdr:col>
      <xdr:colOff>83820</xdr:colOff>
      <xdr:row>116</xdr:row>
      <xdr:rowOff>114300</xdr:rowOff>
    </xdr:to>
    <xdr:sp macro="" textlink="">
      <xdr:nvSpPr>
        <xdr:cNvPr id="829" name="Arrow: Down 828">
          <a:extLst>
            <a:ext uri="{FF2B5EF4-FFF2-40B4-BE49-F238E27FC236}">
              <a16:creationId xmlns:a16="http://schemas.microsoft.com/office/drawing/2014/main" id="{256F2AD5-B003-40D4-87EA-6C1E8A0B4514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117</xdr:row>
      <xdr:rowOff>0</xdr:rowOff>
    </xdr:from>
    <xdr:to>
      <xdr:col>44</xdr:col>
      <xdr:colOff>83820</xdr:colOff>
      <xdr:row>117</xdr:row>
      <xdr:rowOff>114300</xdr:rowOff>
    </xdr:to>
    <xdr:sp macro="" textlink="">
      <xdr:nvSpPr>
        <xdr:cNvPr id="830" name="Arrow: Down 829">
          <a:extLst>
            <a:ext uri="{FF2B5EF4-FFF2-40B4-BE49-F238E27FC236}">
              <a16:creationId xmlns:a16="http://schemas.microsoft.com/office/drawing/2014/main" id="{229AA5E5-E77D-4EF2-B22E-F34CE116C6B1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117</xdr:row>
      <xdr:rowOff>0</xdr:rowOff>
    </xdr:from>
    <xdr:to>
      <xdr:col>44</xdr:col>
      <xdr:colOff>83820</xdr:colOff>
      <xdr:row>117</xdr:row>
      <xdr:rowOff>114300</xdr:rowOff>
    </xdr:to>
    <xdr:sp macro="" textlink="">
      <xdr:nvSpPr>
        <xdr:cNvPr id="832" name="Arrow: Down 831">
          <a:extLst>
            <a:ext uri="{FF2B5EF4-FFF2-40B4-BE49-F238E27FC236}">
              <a16:creationId xmlns:a16="http://schemas.microsoft.com/office/drawing/2014/main" id="{81F41B72-CD5A-4C0D-A35D-8247F432B73E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117</xdr:row>
      <xdr:rowOff>0</xdr:rowOff>
    </xdr:from>
    <xdr:to>
      <xdr:col>38</xdr:col>
      <xdr:colOff>83820</xdr:colOff>
      <xdr:row>117</xdr:row>
      <xdr:rowOff>114300</xdr:rowOff>
    </xdr:to>
    <xdr:sp macro="" textlink="">
      <xdr:nvSpPr>
        <xdr:cNvPr id="837" name="Arrow: Down 836">
          <a:extLst>
            <a:ext uri="{FF2B5EF4-FFF2-40B4-BE49-F238E27FC236}">
              <a16:creationId xmlns:a16="http://schemas.microsoft.com/office/drawing/2014/main" id="{30220420-DF18-4624-AD4A-A76F36E459DE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83820</xdr:colOff>
      <xdr:row>117</xdr:row>
      <xdr:rowOff>114300</xdr:rowOff>
    </xdr:to>
    <xdr:sp macro="" textlink="">
      <xdr:nvSpPr>
        <xdr:cNvPr id="838" name="Arrow: Down 837">
          <a:extLst>
            <a:ext uri="{FF2B5EF4-FFF2-40B4-BE49-F238E27FC236}">
              <a16:creationId xmlns:a16="http://schemas.microsoft.com/office/drawing/2014/main" id="{275318ED-BD2C-4218-BD20-4779054850E9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117</xdr:row>
      <xdr:rowOff>0</xdr:rowOff>
    </xdr:from>
    <xdr:to>
      <xdr:col>5</xdr:col>
      <xdr:colOff>83820</xdr:colOff>
      <xdr:row>117</xdr:row>
      <xdr:rowOff>114300</xdr:rowOff>
    </xdr:to>
    <xdr:sp macro="" textlink="">
      <xdr:nvSpPr>
        <xdr:cNvPr id="840" name="Arrow: Down 839">
          <a:extLst>
            <a:ext uri="{FF2B5EF4-FFF2-40B4-BE49-F238E27FC236}">
              <a16:creationId xmlns:a16="http://schemas.microsoft.com/office/drawing/2014/main" id="{64B90FA8-B124-4C8A-8F0E-F3C62D8764F8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11</xdr:col>
      <xdr:colOff>83820</xdr:colOff>
      <xdr:row>117</xdr:row>
      <xdr:rowOff>114300</xdr:rowOff>
    </xdr:to>
    <xdr:sp macro="" textlink="">
      <xdr:nvSpPr>
        <xdr:cNvPr id="842" name="Arrow: Down 841">
          <a:extLst>
            <a:ext uri="{FF2B5EF4-FFF2-40B4-BE49-F238E27FC236}">
              <a16:creationId xmlns:a16="http://schemas.microsoft.com/office/drawing/2014/main" id="{03BA764C-25CC-4271-8309-E57F8CA6512B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117</xdr:row>
      <xdr:rowOff>0</xdr:rowOff>
    </xdr:from>
    <xdr:to>
      <xdr:col>59</xdr:col>
      <xdr:colOff>83820</xdr:colOff>
      <xdr:row>117</xdr:row>
      <xdr:rowOff>114300</xdr:rowOff>
    </xdr:to>
    <xdr:sp macro="" textlink="">
      <xdr:nvSpPr>
        <xdr:cNvPr id="843" name="Arrow: Down 842">
          <a:extLst>
            <a:ext uri="{FF2B5EF4-FFF2-40B4-BE49-F238E27FC236}">
              <a16:creationId xmlns:a16="http://schemas.microsoft.com/office/drawing/2014/main" id="{1B7D1897-A507-499C-A24E-79F942674197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117</xdr:row>
      <xdr:rowOff>0</xdr:rowOff>
    </xdr:from>
    <xdr:to>
      <xdr:col>70</xdr:col>
      <xdr:colOff>83820</xdr:colOff>
      <xdr:row>117</xdr:row>
      <xdr:rowOff>114300</xdr:rowOff>
    </xdr:to>
    <xdr:sp macro="" textlink="">
      <xdr:nvSpPr>
        <xdr:cNvPr id="845" name="Arrow: Down 844">
          <a:extLst>
            <a:ext uri="{FF2B5EF4-FFF2-40B4-BE49-F238E27FC236}">
              <a16:creationId xmlns:a16="http://schemas.microsoft.com/office/drawing/2014/main" id="{4A93AA67-0C46-4599-A9A6-E68896D4A9F1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118</xdr:row>
      <xdr:rowOff>0</xdr:rowOff>
    </xdr:from>
    <xdr:to>
      <xdr:col>44</xdr:col>
      <xdr:colOff>83820</xdr:colOff>
      <xdr:row>118</xdr:row>
      <xdr:rowOff>114300</xdr:rowOff>
    </xdr:to>
    <xdr:sp macro="" textlink="">
      <xdr:nvSpPr>
        <xdr:cNvPr id="732" name="Arrow: Down 731">
          <a:extLst>
            <a:ext uri="{FF2B5EF4-FFF2-40B4-BE49-F238E27FC236}">
              <a16:creationId xmlns:a16="http://schemas.microsoft.com/office/drawing/2014/main" id="{9F2C10FA-16A4-4623-85D0-C4501E80BEE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118</xdr:row>
      <xdr:rowOff>0</xdr:rowOff>
    </xdr:from>
    <xdr:to>
      <xdr:col>44</xdr:col>
      <xdr:colOff>83820</xdr:colOff>
      <xdr:row>118</xdr:row>
      <xdr:rowOff>114300</xdr:rowOff>
    </xdr:to>
    <xdr:sp macro="" textlink="">
      <xdr:nvSpPr>
        <xdr:cNvPr id="737" name="Arrow: Down 736">
          <a:extLst>
            <a:ext uri="{FF2B5EF4-FFF2-40B4-BE49-F238E27FC236}">
              <a16:creationId xmlns:a16="http://schemas.microsoft.com/office/drawing/2014/main" id="{5E58E4B6-079F-412D-8AA5-D626372C42D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118</xdr:row>
      <xdr:rowOff>0</xdr:rowOff>
    </xdr:from>
    <xdr:to>
      <xdr:col>23</xdr:col>
      <xdr:colOff>83820</xdr:colOff>
      <xdr:row>118</xdr:row>
      <xdr:rowOff>114300</xdr:rowOff>
    </xdr:to>
    <xdr:sp macro="" textlink="">
      <xdr:nvSpPr>
        <xdr:cNvPr id="762" name="Arrow: Down 761">
          <a:extLst>
            <a:ext uri="{FF2B5EF4-FFF2-40B4-BE49-F238E27FC236}">
              <a16:creationId xmlns:a16="http://schemas.microsoft.com/office/drawing/2014/main" id="{67323262-8DE0-4329-8F42-24A2720A8A60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83820</xdr:colOff>
      <xdr:row>118</xdr:row>
      <xdr:rowOff>114300</xdr:rowOff>
    </xdr:to>
    <xdr:sp macro="" textlink="">
      <xdr:nvSpPr>
        <xdr:cNvPr id="765" name="Arrow: Down 764">
          <a:extLst>
            <a:ext uri="{FF2B5EF4-FFF2-40B4-BE49-F238E27FC236}">
              <a16:creationId xmlns:a16="http://schemas.microsoft.com/office/drawing/2014/main" id="{CA51B5A0-CF85-44EC-928F-D9C5C6D6434F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118</xdr:row>
      <xdr:rowOff>0</xdr:rowOff>
    </xdr:from>
    <xdr:to>
      <xdr:col>11</xdr:col>
      <xdr:colOff>83820</xdr:colOff>
      <xdr:row>118</xdr:row>
      <xdr:rowOff>114300</xdr:rowOff>
    </xdr:to>
    <xdr:sp macro="" textlink="">
      <xdr:nvSpPr>
        <xdr:cNvPr id="768" name="Arrow: Down 767">
          <a:extLst>
            <a:ext uri="{FF2B5EF4-FFF2-40B4-BE49-F238E27FC236}">
              <a16:creationId xmlns:a16="http://schemas.microsoft.com/office/drawing/2014/main" id="{F54FFDEC-E647-47CF-8CD7-88285E92992A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118</xdr:row>
      <xdr:rowOff>0</xdr:rowOff>
    </xdr:from>
    <xdr:to>
      <xdr:col>59</xdr:col>
      <xdr:colOff>83820</xdr:colOff>
      <xdr:row>118</xdr:row>
      <xdr:rowOff>114300</xdr:rowOff>
    </xdr:to>
    <xdr:sp macro="" textlink="">
      <xdr:nvSpPr>
        <xdr:cNvPr id="769" name="Arrow: Down 768">
          <a:extLst>
            <a:ext uri="{FF2B5EF4-FFF2-40B4-BE49-F238E27FC236}">
              <a16:creationId xmlns:a16="http://schemas.microsoft.com/office/drawing/2014/main" id="{E7040FC3-3552-49FF-B1DE-CD0FDC497461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118</xdr:row>
      <xdr:rowOff>0</xdr:rowOff>
    </xdr:from>
    <xdr:to>
      <xdr:col>70</xdr:col>
      <xdr:colOff>83820</xdr:colOff>
      <xdr:row>118</xdr:row>
      <xdr:rowOff>114300</xdr:rowOff>
    </xdr:to>
    <xdr:sp macro="" textlink="">
      <xdr:nvSpPr>
        <xdr:cNvPr id="772" name="Arrow: Down 771">
          <a:extLst>
            <a:ext uri="{FF2B5EF4-FFF2-40B4-BE49-F238E27FC236}">
              <a16:creationId xmlns:a16="http://schemas.microsoft.com/office/drawing/2014/main" id="{97C82496-5965-4DE9-BCC6-EB35C19321AE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118</xdr:row>
      <xdr:rowOff>0</xdr:rowOff>
    </xdr:from>
    <xdr:to>
      <xdr:col>38</xdr:col>
      <xdr:colOff>83820</xdr:colOff>
      <xdr:row>118</xdr:row>
      <xdr:rowOff>114300</xdr:rowOff>
    </xdr:to>
    <xdr:sp macro="" textlink="">
      <xdr:nvSpPr>
        <xdr:cNvPr id="774" name="Arrow: Down 773">
          <a:extLst>
            <a:ext uri="{FF2B5EF4-FFF2-40B4-BE49-F238E27FC236}">
              <a16:creationId xmlns:a16="http://schemas.microsoft.com/office/drawing/2014/main" id="{1BE3D21C-0B9E-4513-A161-9911E1F36B05}"/>
            </a:ext>
          </a:extLst>
        </xdr:cNvPr>
        <xdr:cNvSpPr/>
      </xdr:nvSpPr>
      <xdr:spPr>
        <a:xfrm>
          <a:off x="860298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119</xdr:row>
      <xdr:rowOff>0</xdr:rowOff>
    </xdr:from>
    <xdr:to>
      <xdr:col>44</xdr:col>
      <xdr:colOff>83820</xdr:colOff>
      <xdr:row>119</xdr:row>
      <xdr:rowOff>114300</xdr:rowOff>
    </xdr:to>
    <xdr:sp macro="" textlink="">
      <xdr:nvSpPr>
        <xdr:cNvPr id="778" name="Arrow: Down 777">
          <a:extLst>
            <a:ext uri="{FF2B5EF4-FFF2-40B4-BE49-F238E27FC236}">
              <a16:creationId xmlns:a16="http://schemas.microsoft.com/office/drawing/2014/main" id="{BE5E21BA-36FC-4D50-89E4-2A6CA5F35626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119</xdr:row>
      <xdr:rowOff>0</xdr:rowOff>
    </xdr:from>
    <xdr:to>
      <xdr:col>44</xdr:col>
      <xdr:colOff>83820</xdr:colOff>
      <xdr:row>119</xdr:row>
      <xdr:rowOff>114300</xdr:rowOff>
    </xdr:to>
    <xdr:sp macro="" textlink="">
      <xdr:nvSpPr>
        <xdr:cNvPr id="779" name="Arrow: Down 778">
          <a:extLst>
            <a:ext uri="{FF2B5EF4-FFF2-40B4-BE49-F238E27FC236}">
              <a16:creationId xmlns:a16="http://schemas.microsoft.com/office/drawing/2014/main" id="{E4C203E5-CD0B-425D-830A-86825667D3CB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83820</xdr:colOff>
      <xdr:row>119</xdr:row>
      <xdr:rowOff>114300</xdr:rowOff>
    </xdr:to>
    <xdr:sp macro="" textlink="">
      <xdr:nvSpPr>
        <xdr:cNvPr id="784" name="Arrow: Down 783">
          <a:extLst>
            <a:ext uri="{FF2B5EF4-FFF2-40B4-BE49-F238E27FC236}">
              <a16:creationId xmlns:a16="http://schemas.microsoft.com/office/drawing/2014/main" id="{AAA0EBA9-39B5-42F8-8FD1-A975644DE591}"/>
            </a:ext>
          </a:extLst>
        </xdr:cNvPr>
        <xdr:cNvSpPr/>
      </xdr:nvSpPr>
      <xdr:spPr>
        <a:xfrm rot="10800000">
          <a:off x="192786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119</xdr:row>
      <xdr:rowOff>0</xdr:rowOff>
    </xdr:from>
    <xdr:to>
      <xdr:col>11</xdr:col>
      <xdr:colOff>83820</xdr:colOff>
      <xdr:row>119</xdr:row>
      <xdr:rowOff>114300</xdr:rowOff>
    </xdr:to>
    <xdr:sp macro="" textlink="">
      <xdr:nvSpPr>
        <xdr:cNvPr id="787" name="Arrow: Down 786">
          <a:extLst>
            <a:ext uri="{FF2B5EF4-FFF2-40B4-BE49-F238E27FC236}">
              <a16:creationId xmlns:a16="http://schemas.microsoft.com/office/drawing/2014/main" id="{47E9343B-01E2-419C-93F8-9D2DD5D98438}"/>
            </a:ext>
          </a:extLst>
        </xdr:cNvPr>
        <xdr:cNvSpPr/>
      </xdr:nvSpPr>
      <xdr:spPr>
        <a:xfrm rot="10800000">
          <a:off x="361950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119</xdr:row>
      <xdr:rowOff>0</xdr:rowOff>
    </xdr:from>
    <xdr:to>
      <xdr:col>70</xdr:col>
      <xdr:colOff>83820</xdr:colOff>
      <xdr:row>119</xdr:row>
      <xdr:rowOff>114300</xdr:rowOff>
    </xdr:to>
    <xdr:sp macro="" textlink="">
      <xdr:nvSpPr>
        <xdr:cNvPr id="792" name="Arrow: Down 791">
          <a:extLst>
            <a:ext uri="{FF2B5EF4-FFF2-40B4-BE49-F238E27FC236}">
              <a16:creationId xmlns:a16="http://schemas.microsoft.com/office/drawing/2014/main" id="{990B4D82-5213-409F-A7CF-3582EFDC3344}"/>
            </a:ext>
          </a:extLst>
        </xdr:cNvPr>
        <xdr:cNvSpPr/>
      </xdr:nvSpPr>
      <xdr:spPr>
        <a:xfrm rot="10800000">
          <a:off x="1719834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119</xdr:row>
      <xdr:rowOff>0</xdr:rowOff>
    </xdr:from>
    <xdr:to>
      <xdr:col>23</xdr:col>
      <xdr:colOff>83820</xdr:colOff>
      <xdr:row>119</xdr:row>
      <xdr:rowOff>114300</xdr:rowOff>
    </xdr:to>
    <xdr:sp macro="" textlink="">
      <xdr:nvSpPr>
        <xdr:cNvPr id="799" name="Arrow: Down 798">
          <a:extLst>
            <a:ext uri="{FF2B5EF4-FFF2-40B4-BE49-F238E27FC236}">
              <a16:creationId xmlns:a16="http://schemas.microsoft.com/office/drawing/2014/main" id="{0D6E49ED-319B-433F-82AE-E127057751B6}"/>
            </a:ext>
          </a:extLst>
        </xdr:cNvPr>
        <xdr:cNvSpPr/>
      </xdr:nvSpPr>
      <xdr:spPr>
        <a:xfrm>
          <a:off x="54406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119</xdr:row>
      <xdr:rowOff>0</xdr:rowOff>
    </xdr:from>
    <xdr:to>
      <xdr:col>38</xdr:col>
      <xdr:colOff>83820</xdr:colOff>
      <xdr:row>119</xdr:row>
      <xdr:rowOff>114300</xdr:rowOff>
    </xdr:to>
    <xdr:sp macro="" textlink="">
      <xdr:nvSpPr>
        <xdr:cNvPr id="801" name="Arrow: Down 800">
          <a:extLst>
            <a:ext uri="{FF2B5EF4-FFF2-40B4-BE49-F238E27FC236}">
              <a16:creationId xmlns:a16="http://schemas.microsoft.com/office/drawing/2014/main" id="{E42450FA-5DE1-4A7F-BBF3-7FE5A5653E37}"/>
            </a:ext>
          </a:extLst>
        </xdr:cNvPr>
        <xdr:cNvSpPr/>
      </xdr:nvSpPr>
      <xdr:spPr>
        <a:xfrm rot="10800000">
          <a:off x="86029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119</xdr:row>
      <xdr:rowOff>0</xdr:rowOff>
    </xdr:from>
    <xdr:to>
      <xdr:col>59</xdr:col>
      <xdr:colOff>83820</xdr:colOff>
      <xdr:row>119</xdr:row>
      <xdr:rowOff>114300</xdr:rowOff>
    </xdr:to>
    <xdr:sp macro="" textlink="">
      <xdr:nvSpPr>
        <xdr:cNvPr id="805" name="Arrow: Down 804">
          <a:extLst>
            <a:ext uri="{FF2B5EF4-FFF2-40B4-BE49-F238E27FC236}">
              <a16:creationId xmlns:a16="http://schemas.microsoft.com/office/drawing/2014/main" id="{FEE476DD-8208-4719-BD65-EECF357A7049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120</xdr:row>
      <xdr:rowOff>0</xdr:rowOff>
    </xdr:from>
    <xdr:to>
      <xdr:col>44</xdr:col>
      <xdr:colOff>83820</xdr:colOff>
      <xdr:row>120</xdr:row>
      <xdr:rowOff>114300</xdr:rowOff>
    </xdr:to>
    <xdr:sp macro="" textlink="">
      <xdr:nvSpPr>
        <xdr:cNvPr id="833" name="Arrow: Down 832">
          <a:extLst>
            <a:ext uri="{FF2B5EF4-FFF2-40B4-BE49-F238E27FC236}">
              <a16:creationId xmlns:a16="http://schemas.microsoft.com/office/drawing/2014/main" id="{CF0D4690-E4D9-4ED9-8D69-D40C1D3B577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120</xdr:row>
      <xdr:rowOff>0</xdr:rowOff>
    </xdr:from>
    <xdr:to>
      <xdr:col>44</xdr:col>
      <xdr:colOff>83820</xdr:colOff>
      <xdr:row>120</xdr:row>
      <xdr:rowOff>114300</xdr:rowOff>
    </xdr:to>
    <xdr:sp macro="" textlink="">
      <xdr:nvSpPr>
        <xdr:cNvPr id="834" name="Arrow: Down 833">
          <a:extLst>
            <a:ext uri="{FF2B5EF4-FFF2-40B4-BE49-F238E27FC236}">
              <a16:creationId xmlns:a16="http://schemas.microsoft.com/office/drawing/2014/main" id="{0480EE4A-908F-4694-8B21-CB212629561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120</xdr:row>
      <xdr:rowOff>0</xdr:rowOff>
    </xdr:from>
    <xdr:to>
      <xdr:col>59</xdr:col>
      <xdr:colOff>83820</xdr:colOff>
      <xdr:row>120</xdr:row>
      <xdr:rowOff>114300</xdr:rowOff>
    </xdr:to>
    <xdr:sp macro="" textlink="">
      <xdr:nvSpPr>
        <xdr:cNvPr id="846" name="Arrow: Down 845">
          <a:extLst>
            <a:ext uri="{FF2B5EF4-FFF2-40B4-BE49-F238E27FC236}">
              <a16:creationId xmlns:a16="http://schemas.microsoft.com/office/drawing/2014/main" id="{36335D53-EA0F-4C1A-9D64-070358E45572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120</xdr:row>
      <xdr:rowOff>0</xdr:rowOff>
    </xdr:from>
    <xdr:to>
      <xdr:col>23</xdr:col>
      <xdr:colOff>83820</xdr:colOff>
      <xdr:row>120</xdr:row>
      <xdr:rowOff>114300</xdr:rowOff>
    </xdr:to>
    <xdr:sp macro="" textlink="">
      <xdr:nvSpPr>
        <xdr:cNvPr id="847" name="Arrow: Down 846">
          <a:extLst>
            <a:ext uri="{FF2B5EF4-FFF2-40B4-BE49-F238E27FC236}">
              <a16:creationId xmlns:a16="http://schemas.microsoft.com/office/drawing/2014/main" id="{C416A4F4-3CFB-4049-822A-2A931856DCEE}"/>
            </a:ext>
          </a:extLst>
        </xdr:cNvPr>
        <xdr:cNvSpPr/>
      </xdr:nvSpPr>
      <xdr:spPr>
        <a:xfrm rot="10800000">
          <a:off x="54406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11</xdr:col>
      <xdr:colOff>83820</xdr:colOff>
      <xdr:row>120</xdr:row>
      <xdr:rowOff>114300</xdr:rowOff>
    </xdr:to>
    <xdr:sp macro="" textlink="">
      <xdr:nvSpPr>
        <xdr:cNvPr id="849" name="Arrow: Down 848">
          <a:extLst>
            <a:ext uri="{FF2B5EF4-FFF2-40B4-BE49-F238E27FC236}">
              <a16:creationId xmlns:a16="http://schemas.microsoft.com/office/drawing/2014/main" id="{1780E591-264D-4482-917F-3CEF3E97DAC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</xdr:col>
      <xdr:colOff>0</xdr:colOff>
      <xdr:row>120</xdr:row>
      <xdr:rowOff>0</xdr:rowOff>
    </xdr:from>
    <xdr:to>
      <xdr:col>5</xdr:col>
      <xdr:colOff>83820</xdr:colOff>
      <xdr:row>120</xdr:row>
      <xdr:rowOff>114300</xdr:rowOff>
    </xdr:to>
    <xdr:sp macro="" textlink="">
      <xdr:nvSpPr>
        <xdr:cNvPr id="851" name="Arrow: Down 850">
          <a:extLst>
            <a:ext uri="{FF2B5EF4-FFF2-40B4-BE49-F238E27FC236}">
              <a16:creationId xmlns:a16="http://schemas.microsoft.com/office/drawing/2014/main" id="{9CF8524D-367F-49BA-9BC6-CDF0B8A5424B}"/>
            </a:ext>
          </a:extLst>
        </xdr:cNvPr>
        <xdr:cNvSpPr/>
      </xdr:nvSpPr>
      <xdr:spPr>
        <a:xfrm>
          <a:off x="192786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120</xdr:row>
      <xdr:rowOff>0</xdr:rowOff>
    </xdr:from>
    <xdr:to>
      <xdr:col>38</xdr:col>
      <xdr:colOff>83820</xdr:colOff>
      <xdr:row>120</xdr:row>
      <xdr:rowOff>114300</xdr:rowOff>
    </xdr:to>
    <xdr:sp macro="" textlink="">
      <xdr:nvSpPr>
        <xdr:cNvPr id="852" name="Arrow: Down 851">
          <a:extLst>
            <a:ext uri="{FF2B5EF4-FFF2-40B4-BE49-F238E27FC236}">
              <a16:creationId xmlns:a16="http://schemas.microsoft.com/office/drawing/2014/main" id="{0BA7C74E-BFEA-4333-A070-2042A4E1B5FB}"/>
            </a:ext>
          </a:extLst>
        </xdr:cNvPr>
        <xdr:cNvSpPr/>
      </xdr:nvSpPr>
      <xdr:spPr>
        <a:xfrm>
          <a:off x="86029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120</xdr:row>
      <xdr:rowOff>0</xdr:rowOff>
    </xdr:from>
    <xdr:to>
      <xdr:col>70</xdr:col>
      <xdr:colOff>83820</xdr:colOff>
      <xdr:row>120</xdr:row>
      <xdr:rowOff>114300</xdr:rowOff>
    </xdr:to>
    <xdr:sp macro="" textlink="">
      <xdr:nvSpPr>
        <xdr:cNvPr id="854" name="Arrow: Down 853">
          <a:extLst>
            <a:ext uri="{FF2B5EF4-FFF2-40B4-BE49-F238E27FC236}">
              <a16:creationId xmlns:a16="http://schemas.microsoft.com/office/drawing/2014/main" id="{F134E3CA-FFD6-4970-A314-9D8EFCCEC0F4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121</xdr:row>
      <xdr:rowOff>0</xdr:rowOff>
    </xdr:from>
    <xdr:to>
      <xdr:col>44</xdr:col>
      <xdr:colOff>83820</xdr:colOff>
      <xdr:row>121</xdr:row>
      <xdr:rowOff>114300</xdr:rowOff>
    </xdr:to>
    <xdr:sp macro="" textlink="">
      <xdr:nvSpPr>
        <xdr:cNvPr id="855" name="Arrow: Down 854">
          <a:extLst>
            <a:ext uri="{FF2B5EF4-FFF2-40B4-BE49-F238E27FC236}">
              <a16:creationId xmlns:a16="http://schemas.microsoft.com/office/drawing/2014/main" id="{D75E173B-E60E-4F07-B207-7080F02C7DA3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121</xdr:row>
      <xdr:rowOff>0</xdr:rowOff>
    </xdr:from>
    <xdr:to>
      <xdr:col>44</xdr:col>
      <xdr:colOff>83820</xdr:colOff>
      <xdr:row>121</xdr:row>
      <xdr:rowOff>114300</xdr:rowOff>
    </xdr:to>
    <xdr:sp macro="" textlink="">
      <xdr:nvSpPr>
        <xdr:cNvPr id="856" name="Arrow: Down 855">
          <a:extLst>
            <a:ext uri="{FF2B5EF4-FFF2-40B4-BE49-F238E27FC236}">
              <a16:creationId xmlns:a16="http://schemas.microsoft.com/office/drawing/2014/main" id="{554DC090-7306-433D-BA60-0BCEF04C5D5E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121</xdr:row>
      <xdr:rowOff>0</xdr:rowOff>
    </xdr:from>
    <xdr:to>
      <xdr:col>59</xdr:col>
      <xdr:colOff>83820</xdr:colOff>
      <xdr:row>121</xdr:row>
      <xdr:rowOff>114300</xdr:rowOff>
    </xdr:to>
    <xdr:sp macro="" textlink="">
      <xdr:nvSpPr>
        <xdr:cNvPr id="857" name="Arrow: Down 856">
          <a:extLst>
            <a:ext uri="{FF2B5EF4-FFF2-40B4-BE49-F238E27FC236}">
              <a16:creationId xmlns:a16="http://schemas.microsoft.com/office/drawing/2014/main" id="{003A2E0C-2157-43F9-90E7-AF9FED1E8328}"/>
            </a:ext>
          </a:extLst>
        </xdr:cNvPr>
        <xdr:cNvSpPr/>
      </xdr:nvSpPr>
      <xdr:spPr>
        <a:xfrm>
          <a:off x="1488186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121</xdr:row>
      <xdr:rowOff>0</xdr:rowOff>
    </xdr:from>
    <xdr:to>
      <xdr:col>11</xdr:col>
      <xdr:colOff>83820</xdr:colOff>
      <xdr:row>121</xdr:row>
      <xdr:rowOff>114300</xdr:rowOff>
    </xdr:to>
    <xdr:sp macro="" textlink="">
      <xdr:nvSpPr>
        <xdr:cNvPr id="859" name="Arrow: Down 858">
          <a:extLst>
            <a:ext uri="{FF2B5EF4-FFF2-40B4-BE49-F238E27FC236}">
              <a16:creationId xmlns:a16="http://schemas.microsoft.com/office/drawing/2014/main" id="{61850BDC-F44B-4823-A4F1-7DB7708B8D6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121</xdr:row>
      <xdr:rowOff>0</xdr:rowOff>
    </xdr:from>
    <xdr:to>
      <xdr:col>70</xdr:col>
      <xdr:colOff>83820</xdr:colOff>
      <xdr:row>121</xdr:row>
      <xdr:rowOff>114300</xdr:rowOff>
    </xdr:to>
    <xdr:sp macro="" textlink="">
      <xdr:nvSpPr>
        <xdr:cNvPr id="862" name="Arrow: Down 861">
          <a:extLst>
            <a:ext uri="{FF2B5EF4-FFF2-40B4-BE49-F238E27FC236}">
              <a16:creationId xmlns:a16="http://schemas.microsoft.com/office/drawing/2014/main" id="{0236028D-74CF-40BE-9486-031EB6C62270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121</xdr:row>
      <xdr:rowOff>0</xdr:rowOff>
    </xdr:from>
    <xdr:to>
      <xdr:col>5</xdr:col>
      <xdr:colOff>83820</xdr:colOff>
      <xdr:row>121</xdr:row>
      <xdr:rowOff>114300</xdr:rowOff>
    </xdr:to>
    <xdr:sp macro="" textlink="">
      <xdr:nvSpPr>
        <xdr:cNvPr id="783" name="Arrow: Down 782">
          <a:extLst>
            <a:ext uri="{FF2B5EF4-FFF2-40B4-BE49-F238E27FC236}">
              <a16:creationId xmlns:a16="http://schemas.microsoft.com/office/drawing/2014/main" id="{8C2FC4CC-C4F6-4234-9D9B-F1B4577E89F6}"/>
            </a:ext>
          </a:extLst>
        </xdr:cNvPr>
        <xdr:cNvSpPr/>
      </xdr:nvSpPr>
      <xdr:spPr>
        <a:xfrm rot="10800000">
          <a:off x="192786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121</xdr:row>
      <xdr:rowOff>0</xdr:rowOff>
    </xdr:from>
    <xdr:to>
      <xdr:col>23</xdr:col>
      <xdr:colOff>83820</xdr:colOff>
      <xdr:row>121</xdr:row>
      <xdr:rowOff>114300</xdr:rowOff>
    </xdr:to>
    <xdr:sp macro="" textlink="">
      <xdr:nvSpPr>
        <xdr:cNvPr id="790" name="Arrow: Down 789">
          <a:extLst>
            <a:ext uri="{FF2B5EF4-FFF2-40B4-BE49-F238E27FC236}">
              <a16:creationId xmlns:a16="http://schemas.microsoft.com/office/drawing/2014/main" id="{5E0A9C68-9728-4F60-8D1E-3477F7172CD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121</xdr:row>
      <xdr:rowOff>0</xdr:rowOff>
    </xdr:from>
    <xdr:to>
      <xdr:col>38</xdr:col>
      <xdr:colOff>83820</xdr:colOff>
      <xdr:row>121</xdr:row>
      <xdr:rowOff>114300</xdr:rowOff>
    </xdr:to>
    <xdr:sp macro="" textlink="">
      <xdr:nvSpPr>
        <xdr:cNvPr id="798" name="Arrow: Down 797">
          <a:extLst>
            <a:ext uri="{FF2B5EF4-FFF2-40B4-BE49-F238E27FC236}">
              <a16:creationId xmlns:a16="http://schemas.microsoft.com/office/drawing/2014/main" id="{CC8F35A6-C2FF-4A58-B9EC-C268C05A3735}"/>
            </a:ext>
          </a:extLst>
        </xdr:cNvPr>
        <xdr:cNvSpPr/>
      </xdr:nvSpPr>
      <xdr:spPr>
        <a:xfrm rot="10800000">
          <a:off x="86029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122</xdr:row>
      <xdr:rowOff>0</xdr:rowOff>
    </xdr:from>
    <xdr:to>
      <xdr:col>44</xdr:col>
      <xdr:colOff>83820</xdr:colOff>
      <xdr:row>122</xdr:row>
      <xdr:rowOff>114300</xdr:rowOff>
    </xdr:to>
    <xdr:sp macro="" textlink="">
      <xdr:nvSpPr>
        <xdr:cNvPr id="800" name="Arrow: Down 799">
          <a:extLst>
            <a:ext uri="{FF2B5EF4-FFF2-40B4-BE49-F238E27FC236}">
              <a16:creationId xmlns:a16="http://schemas.microsoft.com/office/drawing/2014/main" id="{75AD91A8-2FB5-4E89-B675-7CE0AEF5691C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122</xdr:row>
      <xdr:rowOff>0</xdr:rowOff>
    </xdr:from>
    <xdr:to>
      <xdr:col>44</xdr:col>
      <xdr:colOff>83820</xdr:colOff>
      <xdr:row>122</xdr:row>
      <xdr:rowOff>114300</xdr:rowOff>
    </xdr:to>
    <xdr:sp macro="" textlink="">
      <xdr:nvSpPr>
        <xdr:cNvPr id="802" name="Arrow: Down 801">
          <a:extLst>
            <a:ext uri="{FF2B5EF4-FFF2-40B4-BE49-F238E27FC236}">
              <a16:creationId xmlns:a16="http://schemas.microsoft.com/office/drawing/2014/main" id="{A0E53210-0BDD-42AF-BE96-6E4E50C1706D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122</xdr:row>
      <xdr:rowOff>0</xdr:rowOff>
    </xdr:from>
    <xdr:to>
      <xdr:col>59</xdr:col>
      <xdr:colOff>83820</xdr:colOff>
      <xdr:row>122</xdr:row>
      <xdr:rowOff>114300</xdr:rowOff>
    </xdr:to>
    <xdr:sp macro="" textlink="">
      <xdr:nvSpPr>
        <xdr:cNvPr id="807" name="Arrow: Down 806">
          <a:extLst>
            <a:ext uri="{FF2B5EF4-FFF2-40B4-BE49-F238E27FC236}">
              <a16:creationId xmlns:a16="http://schemas.microsoft.com/office/drawing/2014/main" id="{758ADDC5-730C-4D31-B435-7514432294DB}"/>
            </a:ext>
          </a:extLst>
        </xdr:cNvPr>
        <xdr:cNvSpPr/>
      </xdr:nvSpPr>
      <xdr:spPr>
        <a:xfrm>
          <a:off x="1488186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83820</xdr:colOff>
      <xdr:row>122</xdr:row>
      <xdr:rowOff>114300</xdr:rowOff>
    </xdr:to>
    <xdr:sp macro="" textlink="">
      <xdr:nvSpPr>
        <xdr:cNvPr id="808" name="Arrow: Down 807">
          <a:extLst>
            <a:ext uri="{FF2B5EF4-FFF2-40B4-BE49-F238E27FC236}">
              <a16:creationId xmlns:a16="http://schemas.microsoft.com/office/drawing/2014/main" id="{02EFE700-0BA1-47C6-9714-19A4C69F50AE}"/>
            </a:ext>
          </a:extLst>
        </xdr:cNvPr>
        <xdr:cNvSpPr/>
      </xdr:nvSpPr>
      <xdr:spPr>
        <a:xfrm>
          <a:off x="3619500" y="222275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122</xdr:row>
      <xdr:rowOff>0</xdr:rowOff>
    </xdr:from>
    <xdr:to>
      <xdr:col>70</xdr:col>
      <xdr:colOff>83820</xdr:colOff>
      <xdr:row>122</xdr:row>
      <xdr:rowOff>114300</xdr:rowOff>
    </xdr:to>
    <xdr:sp macro="" textlink="">
      <xdr:nvSpPr>
        <xdr:cNvPr id="814" name="Arrow: Down 813">
          <a:extLst>
            <a:ext uri="{FF2B5EF4-FFF2-40B4-BE49-F238E27FC236}">
              <a16:creationId xmlns:a16="http://schemas.microsoft.com/office/drawing/2014/main" id="{5C5FEF79-3A13-48FB-9F6E-09005024E3F2}"/>
            </a:ext>
          </a:extLst>
        </xdr:cNvPr>
        <xdr:cNvSpPr/>
      </xdr:nvSpPr>
      <xdr:spPr>
        <a:xfrm rot="10800000">
          <a:off x="1719834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122</xdr:row>
      <xdr:rowOff>0</xdr:rowOff>
    </xdr:from>
    <xdr:to>
      <xdr:col>23</xdr:col>
      <xdr:colOff>83820</xdr:colOff>
      <xdr:row>122</xdr:row>
      <xdr:rowOff>114300</xdr:rowOff>
    </xdr:to>
    <xdr:sp macro="" textlink="">
      <xdr:nvSpPr>
        <xdr:cNvPr id="818" name="Arrow: Down 817">
          <a:extLst>
            <a:ext uri="{FF2B5EF4-FFF2-40B4-BE49-F238E27FC236}">
              <a16:creationId xmlns:a16="http://schemas.microsoft.com/office/drawing/2014/main" id="{1B8FE5DE-4088-4056-8020-6805D07D92C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122</xdr:row>
      <xdr:rowOff>0</xdr:rowOff>
    </xdr:from>
    <xdr:to>
      <xdr:col>38</xdr:col>
      <xdr:colOff>83820</xdr:colOff>
      <xdr:row>122</xdr:row>
      <xdr:rowOff>114300</xdr:rowOff>
    </xdr:to>
    <xdr:sp macro="" textlink="">
      <xdr:nvSpPr>
        <xdr:cNvPr id="828" name="Arrow: Down 827">
          <a:extLst>
            <a:ext uri="{FF2B5EF4-FFF2-40B4-BE49-F238E27FC236}">
              <a16:creationId xmlns:a16="http://schemas.microsoft.com/office/drawing/2014/main" id="{161B2728-071F-48ED-95CE-33D253C5A42A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122</xdr:row>
      <xdr:rowOff>0</xdr:rowOff>
    </xdr:from>
    <xdr:to>
      <xdr:col>5</xdr:col>
      <xdr:colOff>83820</xdr:colOff>
      <xdr:row>122</xdr:row>
      <xdr:rowOff>114300</xdr:rowOff>
    </xdr:to>
    <xdr:sp macro="" textlink="">
      <xdr:nvSpPr>
        <xdr:cNvPr id="836" name="Arrow: Down 835">
          <a:extLst>
            <a:ext uri="{FF2B5EF4-FFF2-40B4-BE49-F238E27FC236}">
              <a16:creationId xmlns:a16="http://schemas.microsoft.com/office/drawing/2014/main" id="{B795BDCA-3CA9-459C-A15D-E4FAF101D6E0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123</xdr:row>
      <xdr:rowOff>0</xdr:rowOff>
    </xdr:from>
    <xdr:to>
      <xdr:col>44</xdr:col>
      <xdr:colOff>83820</xdr:colOff>
      <xdr:row>123</xdr:row>
      <xdr:rowOff>114300</xdr:rowOff>
    </xdr:to>
    <xdr:sp macro="" textlink="">
      <xdr:nvSpPr>
        <xdr:cNvPr id="839" name="Arrow: Down 838">
          <a:extLst>
            <a:ext uri="{FF2B5EF4-FFF2-40B4-BE49-F238E27FC236}">
              <a16:creationId xmlns:a16="http://schemas.microsoft.com/office/drawing/2014/main" id="{41F8F142-947A-471E-8325-328878AD741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123</xdr:row>
      <xdr:rowOff>0</xdr:rowOff>
    </xdr:from>
    <xdr:to>
      <xdr:col>44</xdr:col>
      <xdr:colOff>83820</xdr:colOff>
      <xdr:row>123</xdr:row>
      <xdr:rowOff>114300</xdr:rowOff>
    </xdr:to>
    <xdr:sp macro="" textlink="">
      <xdr:nvSpPr>
        <xdr:cNvPr id="841" name="Arrow: Down 840">
          <a:extLst>
            <a:ext uri="{FF2B5EF4-FFF2-40B4-BE49-F238E27FC236}">
              <a16:creationId xmlns:a16="http://schemas.microsoft.com/office/drawing/2014/main" id="{8F272A7A-0C0E-475A-8B27-7E445E5BF90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123</xdr:row>
      <xdr:rowOff>0</xdr:rowOff>
    </xdr:from>
    <xdr:to>
      <xdr:col>11</xdr:col>
      <xdr:colOff>83820</xdr:colOff>
      <xdr:row>123</xdr:row>
      <xdr:rowOff>114300</xdr:rowOff>
    </xdr:to>
    <xdr:sp macro="" textlink="">
      <xdr:nvSpPr>
        <xdr:cNvPr id="848" name="Arrow: Down 847">
          <a:extLst>
            <a:ext uri="{FF2B5EF4-FFF2-40B4-BE49-F238E27FC236}">
              <a16:creationId xmlns:a16="http://schemas.microsoft.com/office/drawing/2014/main" id="{6EFD14F8-9CF5-49B6-8F48-1FBF5D25F7A1}"/>
            </a:ext>
          </a:extLst>
        </xdr:cNvPr>
        <xdr:cNvSpPr/>
      </xdr:nvSpPr>
      <xdr:spPr>
        <a:xfrm>
          <a:off x="361950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123</xdr:row>
      <xdr:rowOff>0</xdr:rowOff>
    </xdr:from>
    <xdr:to>
      <xdr:col>70</xdr:col>
      <xdr:colOff>83820</xdr:colOff>
      <xdr:row>123</xdr:row>
      <xdr:rowOff>114300</xdr:rowOff>
    </xdr:to>
    <xdr:sp macro="" textlink="">
      <xdr:nvSpPr>
        <xdr:cNvPr id="850" name="Arrow: Down 849">
          <a:extLst>
            <a:ext uri="{FF2B5EF4-FFF2-40B4-BE49-F238E27FC236}">
              <a16:creationId xmlns:a16="http://schemas.microsoft.com/office/drawing/2014/main" id="{78318B25-7A42-4302-A047-438F787C3206}"/>
            </a:ext>
          </a:extLst>
        </xdr:cNvPr>
        <xdr:cNvSpPr/>
      </xdr:nvSpPr>
      <xdr:spPr>
        <a:xfrm rot="10800000">
          <a:off x="1719834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123</xdr:row>
      <xdr:rowOff>0</xdr:rowOff>
    </xdr:from>
    <xdr:to>
      <xdr:col>23</xdr:col>
      <xdr:colOff>83820</xdr:colOff>
      <xdr:row>123</xdr:row>
      <xdr:rowOff>114300</xdr:rowOff>
    </xdr:to>
    <xdr:sp macro="" textlink="">
      <xdr:nvSpPr>
        <xdr:cNvPr id="853" name="Arrow: Down 852">
          <a:extLst>
            <a:ext uri="{FF2B5EF4-FFF2-40B4-BE49-F238E27FC236}">
              <a16:creationId xmlns:a16="http://schemas.microsoft.com/office/drawing/2014/main" id="{9A0CFFCA-32DA-40F3-9A2C-CC0BCF69B431}"/>
            </a:ext>
          </a:extLst>
        </xdr:cNvPr>
        <xdr:cNvSpPr/>
      </xdr:nvSpPr>
      <xdr:spPr>
        <a:xfrm>
          <a:off x="544068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123</xdr:row>
      <xdr:rowOff>0</xdr:rowOff>
    </xdr:from>
    <xdr:to>
      <xdr:col>38</xdr:col>
      <xdr:colOff>83820</xdr:colOff>
      <xdr:row>123</xdr:row>
      <xdr:rowOff>114300</xdr:rowOff>
    </xdr:to>
    <xdr:sp macro="" textlink="">
      <xdr:nvSpPr>
        <xdr:cNvPr id="858" name="Arrow: Down 857">
          <a:extLst>
            <a:ext uri="{FF2B5EF4-FFF2-40B4-BE49-F238E27FC236}">
              <a16:creationId xmlns:a16="http://schemas.microsoft.com/office/drawing/2014/main" id="{5F3669F4-E69A-4C5D-8E9B-1B015E8866AB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123</xdr:row>
      <xdr:rowOff>0</xdr:rowOff>
    </xdr:from>
    <xdr:to>
      <xdr:col>5</xdr:col>
      <xdr:colOff>83820</xdr:colOff>
      <xdr:row>123</xdr:row>
      <xdr:rowOff>114300</xdr:rowOff>
    </xdr:to>
    <xdr:sp macro="" textlink="">
      <xdr:nvSpPr>
        <xdr:cNvPr id="860" name="Arrow: Down 859">
          <a:extLst>
            <a:ext uri="{FF2B5EF4-FFF2-40B4-BE49-F238E27FC236}">
              <a16:creationId xmlns:a16="http://schemas.microsoft.com/office/drawing/2014/main" id="{364F1EE7-6196-4660-A21E-9D9A1BFBEA71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123</xdr:row>
      <xdr:rowOff>0</xdr:rowOff>
    </xdr:from>
    <xdr:to>
      <xdr:col>59</xdr:col>
      <xdr:colOff>83820</xdr:colOff>
      <xdr:row>123</xdr:row>
      <xdr:rowOff>114300</xdr:rowOff>
    </xdr:to>
    <xdr:sp macro="" textlink="">
      <xdr:nvSpPr>
        <xdr:cNvPr id="861" name="Arrow: Down 860">
          <a:extLst>
            <a:ext uri="{FF2B5EF4-FFF2-40B4-BE49-F238E27FC236}">
              <a16:creationId xmlns:a16="http://schemas.microsoft.com/office/drawing/2014/main" id="{55778B77-2583-42F8-8B4A-560FBABA0B7D}"/>
            </a:ext>
          </a:extLst>
        </xdr:cNvPr>
        <xdr:cNvSpPr/>
      </xdr:nvSpPr>
      <xdr:spPr>
        <a:xfrm rot="10800000">
          <a:off x="1892046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124</xdr:row>
      <xdr:rowOff>0</xdr:rowOff>
    </xdr:from>
    <xdr:to>
      <xdr:col>44</xdr:col>
      <xdr:colOff>83820</xdr:colOff>
      <xdr:row>124</xdr:row>
      <xdr:rowOff>114300</xdr:rowOff>
    </xdr:to>
    <xdr:sp macro="" textlink="">
      <xdr:nvSpPr>
        <xdr:cNvPr id="863" name="Arrow: Down 862">
          <a:extLst>
            <a:ext uri="{FF2B5EF4-FFF2-40B4-BE49-F238E27FC236}">
              <a16:creationId xmlns:a16="http://schemas.microsoft.com/office/drawing/2014/main" id="{47B52EE5-133D-4932-859D-F1776E95F84D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124</xdr:row>
      <xdr:rowOff>0</xdr:rowOff>
    </xdr:from>
    <xdr:to>
      <xdr:col>44</xdr:col>
      <xdr:colOff>83820</xdr:colOff>
      <xdr:row>124</xdr:row>
      <xdr:rowOff>114300</xdr:rowOff>
    </xdr:to>
    <xdr:sp macro="" textlink="">
      <xdr:nvSpPr>
        <xdr:cNvPr id="864" name="Arrow: Down 863">
          <a:extLst>
            <a:ext uri="{FF2B5EF4-FFF2-40B4-BE49-F238E27FC236}">
              <a16:creationId xmlns:a16="http://schemas.microsoft.com/office/drawing/2014/main" id="{4FDCC2AF-91E3-4D0B-8CD3-D2DD33D5AEDB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124</xdr:row>
      <xdr:rowOff>0</xdr:rowOff>
    </xdr:from>
    <xdr:to>
      <xdr:col>70</xdr:col>
      <xdr:colOff>83820</xdr:colOff>
      <xdr:row>124</xdr:row>
      <xdr:rowOff>114300</xdr:rowOff>
    </xdr:to>
    <xdr:sp macro="" textlink="">
      <xdr:nvSpPr>
        <xdr:cNvPr id="866" name="Arrow: Down 865">
          <a:extLst>
            <a:ext uri="{FF2B5EF4-FFF2-40B4-BE49-F238E27FC236}">
              <a16:creationId xmlns:a16="http://schemas.microsoft.com/office/drawing/2014/main" id="{8364A17D-9F86-4DAE-87D3-00DB41B542D3}"/>
            </a:ext>
          </a:extLst>
        </xdr:cNvPr>
        <xdr:cNvSpPr/>
      </xdr:nvSpPr>
      <xdr:spPr>
        <a:xfrm rot="10800000">
          <a:off x="1748790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124</xdr:row>
      <xdr:rowOff>0</xdr:rowOff>
    </xdr:from>
    <xdr:to>
      <xdr:col>23</xdr:col>
      <xdr:colOff>83820</xdr:colOff>
      <xdr:row>124</xdr:row>
      <xdr:rowOff>114300</xdr:rowOff>
    </xdr:to>
    <xdr:sp macro="" textlink="">
      <xdr:nvSpPr>
        <xdr:cNvPr id="871" name="Arrow: Down 870">
          <a:extLst>
            <a:ext uri="{FF2B5EF4-FFF2-40B4-BE49-F238E27FC236}">
              <a16:creationId xmlns:a16="http://schemas.microsoft.com/office/drawing/2014/main" id="{8D910730-15F8-4E0F-8796-87E6C9078CA8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124</xdr:row>
      <xdr:rowOff>0</xdr:rowOff>
    </xdr:from>
    <xdr:to>
      <xdr:col>38</xdr:col>
      <xdr:colOff>83820</xdr:colOff>
      <xdr:row>124</xdr:row>
      <xdr:rowOff>114300</xdr:rowOff>
    </xdr:to>
    <xdr:sp macro="" textlink="">
      <xdr:nvSpPr>
        <xdr:cNvPr id="872" name="Arrow: Down 871">
          <a:extLst>
            <a:ext uri="{FF2B5EF4-FFF2-40B4-BE49-F238E27FC236}">
              <a16:creationId xmlns:a16="http://schemas.microsoft.com/office/drawing/2014/main" id="{B6A7C67A-B29D-405A-AB71-8422BD042C1E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124</xdr:row>
      <xdr:rowOff>0</xdr:rowOff>
    </xdr:from>
    <xdr:to>
      <xdr:col>5</xdr:col>
      <xdr:colOff>83820</xdr:colOff>
      <xdr:row>124</xdr:row>
      <xdr:rowOff>114300</xdr:rowOff>
    </xdr:to>
    <xdr:sp macro="" textlink="">
      <xdr:nvSpPr>
        <xdr:cNvPr id="875" name="Arrow: Down 874">
          <a:extLst>
            <a:ext uri="{FF2B5EF4-FFF2-40B4-BE49-F238E27FC236}">
              <a16:creationId xmlns:a16="http://schemas.microsoft.com/office/drawing/2014/main" id="{4A91C311-35A9-44F3-B146-16D01D02D860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124</xdr:row>
      <xdr:rowOff>0</xdr:rowOff>
    </xdr:from>
    <xdr:to>
      <xdr:col>11</xdr:col>
      <xdr:colOff>83820</xdr:colOff>
      <xdr:row>124</xdr:row>
      <xdr:rowOff>114300</xdr:rowOff>
    </xdr:to>
    <xdr:sp macro="" textlink="">
      <xdr:nvSpPr>
        <xdr:cNvPr id="876" name="Arrow: Down 875">
          <a:extLst>
            <a:ext uri="{FF2B5EF4-FFF2-40B4-BE49-F238E27FC236}">
              <a16:creationId xmlns:a16="http://schemas.microsoft.com/office/drawing/2014/main" id="{61DCD8D6-4641-455B-8301-625B33767709}"/>
            </a:ext>
          </a:extLst>
        </xdr:cNvPr>
        <xdr:cNvSpPr/>
      </xdr:nvSpPr>
      <xdr:spPr>
        <a:xfrm rot="10800000">
          <a:off x="36195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124</xdr:row>
      <xdr:rowOff>0</xdr:rowOff>
    </xdr:from>
    <xdr:to>
      <xdr:col>59</xdr:col>
      <xdr:colOff>83820</xdr:colOff>
      <xdr:row>124</xdr:row>
      <xdr:rowOff>114300</xdr:rowOff>
    </xdr:to>
    <xdr:sp macro="" textlink="">
      <xdr:nvSpPr>
        <xdr:cNvPr id="877" name="Arrow: Down 876">
          <a:extLst>
            <a:ext uri="{FF2B5EF4-FFF2-40B4-BE49-F238E27FC236}">
              <a16:creationId xmlns:a16="http://schemas.microsoft.com/office/drawing/2014/main" id="{958F5B18-C544-42D6-B0D2-D6461EC22950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53</xdr:col>
      <xdr:colOff>0</xdr:colOff>
      <xdr:row>129</xdr:row>
      <xdr:rowOff>0</xdr:rowOff>
    </xdr:from>
    <xdr:to>
      <xdr:col>53</xdr:col>
      <xdr:colOff>83820</xdr:colOff>
      <xdr:row>129</xdr:row>
      <xdr:rowOff>114300</xdr:rowOff>
    </xdr:to>
    <xdr:sp macro="" textlink="">
      <xdr:nvSpPr>
        <xdr:cNvPr id="878" name="Arrow: Down 877">
          <a:extLst>
            <a:ext uri="{FF2B5EF4-FFF2-40B4-BE49-F238E27FC236}">
              <a16:creationId xmlns:a16="http://schemas.microsoft.com/office/drawing/2014/main" id="{65B3D213-7A37-414E-8CF2-BFC069011061}"/>
            </a:ext>
          </a:extLst>
        </xdr:cNvPr>
        <xdr:cNvSpPr/>
      </xdr:nvSpPr>
      <xdr:spPr>
        <a:xfrm rot="10800000">
          <a:off x="1307592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83820</xdr:colOff>
      <xdr:row>111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3F0651F-B0F7-4119-9CBD-DC1C8FFD9A8D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112</xdr:row>
      <xdr:rowOff>0</xdr:rowOff>
    </xdr:from>
    <xdr:to>
      <xdr:col>14</xdr:col>
      <xdr:colOff>83820</xdr:colOff>
      <xdr:row>112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84EA86D9-5A57-4084-8E2C-9903C1532CCF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83820</xdr:colOff>
      <xdr:row>113</xdr:row>
      <xdr:rowOff>106680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D580A448-4E00-427E-A72E-740CC3A35FBD}"/>
            </a:ext>
          </a:extLst>
        </xdr:cNvPr>
        <xdr:cNvSpPr/>
      </xdr:nvSpPr>
      <xdr:spPr>
        <a:xfrm rot="10800000">
          <a:off x="5158740" y="208635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114</xdr:row>
      <xdr:rowOff>0</xdr:rowOff>
    </xdr:from>
    <xdr:to>
      <xdr:col>14</xdr:col>
      <xdr:colOff>83820</xdr:colOff>
      <xdr:row>114</xdr:row>
      <xdr:rowOff>106680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9827D83B-5FE2-4D79-BA7F-33F33394AEA8}"/>
            </a:ext>
          </a:extLst>
        </xdr:cNvPr>
        <xdr:cNvSpPr/>
      </xdr:nvSpPr>
      <xdr:spPr>
        <a:xfrm rot="10800000">
          <a:off x="5158740" y="21046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115</xdr:row>
      <xdr:rowOff>0</xdr:rowOff>
    </xdr:from>
    <xdr:to>
      <xdr:col>14</xdr:col>
      <xdr:colOff>83820</xdr:colOff>
      <xdr:row>115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E42D6F89-84AB-4364-B045-2AC353C5DF2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83820</xdr:colOff>
      <xdr:row>116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74A48665-B129-4919-9C2A-53BCA977B06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83820</xdr:colOff>
      <xdr:row>117</xdr:row>
      <xdr:rowOff>106680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43E7F4AD-B4CA-4C70-BC66-3FCBA45A6D95}"/>
            </a:ext>
          </a:extLst>
        </xdr:cNvPr>
        <xdr:cNvSpPr/>
      </xdr:nvSpPr>
      <xdr:spPr>
        <a:xfrm rot="10800000">
          <a:off x="5158740" y="215950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118</xdr:row>
      <xdr:rowOff>0</xdr:rowOff>
    </xdr:from>
    <xdr:to>
      <xdr:col>14</xdr:col>
      <xdr:colOff>83820</xdr:colOff>
      <xdr:row>118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172E9803-D878-4ADD-A69F-CE2A15CCAC1D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119</xdr:row>
      <xdr:rowOff>0</xdr:rowOff>
    </xdr:from>
    <xdr:to>
      <xdr:col>14</xdr:col>
      <xdr:colOff>83820</xdr:colOff>
      <xdr:row>119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F493B878-4B0F-4756-AB9F-4B28A96F81BF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120</xdr:row>
      <xdr:rowOff>0</xdr:rowOff>
    </xdr:from>
    <xdr:to>
      <xdr:col>14</xdr:col>
      <xdr:colOff>83820</xdr:colOff>
      <xdr:row>120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0E5191D3-238B-4908-A8A0-4499EAFAD4CF}"/>
            </a:ext>
          </a:extLst>
        </xdr:cNvPr>
        <xdr:cNvSpPr/>
      </xdr:nvSpPr>
      <xdr:spPr>
        <a:xfrm>
          <a:off x="5158740" y="221437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121</xdr:row>
      <xdr:rowOff>0</xdr:rowOff>
    </xdr:from>
    <xdr:to>
      <xdr:col>14</xdr:col>
      <xdr:colOff>83820</xdr:colOff>
      <xdr:row>121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DBFDC0D2-A286-4A11-A264-595E9BAB904A}"/>
            </a:ext>
          </a:extLst>
        </xdr:cNvPr>
        <xdr:cNvSpPr/>
      </xdr:nvSpPr>
      <xdr:spPr>
        <a:xfrm>
          <a:off x="5158740" y="22326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122</xdr:row>
      <xdr:rowOff>0</xdr:rowOff>
    </xdr:from>
    <xdr:to>
      <xdr:col>14</xdr:col>
      <xdr:colOff>83820</xdr:colOff>
      <xdr:row>122</xdr:row>
      <xdr:rowOff>106680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392B6D0-CE3C-46B7-A61C-C14B5C17A0EF}"/>
            </a:ext>
          </a:extLst>
        </xdr:cNvPr>
        <xdr:cNvSpPr/>
      </xdr:nvSpPr>
      <xdr:spPr>
        <a:xfrm rot="10800000">
          <a:off x="5158740" y="225094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123</xdr:row>
      <xdr:rowOff>0</xdr:rowOff>
    </xdr:from>
    <xdr:to>
      <xdr:col>14</xdr:col>
      <xdr:colOff>83820</xdr:colOff>
      <xdr:row>123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56B5A93C-D1EB-4424-B28D-64463C11AAD3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124</xdr:row>
      <xdr:rowOff>0</xdr:rowOff>
    </xdr:from>
    <xdr:to>
      <xdr:col>14</xdr:col>
      <xdr:colOff>83820</xdr:colOff>
      <xdr:row>124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3494FB12-9F44-4C93-B953-5E744E56E395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125</xdr:row>
      <xdr:rowOff>0</xdr:rowOff>
    </xdr:from>
    <xdr:to>
      <xdr:col>14</xdr:col>
      <xdr:colOff>83820</xdr:colOff>
      <xdr:row>125</xdr:row>
      <xdr:rowOff>106680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0500F4BF-7C74-4757-AF04-06611CAD9ADE}"/>
            </a:ext>
          </a:extLst>
        </xdr:cNvPr>
        <xdr:cNvSpPr/>
      </xdr:nvSpPr>
      <xdr:spPr>
        <a:xfrm rot="10800000">
          <a:off x="5158740" y="23058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15240</xdr:colOff>
      <xdr:row>27</xdr:row>
      <xdr:rowOff>15240</xdr:rowOff>
    </xdr:from>
    <xdr:to>
      <xdr:col>12</xdr:col>
      <xdr:colOff>129540</xdr:colOff>
      <xdr:row>27</xdr:row>
      <xdr:rowOff>160020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4655820" y="521208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15240</xdr:colOff>
      <xdr:row>32</xdr:row>
      <xdr:rowOff>15240</xdr:rowOff>
    </xdr:from>
    <xdr:to>
      <xdr:col>34</xdr:col>
      <xdr:colOff>121920</xdr:colOff>
      <xdr:row>32</xdr:row>
      <xdr:rowOff>144780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14180820" y="618744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83820</xdr:colOff>
      <xdr:row>65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2E46D07B-F4DD-4D26-B1D3-C50BBC57E745}"/>
            </a:ext>
          </a:extLst>
        </xdr:cNvPr>
        <xdr:cNvSpPr/>
      </xdr:nvSpPr>
      <xdr:spPr>
        <a:xfrm rot="10800000">
          <a:off x="11430000" y="12192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66</xdr:row>
      <xdr:rowOff>0</xdr:rowOff>
    </xdr:from>
    <xdr:to>
      <xdr:col>28</xdr:col>
      <xdr:colOff>83820</xdr:colOff>
      <xdr:row>66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96986A11-CFE9-4A58-972B-1B3BD33E178C}"/>
            </a:ext>
          </a:extLst>
        </xdr:cNvPr>
        <xdr:cNvSpPr/>
      </xdr:nvSpPr>
      <xdr:spPr>
        <a:xfrm rot="10800000">
          <a:off x="11430000" y="12374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67</xdr:row>
      <xdr:rowOff>0</xdr:rowOff>
    </xdr:from>
    <xdr:to>
      <xdr:col>28</xdr:col>
      <xdr:colOff>83820</xdr:colOff>
      <xdr:row>67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9A184AE2-8A40-494B-A9AC-D3CD46BBEF7C}"/>
            </a:ext>
          </a:extLst>
        </xdr:cNvPr>
        <xdr:cNvSpPr/>
      </xdr:nvSpPr>
      <xdr:spPr>
        <a:xfrm rot="10800000">
          <a:off x="11430000" y="12557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68</xdr:row>
      <xdr:rowOff>0</xdr:rowOff>
    </xdr:from>
    <xdr:to>
      <xdr:col>28</xdr:col>
      <xdr:colOff>83820</xdr:colOff>
      <xdr:row>68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04F35C61-85CA-4830-9698-7360ADB2B517}"/>
            </a:ext>
          </a:extLst>
        </xdr:cNvPr>
        <xdr:cNvSpPr/>
      </xdr:nvSpPr>
      <xdr:spPr>
        <a:xfrm rot="10800000">
          <a:off x="11430000" y="12740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69</xdr:row>
      <xdr:rowOff>0</xdr:rowOff>
    </xdr:from>
    <xdr:to>
      <xdr:col>28</xdr:col>
      <xdr:colOff>83820</xdr:colOff>
      <xdr:row>69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2DF279E2-6664-4F6C-91C9-94AC05593C1D}"/>
            </a:ext>
          </a:extLst>
        </xdr:cNvPr>
        <xdr:cNvSpPr/>
      </xdr:nvSpPr>
      <xdr:spPr>
        <a:xfrm rot="10800000">
          <a:off x="11430000" y="1293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70</xdr:row>
      <xdr:rowOff>0</xdr:rowOff>
    </xdr:from>
    <xdr:to>
      <xdr:col>28</xdr:col>
      <xdr:colOff>83820</xdr:colOff>
      <xdr:row>70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39282826-DC55-4589-9D00-E93B4D8A6857}"/>
            </a:ext>
          </a:extLst>
        </xdr:cNvPr>
        <xdr:cNvSpPr/>
      </xdr:nvSpPr>
      <xdr:spPr>
        <a:xfrm rot="10800000">
          <a:off x="11430000" y="1311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71</xdr:row>
      <xdr:rowOff>0</xdr:rowOff>
    </xdr:from>
    <xdr:to>
      <xdr:col>28</xdr:col>
      <xdr:colOff>83820</xdr:colOff>
      <xdr:row>71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0CDBB2C4-0FE4-4127-9C0F-836B7CBAC3CA}"/>
            </a:ext>
          </a:extLst>
        </xdr:cNvPr>
        <xdr:cNvSpPr/>
      </xdr:nvSpPr>
      <xdr:spPr>
        <a:xfrm rot="10800000">
          <a:off x="11430000" y="1329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72</xdr:row>
      <xdr:rowOff>0</xdr:rowOff>
    </xdr:from>
    <xdr:to>
      <xdr:col>28</xdr:col>
      <xdr:colOff>83820</xdr:colOff>
      <xdr:row>72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174D2146-EC83-47B0-A60B-AB23B97F5CA5}"/>
            </a:ext>
          </a:extLst>
        </xdr:cNvPr>
        <xdr:cNvSpPr/>
      </xdr:nvSpPr>
      <xdr:spPr>
        <a:xfrm rot="10800000">
          <a:off x="11430000" y="13487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73</xdr:row>
      <xdr:rowOff>0</xdr:rowOff>
    </xdr:from>
    <xdr:to>
      <xdr:col>28</xdr:col>
      <xdr:colOff>83820</xdr:colOff>
      <xdr:row>73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FD41DD27-E053-4EBA-9E8F-D056CE8E4A81}"/>
            </a:ext>
          </a:extLst>
        </xdr:cNvPr>
        <xdr:cNvSpPr/>
      </xdr:nvSpPr>
      <xdr:spPr>
        <a:xfrm rot="10800000">
          <a:off x="11430000" y="13677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74</xdr:row>
      <xdr:rowOff>0</xdr:rowOff>
    </xdr:from>
    <xdr:to>
      <xdr:col>28</xdr:col>
      <xdr:colOff>83820</xdr:colOff>
      <xdr:row>74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743AF66E-3087-4C2E-9F9A-4655BF6A5963}"/>
            </a:ext>
          </a:extLst>
        </xdr:cNvPr>
        <xdr:cNvSpPr/>
      </xdr:nvSpPr>
      <xdr:spPr>
        <a:xfrm rot="10800000">
          <a:off x="11430000" y="1386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75</xdr:row>
      <xdr:rowOff>0</xdr:rowOff>
    </xdr:from>
    <xdr:to>
      <xdr:col>28</xdr:col>
      <xdr:colOff>83820</xdr:colOff>
      <xdr:row>75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14EE3FE2-D562-4FED-A2D9-F17D5B5FA654}"/>
            </a:ext>
          </a:extLst>
        </xdr:cNvPr>
        <xdr:cNvSpPr/>
      </xdr:nvSpPr>
      <xdr:spPr>
        <a:xfrm rot="10800000">
          <a:off x="11430000" y="1405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76</xdr:row>
      <xdr:rowOff>0</xdr:rowOff>
    </xdr:from>
    <xdr:to>
      <xdr:col>28</xdr:col>
      <xdr:colOff>83820</xdr:colOff>
      <xdr:row>76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4D1EBFC9-F0E7-457F-AA63-6DAFEA11683F}"/>
            </a:ext>
          </a:extLst>
        </xdr:cNvPr>
        <xdr:cNvSpPr/>
      </xdr:nvSpPr>
      <xdr:spPr>
        <a:xfrm rot="10800000">
          <a:off x="11430000" y="1423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77</xdr:row>
      <xdr:rowOff>0</xdr:rowOff>
    </xdr:from>
    <xdr:to>
      <xdr:col>28</xdr:col>
      <xdr:colOff>83820</xdr:colOff>
      <xdr:row>77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F1B56A0D-E5C3-47FB-9CA0-5659AF8C6B83}"/>
            </a:ext>
          </a:extLst>
        </xdr:cNvPr>
        <xdr:cNvSpPr/>
      </xdr:nvSpPr>
      <xdr:spPr>
        <a:xfrm rot="10800000">
          <a:off x="11430000" y="1441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78</xdr:row>
      <xdr:rowOff>0</xdr:rowOff>
    </xdr:from>
    <xdr:to>
      <xdr:col>28</xdr:col>
      <xdr:colOff>83820</xdr:colOff>
      <xdr:row>78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3FD6C278-EB4E-4685-883E-82DF66A75EA4}"/>
            </a:ext>
          </a:extLst>
        </xdr:cNvPr>
        <xdr:cNvSpPr/>
      </xdr:nvSpPr>
      <xdr:spPr>
        <a:xfrm rot="10800000">
          <a:off x="11430000" y="1459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79</xdr:row>
      <xdr:rowOff>0</xdr:rowOff>
    </xdr:from>
    <xdr:to>
      <xdr:col>28</xdr:col>
      <xdr:colOff>83820</xdr:colOff>
      <xdr:row>79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6943DD06-8287-44FF-802B-B4819DA278E0}"/>
            </a:ext>
          </a:extLst>
        </xdr:cNvPr>
        <xdr:cNvSpPr/>
      </xdr:nvSpPr>
      <xdr:spPr>
        <a:xfrm rot="10800000">
          <a:off x="11612880" y="1478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207"/>
  <sheetViews>
    <sheetView tabSelected="1" zoomScaleNormal="100" workbookViewId="0">
      <selection activeCell="BB130" sqref="BB130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9.77734375" hidden="1" customWidth="1" outlineLevel="1"/>
    <col min="33" max="33" width="10.33203125" hidden="1" customWidth="1" outlineLevel="1"/>
    <col min="34" max="34" width="8.109375" hidden="1" customWidth="1" outlineLevel="1"/>
    <col min="35" max="35" width="2.21875" hidden="1" customWidth="1" outlineLevel="1"/>
    <col min="36" max="36" width="3.5546875" customWidth="1" collapsed="1"/>
    <col min="37" max="37" width="9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10.21875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2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7.77734375" customWidth="1"/>
    <col min="59" max="59" width="1.109375" customWidth="1"/>
    <col min="60" max="60" width="3.88671875" customWidth="1"/>
    <col min="61" max="61" width="1.44140625" hidden="1" customWidth="1" outlineLevel="1"/>
    <col min="62" max="62" width="15.10937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527" t="s">
        <v>5</v>
      </c>
      <c r="C1" s="527"/>
      <c r="D1" s="527"/>
    </row>
    <row r="2" spans="2:89" ht="15.6" x14ac:dyDescent="0.3">
      <c r="B2" s="527" t="s">
        <v>6</v>
      </c>
      <c r="C2" s="527"/>
      <c r="D2" s="527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530" t="s">
        <v>13</v>
      </c>
      <c r="C3" s="530"/>
      <c r="D3" s="167"/>
      <c r="E3" s="167"/>
      <c r="F3" s="167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528" t="s">
        <v>11</v>
      </c>
      <c r="K4" s="529"/>
      <c r="L4" s="529"/>
      <c r="M4" s="529"/>
      <c r="N4" s="529"/>
      <c r="O4" s="529"/>
      <c r="P4" s="529"/>
      <c r="Q4" s="529"/>
      <c r="R4" s="529"/>
      <c r="S4" s="529"/>
      <c r="T4" s="529"/>
      <c r="U4" s="529"/>
      <c r="V4" s="529"/>
      <c r="W4" s="529"/>
      <c r="X4" s="529"/>
      <c r="Y4" s="529"/>
      <c r="Z4" s="529"/>
      <c r="AA4" s="529"/>
      <c r="AB4" s="529"/>
      <c r="AC4" s="11"/>
      <c r="AD4" s="326"/>
      <c r="AE4" s="448"/>
      <c r="AF4" s="448"/>
      <c r="AG4" s="448"/>
      <c r="AH4" s="448"/>
      <c r="AI4" s="12"/>
      <c r="AK4" s="510" t="s">
        <v>14</v>
      </c>
      <c r="AL4" s="511"/>
      <c r="AM4" s="511"/>
      <c r="AN4" s="511"/>
      <c r="AO4" s="511"/>
      <c r="AP4" s="511"/>
      <c r="AQ4" s="511"/>
      <c r="AR4" s="511"/>
      <c r="AS4" s="511"/>
      <c r="AT4" s="511"/>
      <c r="AU4" s="511"/>
      <c r="AV4" s="511"/>
      <c r="AW4" s="511"/>
      <c r="AX4" s="511"/>
      <c r="AY4" s="511"/>
      <c r="AZ4" s="511"/>
      <c r="BA4" s="511"/>
      <c r="BB4" s="511"/>
      <c r="BC4" s="511"/>
      <c r="BD4" s="511"/>
      <c r="BE4" s="511"/>
      <c r="BF4" s="511"/>
      <c r="BG4" s="511"/>
      <c r="BH4" s="511"/>
      <c r="BI4" s="511"/>
      <c r="BJ4" s="511"/>
      <c r="BK4" s="511"/>
      <c r="BL4" s="511"/>
      <c r="BM4" s="511"/>
      <c r="BN4" s="511"/>
      <c r="BO4" s="511"/>
      <c r="BP4" s="511"/>
      <c r="BQ4" s="511"/>
      <c r="BR4" s="511"/>
      <c r="BS4" s="511"/>
      <c r="BT4" s="512"/>
      <c r="BU4" s="181"/>
      <c r="BV4" s="181"/>
      <c r="BW4" s="181"/>
      <c r="BX4" s="181"/>
      <c r="BY4" s="181"/>
      <c r="BZ4" s="181"/>
      <c r="CA4" s="181"/>
      <c r="CB4" s="181"/>
      <c r="CC4" s="181"/>
      <c r="CD4" s="181"/>
      <c r="CE4" s="181"/>
      <c r="CF4" s="181"/>
      <c r="CG4" s="181"/>
      <c r="CH4" s="181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4" t="s">
        <v>7</v>
      </c>
      <c r="E6" s="335"/>
      <c r="F6" s="531" t="s">
        <v>12</v>
      </c>
      <c r="G6" s="531"/>
      <c r="H6" s="531"/>
      <c r="I6" s="531"/>
      <c r="J6" s="531"/>
      <c r="K6" s="531"/>
      <c r="L6" s="531"/>
      <c r="M6" s="336"/>
      <c r="N6" s="336"/>
      <c r="O6" s="337"/>
      <c r="P6" s="537" t="s">
        <v>124</v>
      </c>
      <c r="Q6" s="531"/>
      <c r="R6" s="531"/>
      <c r="S6" s="531"/>
      <c r="T6" s="538"/>
      <c r="U6" s="3"/>
      <c r="V6" s="8" t="s">
        <v>7</v>
      </c>
      <c r="W6" s="30"/>
      <c r="X6" s="532">
        <v>1.2500000000000001E-2</v>
      </c>
      <c r="Y6" s="532"/>
      <c r="Z6" s="532"/>
      <c r="AA6" s="532"/>
      <c r="AB6" s="532"/>
      <c r="AC6" s="532"/>
      <c r="AD6" s="532"/>
      <c r="AE6" s="532"/>
      <c r="AF6" s="532"/>
      <c r="AG6" s="532"/>
      <c r="AH6" s="532"/>
      <c r="AI6" s="533"/>
      <c r="AJ6" s="3"/>
      <c r="AK6" s="519" t="s">
        <v>27</v>
      </c>
      <c r="AL6" s="520"/>
      <c r="AM6" s="520"/>
      <c r="AN6" s="520"/>
      <c r="AO6" s="520"/>
      <c r="AP6" s="520"/>
      <c r="AQ6" s="520"/>
      <c r="AR6" s="520"/>
      <c r="AS6" s="520"/>
      <c r="AT6" s="520"/>
      <c r="AU6" s="520"/>
      <c r="AV6" s="520"/>
      <c r="AW6" s="520"/>
      <c r="AX6" s="521"/>
      <c r="AY6" s="3"/>
      <c r="AZ6" s="522" t="s">
        <v>7</v>
      </c>
      <c r="BA6" s="514"/>
      <c r="BB6" s="514"/>
      <c r="BC6" s="97"/>
      <c r="BD6" s="513" t="s">
        <v>26</v>
      </c>
      <c r="BE6" s="513"/>
      <c r="BF6" s="513"/>
      <c r="BG6" s="513"/>
      <c r="BH6" s="513"/>
      <c r="BI6" s="513"/>
      <c r="BJ6" s="513"/>
      <c r="BK6" s="513"/>
      <c r="BL6" s="513"/>
      <c r="BM6" s="513"/>
      <c r="BN6" s="513"/>
      <c r="BO6" s="513"/>
      <c r="BP6" s="513"/>
      <c r="BQ6" s="514"/>
      <c r="BR6" s="514"/>
      <c r="BS6" s="514"/>
      <c r="BT6" s="515"/>
      <c r="BU6" s="3"/>
    </row>
    <row r="7" spans="2:89" ht="16.2" x14ac:dyDescent="0.3">
      <c r="D7" s="516" t="s">
        <v>20</v>
      </c>
      <c r="E7" s="517"/>
      <c r="F7" s="517"/>
      <c r="G7" s="517"/>
      <c r="H7" s="517"/>
      <c r="I7" s="517"/>
      <c r="J7" s="517"/>
      <c r="K7" s="466"/>
      <c r="L7" s="466"/>
      <c r="M7" s="466"/>
      <c r="N7" s="466"/>
      <c r="O7" s="467"/>
      <c r="P7" s="449"/>
      <c r="Q7" s="450"/>
      <c r="R7" s="450"/>
      <c r="S7" s="450"/>
      <c r="T7" s="338"/>
      <c r="U7" s="3"/>
      <c r="V7" s="534" t="s">
        <v>35</v>
      </c>
      <c r="W7" s="535"/>
      <c r="X7" s="535"/>
      <c r="Y7" s="535"/>
      <c r="Z7" s="535"/>
      <c r="AA7" s="535"/>
      <c r="AB7" s="535"/>
      <c r="AC7" s="535"/>
      <c r="AD7" s="535"/>
      <c r="AE7" s="535"/>
      <c r="AF7" s="535"/>
      <c r="AG7" s="535"/>
      <c r="AH7" s="535"/>
      <c r="AI7" s="536"/>
      <c r="AJ7" s="3"/>
      <c r="AK7" s="516" t="s">
        <v>76</v>
      </c>
      <c r="AL7" s="517"/>
      <c r="AM7" s="517"/>
      <c r="AN7" s="517"/>
      <c r="AO7" s="517"/>
      <c r="AP7" s="517"/>
      <c r="AQ7" s="517"/>
      <c r="AR7" s="517"/>
      <c r="AS7" s="517"/>
      <c r="AT7" s="517"/>
      <c r="AU7" s="517"/>
      <c r="AV7" s="517"/>
      <c r="AW7" s="517"/>
      <c r="AX7" s="518"/>
      <c r="AZ7" s="516" t="s">
        <v>25</v>
      </c>
      <c r="BA7" s="517"/>
      <c r="BB7" s="517"/>
      <c r="BC7" s="517"/>
      <c r="BD7" s="517"/>
      <c r="BE7" s="517"/>
      <c r="BF7" s="517"/>
      <c r="BG7" s="517"/>
      <c r="BH7" s="517"/>
      <c r="BI7" s="517"/>
      <c r="BJ7" s="517"/>
      <c r="BK7" s="517"/>
      <c r="BL7" s="517"/>
      <c r="BM7" s="517"/>
      <c r="BN7" s="517"/>
      <c r="BO7" s="517"/>
      <c r="BP7" s="517"/>
      <c r="BQ7" s="517"/>
      <c r="BR7" s="517"/>
      <c r="BS7" s="517"/>
      <c r="BT7" s="518"/>
      <c r="BV7" s="175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9"/>
      <c r="N8" s="332" t="s">
        <v>115</v>
      </c>
      <c r="O8" s="339"/>
      <c r="P8" s="453" t="s">
        <v>1</v>
      </c>
      <c r="Q8" s="329"/>
      <c r="R8" s="53" t="s">
        <v>79</v>
      </c>
      <c r="S8" s="329"/>
      <c r="T8" s="339"/>
      <c r="V8" s="456" t="s">
        <v>1</v>
      </c>
      <c r="W8" s="457"/>
      <c r="X8" s="458" t="s">
        <v>15</v>
      </c>
      <c r="Y8" s="457"/>
      <c r="Z8" s="459" t="s">
        <v>2</v>
      </c>
      <c r="AA8" s="457"/>
      <c r="AB8" s="460" t="s">
        <v>3</v>
      </c>
      <c r="AC8" s="457"/>
      <c r="AD8" s="461" t="s">
        <v>115</v>
      </c>
      <c r="AE8" s="462"/>
      <c r="AF8" s="456" t="s">
        <v>1</v>
      </c>
      <c r="AG8" s="455"/>
      <c r="AH8" s="461" t="s">
        <v>125</v>
      </c>
      <c r="AI8" s="48"/>
      <c r="AK8" s="20" t="s">
        <v>1</v>
      </c>
      <c r="AL8" s="327"/>
      <c r="AM8" s="345" t="s">
        <v>15</v>
      </c>
      <c r="AN8" s="327"/>
      <c r="AO8" s="73" t="s">
        <v>2</v>
      </c>
      <c r="AP8" s="327"/>
      <c r="AQ8" s="328" t="s">
        <v>3</v>
      </c>
      <c r="AR8" s="327"/>
      <c r="AS8" s="345" t="s">
        <v>15</v>
      </c>
      <c r="AT8" s="327"/>
      <c r="AU8" s="346" t="s">
        <v>16</v>
      </c>
      <c r="AV8" s="343"/>
      <c r="AW8" s="347" t="s">
        <v>115</v>
      </c>
      <c r="AX8" s="348"/>
      <c r="AZ8" s="508" t="s">
        <v>1</v>
      </c>
      <c r="BA8" s="509"/>
      <c r="BB8" s="509"/>
      <c r="BC8" s="64"/>
      <c r="BD8" s="509" t="s">
        <v>24</v>
      </c>
      <c r="BE8" s="509"/>
      <c r="BF8" s="509"/>
      <c r="BG8" s="509"/>
      <c r="BH8" s="523"/>
      <c r="BI8" s="524" t="s">
        <v>124</v>
      </c>
      <c r="BJ8" s="525"/>
      <c r="BK8" s="525"/>
      <c r="BL8" s="526"/>
      <c r="BM8" s="508" t="s">
        <v>24</v>
      </c>
      <c r="BN8" s="509"/>
      <c r="BO8" s="509"/>
      <c r="BP8" s="64"/>
      <c r="BQ8" s="105"/>
      <c r="BR8" s="465"/>
      <c r="BS8" s="106"/>
      <c r="BT8" s="182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49"/>
      <c r="AZ9" s="451" t="s">
        <v>36</v>
      </c>
      <c r="BA9" s="64"/>
      <c r="BB9" s="98" t="s">
        <v>2</v>
      </c>
      <c r="BC9" s="65"/>
      <c r="BD9" s="452" t="s">
        <v>36</v>
      </c>
      <c r="BE9" s="64"/>
      <c r="BF9" s="63" t="s">
        <v>10</v>
      </c>
      <c r="BG9" s="156"/>
      <c r="BH9" s="463" t="s">
        <v>15</v>
      </c>
      <c r="BI9" s="64"/>
      <c r="BJ9" s="452" t="s">
        <v>126</v>
      </c>
      <c r="BK9" s="64"/>
      <c r="BL9" s="63" t="s">
        <v>10</v>
      </c>
      <c r="BM9" s="464" t="s">
        <v>115</v>
      </c>
      <c r="BN9" s="64"/>
      <c r="BO9" s="104" t="s">
        <v>2</v>
      </c>
      <c r="BP9" s="353"/>
      <c r="BQ9" s="105" t="s">
        <v>22</v>
      </c>
      <c r="BR9" s="64"/>
      <c r="BS9" s="106" t="s">
        <v>15</v>
      </c>
      <c r="BT9" s="183"/>
    </row>
    <row r="10" spans="2:89" x14ac:dyDescent="0.3">
      <c r="B10" s="171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2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49"/>
      <c r="AY10" s="1"/>
      <c r="AZ10" s="66"/>
      <c r="BA10" s="67"/>
      <c r="BB10" s="67"/>
      <c r="BC10" s="67"/>
      <c r="BD10" s="67"/>
      <c r="BE10" s="67"/>
      <c r="BF10" s="67"/>
      <c r="BG10" s="67"/>
      <c r="BH10" s="184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4"/>
      <c r="BU10" s="1"/>
      <c r="BV10">
        <v>1</v>
      </c>
    </row>
    <row r="11" spans="2:89" x14ac:dyDescent="0.3">
      <c r="B11" s="477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4"/>
      <c r="Q11" s="60"/>
      <c r="R11" s="60"/>
      <c r="S11" s="60"/>
      <c r="T11" s="42"/>
      <c r="U11" s="478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2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49"/>
      <c r="AY11" s="1"/>
      <c r="AZ11" s="66"/>
      <c r="BA11" s="67"/>
      <c r="BB11" s="67"/>
      <c r="BC11" s="67"/>
      <c r="BD11" s="67"/>
      <c r="BE11" s="67"/>
      <c r="BF11" s="67"/>
      <c r="BG11" s="67"/>
      <c r="BH11" s="184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4"/>
      <c r="BU11" s="1"/>
      <c r="BV11">
        <f>+BV10+1</f>
        <v>2</v>
      </c>
    </row>
    <row r="12" spans="2:89" x14ac:dyDescent="0.3">
      <c r="B12" s="391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4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2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2">
        <f t="shared" ref="AU12:AU43" si="9">+AO12/H12</f>
        <v>5.2977767195452243E-3</v>
      </c>
      <c r="AV12" s="342"/>
      <c r="AW12" s="24">
        <f t="shared" ref="AW12:AW43" si="10">+AO12/BV12</f>
        <v>59.333333333333336</v>
      </c>
      <c r="AX12" s="350"/>
      <c r="AY12" s="1"/>
      <c r="AZ12" s="66"/>
      <c r="BA12" s="67"/>
      <c r="BB12" s="67"/>
      <c r="BC12" s="67"/>
      <c r="BD12" s="67"/>
      <c r="BE12" s="67"/>
      <c r="BF12" s="67"/>
      <c r="BG12" s="67"/>
      <c r="BH12" s="184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4"/>
      <c r="BU12" s="1"/>
      <c r="BV12">
        <f t="shared" ref="BV12:BV76" si="11">+BV11+1</f>
        <v>3</v>
      </c>
    </row>
    <row r="13" spans="2:89" x14ac:dyDescent="0.3">
      <c r="B13" s="171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4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2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2">
        <f t="shared" si="9"/>
        <v>6.740238078917906E-3</v>
      </c>
      <c r="AV13" s="342"/>
      <c r="AW13" s="24">
        <f t="shared" si="10"/>
        <v>73.75</v>
      </c>
      <c r="AX13" s="352"/>
      <c r="AY13" s="1"/>
      <c r="AZ13" s="66"/>
      <c r="BA13" s="67"/>
      <c r="BB13" s="67"/>
      <c r="BC13" s="67"/>
      <c r="BD13" s="67"/>
      <c r="BE13" s="67"/>
      <c r="BF13" s="67"/>
      <c r="BG13" s="67"/>
      <c r="BH13" s="184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4"/>
      <c r="BU13" s="1"/>
      <c r="BV13">
        <f t="shared" si="11"/>
        <v>4</v>
      </c>
    </row>
    <row r="14" spans="2:89" x14ac:dyDescent="0.3">
      <c r="B14" s="171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4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2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2">
        <f t="shared" si="9"/>
        <v>6.8907685576782849E-3</v>
      </c>
      <c r="AV14" s="342"/>
      <c r="AW14" s="24">
        <f t="shared" si="10"/>
        <v>75.599999999999994</v>
      </c>
      <c r="AX14" s="352"/>
      <c r="AY14" s="1"/>
      <c r="AZ14" s="66"/>
      <c r="BA14" s="67"/>
      <c r="BB14" s="67"/>
      <c r="BC14" s="67"/>
      <c r="BD14" s="67"/>
      <c r="BE14" s="67"/>
      <c r="BF14" s="67"/>
      <c r="BG14" s="67"/>
      <c r="BH14" s="184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4"/>
      <c r="BU14" s="1"/>
      <c r="BV14">
        <f t="shared" si="11"/>
        <v>5</v>
      </c>
      <c r="CK14" s="56"/>
    </row>
    <row r="15" spans="2:89" x14ac:dyDescent="0.3">
      <c r="B15" s="171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4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2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2">
        <f t="shared" si="9"/>
        <v>5.7761944554397381E-3</v>
      </c>
      <c r="AV15" s="342"/>
      <c r="AW15" s="24">
        <f t="shared" si="10"/>
        <v>65.666666666666671</v>
      </c>
      <c r="AX15" s="352"/>
      <c r="AY15" s="1"/>
      <c r="AZ15" s="66"/>
      <c r="BA15" s="67"/>
      <c r="BB15" s="67"/>
      <c r="BC15" s="67"/>
      <c r="BD15" s="67"/>
      <c r="BE15" s="67"/>
      <c r="BF15" s="67"/>
      <c r="BG15" s="67"/>
      <c r="BH15" s="184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4"/>
      <c r="BU15" s="1"/>
      <c r="BV15">
        <f t="shared" si="11"/>
        <v>6</v>
      </c>
      <c r="CK15" s="56"/>
    </row>
    <row r="16" spans="2:89" x14ac:dyDescent="0.3">
      <c r="B16" s="171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4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2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2">
        <f t="shared" si="9"/>
        <v>2.1864575408205068E-2</v>
      </c>
      <c r="AV16" s="342"/>
      <c r="AW16" s="24">
        <f t="shared" si="10"/>
        <v>266.85714285714283</v>
      </c>
      <c r="AX16" s="352"/>
      <c r="AY16" s="1"/>
      <c r="AZ16" s="66"/>
      <c r="BA16" s="67"/>
      <c r="BB16" s="67"/>
      <c r="BC16" s="67"/>
      <c r="BD16" s="67"/>
      <c r="BE16" s="67"/>
      <c r="BF16" s="67"/>
      <c r="BG16" s="67"/>
      <c r="BH16" s="184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4"/>
      <c r="BU16" s="1"/>
      <c r="BV16">
        <f t="shared" si="11"/>
        <v>7</v>
      </c>
      <c r="CK16" s="56"/>
    </row>
    <row r="17" spans="2:89" x14ac:dyDescent="0.3">
      <c r="B17" s="171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4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2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2">
        <f t="shared" si="9"/>
        <v>2.4220655744002458E-2</v>
      </c>
      <c r="AV17" s="342"/>
      <c r="AW17" s="24">
        <f t="shared" si="10"/>
        <v>315.25</v>
      </c>
      <c r="AX17" s="352"/>
      <c r="AY17" s="1"/>
      <c r="AZ17" s="66"/>
      <c r="BA17" s="67"/>
      <c r="BB17" s="67"/>
      <c r="BC17" s="67"/>
      <c r="BD17" s="67"/>
      <c r="BE17" s="67"/>
      <c r="BF17" s="67"/>
      <c r="BG17" s="67"/>
      <c r="BH17" s="184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4"/>
      <c r="BU17" s="1"/>
      <c r="BV17">
        <f t="shared" si="11"/>
        <v>8</v>
      </c>
      <c r="CK17" s="56"/>
    </row>
    <row r="18" spans="2:89" x14ac:dyDescent="0.3">
      <c r="B18" s="477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4"/>
      <c r="Q18" s="60"/>
      <c r="R18" s="60"/>
      <c r="S18" s="60"/>
      <c r="T18" s="42"/>
      <c r="U18" s="478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2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2">
        <f t="shared" si="9"/>
        <v>2.6145430416417162E-2</v>
      </c>
      <c r="AV18" s="342"/>
      <c r="AW18" s="24">
        <f t="shared" si="10"/>
        <v>359</v>
      </c>
      <c r="AX18" s="352"/>
      <c r="AY18" s="1"/>
      <c r="AZ18" s="66"/>
      <c r="BA18" s="67"/>
      <c r="BB18" s="67"/>
      <c r="BC18" s="67"/>
      <c r="BD18" s="67"/>
      <c r="BE18" s="67"/>
      <c r="BF18" s="67"/>
      <c r="BG18" s="67"/>
      <c r="BH18" s="184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4"/>
      <c r="BU18" s="1"/>
      <c r="BV18">
        <f t="shared" si="11"/>
        <v>9</v>
      </c>
      <c r="CK18" s="56"/>
    </row>
    <row r="19" spans="2:89" x14ac:dyDescent="0.3">
      <c r="B19" s="391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4"/>
      <c r="Q19" s="60"/>
      <c r="R19" s="60"/>
      <c r="S19" s="60"/>
      <c r="T19" s="42"/>
      <c r="U19" s="392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2"/>
      <c r="AD19" s="33">
        <f t="shared" si="5"/>
        <v>258.3</v>
      </c>
      <c r="AE19" s="50"/>
      <c r="AF19" s="33"/>
      <c r="AG19" s="33"/>
      <c r="AH19" s="33"/>
      <c r="AI19" s="49"/>
      <c r="AJ19" s="392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2">
        <f t="shared" si="9"/>
        <v>3.1772027513920734E-2</v>
      </c>
      <c r="AV19" s="342"/>
      <c r="AW19" s="24">
        <f t="shared" si="10"/>
        <v>455.9</v>
      </c>
      <c r="AX19" s="352"/>
      <c r="AY19" s="392"/>
      <c r="AZ19" s="66"/>
      <c r="BA19" s="67"/>
      <c r="BB19" s="67"/>
      <c r="BC19" s="67"/>
      <c r="BD19" s="67"/>
      <c r="BE19" s="67"/>
      <c r="BF19" s="67"/>
      <c r="BG19" s="67"/>
      <c r="BH19" s="184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4"/>
      <c r="BU19" s="1"/>
      <c r="BV19">
        <f t="shared" si="11"/>
        <v>10</v>
      </c>
      <c r="CK19" s="56"/>
    </row>
    <row r="20" spans="2:89" x14ac:dyDescent="0.3">
      <c r="B20" s="172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4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2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2">
        <f t="shared" si="9"/>
        <v>3.3605136593344888E-2</v>
      </c>
      <c r="AV20" s="342"/>
      <c r="AW20" s="24">
        <f t="shared" si="10"/>
        <v>500.54545454545456</v>
      </c>
      <c r="AX20" s="352"/>
      <c r="AY20" s="10"/>
      <c r="AZ20" s="66"/>
      <c r="BA20" s="67"/>
      <c r="BB20" s="67"/>
      <c r="BC20" s="67"/>
      <c r="BD20" s="67"/>
      <c r="BE20" s="67"/>
      <c r="BF20" s="67"/>
      <c r="BG20" s="67"/>
      <c r="BH20" s="184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4"/>
      <c r="BU20" s="1"/>
      <c r="BV20">
        <f t="shared" si="11"/>
        <v>11</v>
      </c>
      <c r="CK20" s="56"/>
    </row>
    <row r="21" spans="2:89" x14ac:dyDescent="0.3">
      <c r="B21" s="172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4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2">
        <f t="shared" si="9"/>
        <v>3.8449301644872896E-2</v>
      </c>
      <c r="AV21" s="342"/>
      <c r="AW21" s="24">
        <f t="shared" si="10"/>
        <v>604.25</v>
      </c>
      <c r="AX21" s="352"/>
      <c r="AY21" s="1"/>
      <c r="AZ21" s="66"/>
      <c r="BA21" s="67"/>
      <c r="BB21" s="67"/>
      <c r="BC21" s="67"/>
      <c r="BD21" s="67"/>
      <c r="BE21" s="67"/>
      <c r="BF21" s="67"/>
      <c r="BG21" s="67"/>
      <c r="BH21" s="184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4"/>
      <c r="BU21" s="1"/>
      <c r="BV21">
        <f t="shared" si="11"/>
        <v>12</v>
      </c>
      <c r="CK21" s="56"/>
    </row>
    <row r="22" spans="2:89" x14ac:dyDescent="0.3">
      <c r="B22" s="172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4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2">
        <f t="shared" si="9"/>
        <v>4.1281694790731849E-2</v>
      </c>
      <c r="AV22" s="342"/>
      <c r="AW22" s="24">
        <f t="shared" si="10"/>
        <v>682.92307692307691</v>
      </c>
      <c r="AX22" s="352"/>
      <c r="AY22" s="1"/>
      <c r="AZ22" s="66"/>
      <c r="BA22" s="67"/>
      <c r="BB22" s="67"/>
      <c r="BC22" s="67"/>
      <c r="BD22" s="67"/>
      <c r="BE22" s="67"/>
      <c r="BF22" s="67"/>
      <c r="BG22" s="67"/>
      <c r="BH22" s="184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4"/>
      <c r="BU22" s="1"/>
      <c r="BV22">
        <f t="shared" si="11"/>
        <v>13</v>
      </c>
    </row>
    <row r="23" spans="2:89" x14ac:dyDescent="0.3">
      <c r="B23" s="172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4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2">
        <f t="shared" si="9"/>
        <v>4.2482552465115141E-2</v>
      </c>
      <c r="AV23" s="342"/>
      <c r="AW23" s="24">
        <f t="shared" si="10"/>
        <v>743.07142857142856</v>
      </c>
      <c r="AX23" s="352"/>
      <c r="AY23" s="1"/>
      <c r="AZ23" s="66"/>
      <c r="BA23" s="67"/>
      <c r="BB23" s="67"/>
      <c r="BC23" s="67"/>
      <c r="BD23" s="67"/>
      <c r="BE23" s="67"/>
      <c r="BF23" s="67"/>
      <c r="BG23" s="67"/>
      <c r="BH23" s="184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4"/>
      <c r="BU23" s="1"/>
      <c r="BV23">
        <f t="shared" si="11"/>
        <v>14</v>
      </c>
    </row>
    <row r="24" spans="2:89" x14ac:dyDescent="0.3">
      <c r="B24" s="172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0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4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+Z23+V24+21+653</f>
        <v>7795</v>
      </c>
      <c r="AA24" s="340" t="s">
        <v>47</v>
      </c>
      <c r="AB24" s="46">
        <f t="shared" si="4"/>
        <v>2.7891981636735116E-2</v>
      </c>
      <c r="AC24" s="33"/>
      <c r="AD24" s="33">
        <f t="shared" si="5"/>
        <v>519.66666666666663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2">
        <f t="shared" si="9"/>
        <v>4.3789874441355278E-2</v>
      </c>
      <c r="AV24" s="342"/>
      <c r="AW24" s="24">
        <f t="shared" si="10"/>
        <v>815.86666666666667</v>
      </c>
      <c r="AX24" s="352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4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4"/>
      <c r="BU24" s="1"/>
      <c r="BV24">
        <f t="shared" si="11"/>
        <v>15</v>
      </c>
    </row>
    <row r="25" spans="2:89" x14ac:dyDescent="0.3">
      <c r="B25" s="477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478"/>
      <c r="V25" s="34">
        <f>1331-1</f>
        <v>1330</v>
      </c>
      <c r="W25" s="33"/>
      <c r="X25" s="33"/>
      <c r="Y25" s="33"/>
      <c r="Z25" s="33">
        <f t="shared" ref="Z25:Z34" si="15">+Z24+V25</f>
        <v>9125</v>
      </c>
      <c r="AA25" s="33"/>
      <c r="AB25" s="46">
        <f t="shared" si="4"/>
        <v>2.9091361220657575E-2</v>
      </c>
      <c r="AC25" s="33"/>
      <c r="AD25" s="33">
        <f t="shared" si="5"/>
        <v>570.3125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2">
        <f t="shared" si="9"/>
        <v>4.726349918862998E-2</v>
      </c>
      <c r="AV25" s="342"/>
      <c r="AW25" s="24">
        <f t="shared" si="10"/>
        <v>926.5625</v>
      </c>
      <c r="AX25" s="352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4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4"/>
      <c r="BU25" s="1"/>
      <c r="BV25">
        <f t="shared" si="11"/>
        <v>16</v>
      </c>
    </row>
    <row r="26" spans="2:89" x14ac:dyDescent="0.3">
      <c r="B26" s="391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2"/>
      <c r="V26" s="34">
        <v>1165</v>
      </c>
      <c r="W26" s="33"/>
      <c r="X26" s="33"/>
      <c r="Y26" s="33"/>
      <c r="Z26" s="33">
        <f t="shared" si="15"/>
        <v>10290</v>
      </c>
      <c r="AA26" s="33"/>
      <c r="AB26" s="46">
        <f t="shared" si="4"/>
        <v>3.0355504553325682E-2</v>
      </c>
      <c r="AC26" s="33"/>
      <c r="AD26" s="33">
        <f t="shared" si="5"/>
        <v>605.29411764705878</v>
      </c>
      <c r="AE26" s="50"/>
      <c r="AF26" s="33">
        <f>SUM(V20:V26)</f>
        <v>7033</v>
      </c>
      <c r="AG26" s="33"/>
      <c r="AH26" s="33"/>
      <c r="AI26" s="50"/>
      <c r="AJ26" s="392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2">
        <f t="shared" si="9"/>
        <v>5.3032157954823696E-2</v>
      </c>
      <c r="AV26" s="342"/>
      <c r="AW26" s="24">
        <f t="shared" si="10"/>
        <v>1057.4705882352941</v>
      </c>
      <c r="AX26" s="352"/>
      <c r="AY26" s="392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4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4"/>
      <c r="BU26" s="1"/>
      <c r="BV26">
        <f t="shared" si="11"/>
        <v>17</v>
      </c>
    </row>
    <row r="27" spans="2:89" x14ac:dyDescent="0.3">
      <c r="B27" s="172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11545</v>
      </c>
      <c r="AA27" s="33"/>
      <c r="AB27" s="46">
        <f t="shared" si="4"/>
        <v>3.1186435183809525E-2</v>
      </c>
      <c r="AC27" s="33"/>
      <c r="AD27" s="33">
        <f t="shared" si="5"/>
        <v>641.38888888888891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2">
        <f t="shared" si="9"/>
        <v>5.3137147379880227E-2</v>
      </c>
      <c r="AV27" s="342"/>
      <c r="AW27" s="24">
        <f t="shared" si="10"/>
        <v>1092.8333333333333</v>
      </c>
      <c r="AX27" s="352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4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4"/>
      <c r="BU27" s="1"/>
      <c r="BV27">
        <f t="shared" si="11"/>
        <v>18</v>
      </c>
    </row>
    <row r="28" spans="2:89" x14ac:dyDescent="0.3">
      <c r="B28" s="172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13515</v>
      </c>
      <c r="AA28" s="33"/>
      <c r="AB28" s="46">
        <f t="shared" si="4"/>
        <v>3.3481728117962704E-2</v>
      </c>
      <c r="AC28" s="33"/>
      <c r="AD28" s="33">
        <f t="shared" si="5"/>
        <v>711.31578947368416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2">
        <f t="shared" si="9"/>
        <v>5.3694633757212257E-2</v>
      </c>
      <c r="AV28" s="342"/>
      <c r="AW28" s="24">
        <f t="shared" si="10"/>
        <v>1140.7368421052631</v>
      </c>
      <c r="AX28" s="352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4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4"/>
      <c r="BU28" s="1"/>
      <c r="BV28">
        <f t="shared" si="11"/>
        <v>19</v>
      </c>
    </row>
    <row r="29" spans="2:89" x14ac:dyDescent="0.3">
      <c r="B29" s="172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15465</v>
      </c>
      <c r="AA29" s="33"/>
      <c r="AB29" s="46">
        <f t="shared" si="4"/>
        <v>3.5503732885203448E-2</v>
      </c>
      <c r="AC29" s="33"/>
      <c r="AD29" s="33">
        <f t="shared" si="5"/>
        <v>773.25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2">
        <f t="shared" si="9"/>
        <v>5.2551952762702372E-2</v>
      </c>
      <c r="AV29" s="342"/>
      <c r="AW29" s="24">
        <f t="shared" si="10"/>
        <v>1144.55</v>
      </c>
      <c r="AX29" s="352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4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4"/>
      <c r="BU29" s="1"/>
      <c r="BV29">
        <f t="shared" si="11"/>
        <v>20</v>
      </c>
    </row>
    <row r="30" spans="2:89" x14ac:dyDescent="0.3">
      <c r="B30" s="172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17365</v>
      </c>
      <c r="AA30" s="33"/>
      <c r="AB30" s="46">
        <f t="shared" si="4"/>
        <v>3.7015799660644097E-2</v>
      </c>
      <c r="AC30" s="33"/>
      <c r="AD30" s="33">
        <f t="shared" si="5"/>
        <v>826.90476190476193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2">
        <f t="shared" si="9"/>
        <v>5.5268969398282755E-2</v>
      </c>
      <c r="AV30" s="342"/>
      <c r="AW30" s="24">
        <f t="shared" si="10"/>
        <v>1234.6666666666667</v>
      </c>
      <c r="AX30" s="352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4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4"/>
      <c r="BU30" s="1"/>
      <c r="BV30">
        <f t="shared" si="11"/>
        <v>21</v>
      </c>
    </row>
    <row r="31" spans="2:89" x14ac:dyDescent="0.3">
      <c r="B31" s="172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19400</v>
      </c>
      <c r="AA31" s="33"/>
      <c r="AB31" s="46">
        <f t="shared" si="4"/>
        <v>3.8578098775841362E-2</v>
      </c>
      <c r="AC31" s="33"/>
      <c r="AD31" s="33">
        <f t="shared" si="5"/>
        <v>881.81818181818187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2">
        <f t="shared" si="9"/>
        <v>5.4315576802233555E-2</v>
      </c>
      <c r="AV31" s="342"/>
      <c r="AW31" s="24">
        <f t="shared" si="10"/>
        <v>1241.5454545454545</v>
      </c>
      <c r="AX31" s="352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4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4"/>
      <c r="BU31" s="1"/>
      <c r="BV31">
        <f t="shared" si="11"/>
        <v>22</v>
      </c>
    </row>
    <row r="32" spans="2:89" x14ac:dyDescent="0.3">
      <c r="B32" s="477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60"/>
      <c r="S32" s="16"/>
      <c r="T32" s="41"/>
      <c r="U32" s="478"/>
      <c r="V32" s="34">
        <v>1830</v>
      </c>
      <c r="W32" s="33"/>
      <c r="X32" s="33"/>
      <c r="Y32" s="33"/>
      <c r="Z32" s="33">
        <f t="shared" si="15"/>
        <v>21230</v>
      </c>
      <c r="AA32" s="33"/>
      <c r="AB32" s="46">
        <f t="shared" si="4"/>
        <v>3.9840188860885868E-2</v>
      </c>
      <c r="AC32" s="33"/>
      <c r="AD32" s="33">
        <f t="shared" si="5"/>
        <v>923.04347826086962</v>
      </c>
      <c r="AE32" s="50"/>
      <c r="AF32" s="33"/>
      <c r="AG32" s="33"/>
      <c r="AH32" s="232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2">
        <f t="shared" si="9"/>
        <v>5.7148058001910376E-2</v>
      </c>
      <c r="AV32" s="342"/>
      <c r="AW32" s="24">
        <f t="shared" si="10"/>
        <v>1324.0434782608695</v>
      </c>
      <c r="AX32" s="352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4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4"/>
      <c r="BU32" s="1"/>
      <c r="BV32">
        <f t="shared" si="11"/>
        <v>23</v>
      </c>
    </row>
    <row r="33" spans="2:74" x14ac:dyDescent="0.3">
      <c r="B33" s="391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2"/>
      <c r="V33" s="34">
        <v>1528</v>
      </c>
      <c r="W33" s="33"/>
      <c r="X33" s="33"/>
      <c r="Y33" s="33"/>
      <c r="Z33" s="33">
        <f t="shared" si="15"/>
        <v>22758</v>
      </c>
      <c r="AA33" s="33"/>
      <c r="AB33" s="46">
        <f t="shared" si="4"/>
        <v>4.0617526325182937E-2</v>
      </c>
      <c r="AC33" s="33"/>
      <c r="AD33" s="33">
        <f t="shared" si="5"/>
        <v>948.25</v>
      </c>
      <c r="AE33" s="50"/>
      <c r="AF33" s="33">
        <f>SUM(V27:V33)</f>
        <v>12468</v>
      </c>
      <c r="AG33" s="33"/>
      <c r="AH33" s="232">
        <f>+(AF33-AF26)/AF26</f>
        <v>0.77278544006824967</v>
      </c>
      <c r="AI33" s="50"/>
      <c r="AJ33" s="392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2">
        <f t="shared" si="9"/>
        <v>5.8243797965375689E-2</v>
      </c>
      <c r="AV33" s="342"/>
      <c r="AW33" s="24">
        <f t="shared" si="10"/>
        <v>1359.75</v>
      </c>
      <c r="AX33" s="352"/>
      <c r="AY33" s="392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4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4"/>
      <c r="BU33" s="1"/>
      <c r="BV33">
        <f t="shared" si="11"/>
        <v>24</v>
      </c>
    </row>
    <row r="34" spans="2:74" x14ac:dyDescent="0.3">
      <c r="B34" s="172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24293</v>
      </c>
      <c r="AA34" s="33"/>
      <c r="AB34" s="46">
        <f t="shared" si="4"/>
        <v>4.1389168587643389E-2</v>
      </c>
      <c r="AC34" s="33"/>
      <c r="AD34" s="33">
        <f t="shared" si="5"/>
        <v>971.72</v>
      </c>
      <c r="AE34" s="50"/>
      <c r="AF34" s="33"/>
      <c r="AG34" s="33"/>
      <c r="AH34" s="232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2">
        <f t="shared" si="9"/>
        <v>6.1767707486783167E-2</v>
      </c>
      <c r="AV34" s="342"/>
      <c r="AW34" s="24">
        <f t="shared" si="10"/>
        <v>1450.16</v>
      </c>
      <c r="AX34" s="352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4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4"/>
      <c r="BU34" s="1"/>
      <c r="BV34">
        <f t="shared" si="11"/>
        <v>25</v>
      </c>
    </row>
    <row r="35" spans="2:74" x14ac:dyDescent="0.3">
      <c r="B35" s="172">
        <f t="shared" si="6"/>
        <v>43935</v>
      </c>
      <c r="D35" s="17">
        <v>30720</v>
      </c>
      <c r="E35" s="16"/>
      <c r="F35" s="16"/>
      <c r="G35" s="16"/>
      <c r="H35" s="16">
        <f>+H34+D35+5109-168+16794+1462+194+2800</f>
        <v>643852</v>
      </c>
      <c r="I35" s="331" t="s">
        <v>68</v>
      </c>
      <c r="J35" s="38">
        <f t="shared" si="1"/>
        <v>5.2339161857835798E-2</v>
      </c>
      <c r="K35" s="16"/>
      <c r="L35" s="16"/>
      <c r="M35" s="16"/>
      <c r="N35" s="16">
        <f t="shared" si="2"/>
        <v>24763.538461538461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+Z34+V35+3778+317+73+3+2024</f>
        <v>32895</v>
      </c>
      <c r="AA35" s="341" t="s">
        <v>68</v>
      </c>
      <c r="AB35" s="46">
        <f t="shared" si="4"/>
        <v>5.1090933941340559E-2</v>
      </c>
      <c r="AC35" s="33"/>
      <c r="AD35" s="33">
        <f t="shared" si="5"/>
        <v>1265.1923076923076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2">
        <f t="shared" si="9"/>
        <v>6.0293359343451598E-2</v>
      </c>
      <c r="AV35" s="342"/>
      <c r="AW35" s="24">
        <f t="shared" si="10"/>
        <v>1493.0769230769231</v>
      </c>
      <c r="AX35" s="352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4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4"/>
      <c r="BU35" s="1"/>
      <c r="BV35">
        <f t="shared" si="11"/>
        <v>26</v>
      </c>
    </row>
    <row r="36" spans="2:74" x14ac:dyDescent="0.3">
      <c r="B36" s="172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674194</v>
      </c>
      <c r="I36" s="16"/>
      <c r="J36" s="38">
        <f t="shared" si="1"/>
        <v>4.7125736970608151E-2</v>
      </c>
      <c r="K36" s="16"/>
      <c r="L36" s="16"/>
      <c r="M36" s="16"/>
      <c r="N36" s="16">
        <f t="shared" si="2"/>
        <v>24970.14814814815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35513</v>
      </c>
      <c r="AA36" s="33"/>
      <c r="AB36" s="46">
        <f t="shared" si="4"/>
        <v>5.2674749404474086E-2</v>
      </c>
      <c r="AC36" s="33"/>
      <c r="AD36" s="33">
        <f t="shared" si="5"/>
        <v>1315.2962962962963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2">
        <f t="shared" si="9"/>
        <v>7.2235884626680152E-2</v>
      </c>
      <c r="AV36" s="342"/>
      <c r="AW36" s="24">
        <f t="shared" si="10"/>
        <v>1803.7407407407406</v>
      </c>
      <c r="AX36" s="352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4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4"/>
      <c r="BU36" s="1"/>
      <c r="BV36">
        <f t="shared" si="11"/>
        <v>27</v>
      </c>
    </row>
    <row r="37" spans="2:74" x14ac:dyDescent="0.3">
      <c r="B37" s="172">
        <f t="shared" si="6"/>
        <v>43937</v>
      </c>
      <c r="D37" s="17">
        <v>29567</v>
      </c>
      <c r="E37" s="16"/>
      <c r="F37" s="16"/>
      <c r="G37" s="16"/>
      <c r="H37" s="16">
        <f t="shared" si="18"/>
        <v>703761</v>
      </c>
      <c r="I37" s="16"/>
      <c r="J37" s="38">
        <f t="shared" si="1"/>
        <v>4.3855329474898917E-2</v>
      </c>
      <c r="K37" s="16"/>
      <c r="L37" s="16"/>
      <c r="M37" s="16"/>
      <c r="N37" s="16">
        <f t="shared" si="2"/>
        <v>25134.321428571428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37689</v>
      </c>
      <c r="AA37" s="33"/>
      <c r="AB37" s="46">
        <f t="shared" si="4"/>
        <v>5.3553692233584985E-2</v>
      </c>
      <c r="AC37" s="33"/>
      <c r="AD37" s="33">
        <f t="shared" si="5"/>
        <v>1346.0357142857142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2">
        <f t="shared" si="9"/>
        <v>8.1715241395871607E-2</v>
      </c>
      <c r="AV37" s="342"/>
      <c r="AW37" s="24">
        <f t="shared" si="10"/>
        <v>2053.8571428571427</v>
      </c>
      <c r="AX37" s="352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4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4"/>
      <c r="BU37" s="1"/>
      <c r="BV37">
        <f t="shared" si="11"/>
        <v>28</v>
      </c>
    </row>
    <row r="38" spans="2:74" x14ac:dyDescent="0.3">
      <c r="B38" s="172">
        <f t="shared" si="6"/>
        <v>43938</v>
      </c>
      <c r="D38" s="17">
        <v>32165</v>
      </c>
      <c r="E38" s="16"/>
      <c r="F38" s="16"/>
      <c r="G38" s="16"/>
      <c r="H38" s="16">
        <f t="shared" si="18"/>
        <v>735926</v>
      </c>
      <c r="I38" s="16"/>
      <c r="J38" s="38">
        <f t="shared" si="1"/>
        <v>4.5704436591399639E-2</v>
      </c>
      <c r="K38" s="16"/>
      <c r="L38" s="16"/>
      <c r="M38" s="16"/>
      <c r="N38" s="16">
        <f t="shared" si="2"/>
        <v>25376.758620689656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40217</v>
      </c>
      <c r="AA38" s="33"/>
      <c r="AB38" s="46">
        <f t="shared" si="4"/>
        <v>5.4648157559319822E-2</v>
      </c>
      <c r="AC38" s="33"/>
      <c r="AD38" s="33">
        <f t="shared" si="5"/>
        <v>1386.7931034482758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2">
        <f t="shared" si="9"/>
        <v>8.2222940893513743E-2</v>
      </c>
      <c r="AV38" s="342"/>
      <c r="AW38" s="24">
        <f t="shared" si="10"/>
        <v>2086.5517241379312</v>
      </c>
      <c r="AX38" s="352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4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4"/>
      <c r="BU38" s="1"/>
      <c r="BV38">
        <f t="shared" si="11"/>
        <v>29</v>
      </c>
    </row>
    <row r="39" spans="2:74" x14ac:dyDescent="0.3">
      <c r="B39" s="296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764983</v>
      </c>
      <c r="I39" s="16"/>
      <c r="J39" s="38">
        <f t="shared" si="1"/>
        <v>3.9483589382628144E-2</v>
      </c>
      <c r="K39" s="16"/>
      <c r="L39" s="16"/>
      <c r="M39" s="16"/>
      <c r="N39" s="16">
        <f t="shared" si="2"/>
        <v>25499.433333333334</v>
      </c>
      <c r="O39" s="41"/>
      <c r="P39" s="17"/>
      <c r="Q39" s="16"/>
      <c r="R39" s="60"/>
      <c r="S39" s="16"/>
      <c r="T39" s="41"/>
      <c r="U39" s="7"/>
      <c r="V39" s="34">
        <v>1867</v>
      </c>
      <c r="W39" s="33"/>
      <c r="X39" s="33"/>
      <c r="Y39" s="33"/>
      <c r="Z39" s="33">
        <f t="shared" si="19"/>
        <v>42084</v>
      </c>
      <c r="AA39" s="33"/>
      <c r="AB39" s="46">
        <f t="shared" si="4"/>
        <v>5.5012987216709393E-2</v>
      </c>
      <c r="AC39" s="33"/>
      <c r="AD39" s="33">
        <f t="shared" si="5"/>
        <v>1402.8</v>
      </c>
      <c r="AE39" s="50"/>
      <c r="AF39" s="33"/>
      <c r="AG39" s="33"/>
      <c r="AH39" s="232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2">
        <f t="shared" si="9"/>
        <v>8.9242506042617936E-2</v>
      </c>
      <c r="AV39" s="342"/>
      <c r="AW39" s="24">
        <f t="shared" si="10"/>
        <v>2275.6333333333332</v>
      </c>
      <c r="AX39" s="352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4"/>
      <c r="BI39" s="67"/>
      <c r="BJ39" s="67"/>
      <c r="BK39" s="67"/>
      <c r="BL39" s="15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4"/>
      <c r="BU39" s="90"/>
      <c r="BV39" s="110">
        <f t="shared" si="11"/>
        <v>30</v>
      </c>
    </row>
    <row r="40" spans="2:74" x14ac:dyDescent="0.3">
      <c r="B40" s="391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791166</v>
      </c>
      <c r="I40" s="16"/>
      <c r="J40" s="38">
        <f t="shared" si="1"/>
        <v>3.4226904388724978E-2</v>
      </c>
      <c r="K40" s="16"/>
      <c r="L40" s="16"/>
      <c r="M40" s="16"/>
      <c r="N40" s="16">
        <f t="shared" si="2"/>
        <v>25521.483870967742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2"/>
      <c r="V40" s="34">
        <v>1570</v>
      </c>
      <c r="W40" s="33"/>
      <c r="X40" s="33"/>
      <c r="Y40" s="33"/>
      <c r="Z40" s="33">
        <f t="shared" si="19"/>
        <v>43654</v>
      </c>
      <c r="AA40" s="33"/>
      <c r="AB40" s="46">
        <f t="shared" si="4"/>
        <v>5.5176789700265176E-2</v>
      </c>
      <c r="AC40" s="33"/>
      <c r="AD40" s="33">
        <f t="shared" si="5"/>
        <v>1408.1935483870968</v>
      </c>
      <c r="AE40" s="50"/>
      <c r="AF40" s="33">
        <f>SUM(V34:V40)</f>
        <v>14701</v>
      </c>
      <c r="AG40" s="33"/>
      <c r="AH40" s="232">
        <f>+(AF40-AF33)/AF33</f>
        <v>0.17909849213987808</v>
      </c>
      <c r="AI40" s="50"/>
      <c r="AJ40" s="392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2">
        <f t="shared" si="9"/>
        <v>8.9744756473357043E-2</v>
      </c>
      <c r="AV40" s="342"/>
      <c r="AW40" s="24">
        <f t="shared" si="10"/>
        <v>2290.4193548387098</v>
      </c>
      <c r="AX40" s="352"/>
      <c r="AY40" s="392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4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4"/>
      <c r="BU40" s="1"/>
      <c r="BV40">
        <f t="shared" si="11"/>
        <v>31</v>
      </c>
    </row>
    <row r="41" spans="2:74" x14ac:dyDescent="0.3">
      <c r="B41" s="172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819309</v>
      </c>
      <c r="I41" s="16"/>
      <c r="J41" s="38">
        <f t="shared" si="1"/>
        <v>3.5571548827932446E-2</v>
      </c>
      <c r="K41" s="16"/>
      <c r="L41" s="16"/>
      <c r="M41" s="16"/>
      <c r="N41" s="16">
        <f t="shared" si="2"/>
        <v>25603.40625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45606</v>
      </c>
      <c r="AA41" s="33"/>
      <c r="AB41" s="46">
        <f t="shared" si="4"/>
        <v>5.5663980256533248E-2</v>
      </c>
      <c r="AC41" s="33"/>
      <c r="AD41" s="33">
        <f t="shared" si="5"/>
        <v>1425.1875</v>
      </c>
      <c r="AE41" s="50"/>
      <c r="AF41" s="33"/>
      <c r="AG41" s="33"/>
      <c r="AH41" s="232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2">
        <f t="shared" si="9"/>
        <v>8.8353722466126938E-2</v>
      </c>
      <c r="AV41" s="342"/>
      <c r="AW41" s="24">
        <f t="shared" si="10"/>
        <v>2262.15625</v>
      </c>
      <c r="AX41" s="352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4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4"/>
      <c r="BU41" s="1"/>
      <c r="BV41">
        <f t="shared" si="11"/>
        <v>32</v>
      </c>
    </row>
    <row r="42" spans="2:74" x14ac:dyDescent="0.3">
      <c r="B42" s="172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845414</v>
      </c>
      <c r="I42" s="16"/>
      <c r="J42" s="38">
        <f t="shared" si="1"/>
        <v>3.1862215598754559E-2</v>
      </c>
      <c r="K42" s="16"/>
      <c r="L42" s="16"/>
      <c r="M42" s="16"/>
      <c r="N42" s="16">
        <f t="shared" ref="N42:N68" si="22">+H42/BV42</f>
        <v>25618.60606060606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48289</v>
      </c>
      <c r="AA42" s="33"/>
      <c r="AB42" s="46">
        <f t="shared" ref="AB42:AB68" si="23">+Z42/H42</f>
        <v>5.711876074917141E-2</v>
      </c>
      <c r="AC42" s="33"/>
      <c r="AD42" s="33">
        <f t="shared" ref="AD42:AD68" si="24">+Z42/BV42</f>
        <v>1463.3030303030303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2">
        <f t="shared" si="9"/>
        <v>9.8085671635435426E-2</v>
      </c>
      <c r="AV42" s="342"/>
      <c r="AW42" s="24">
        <f t="shared" si="10"/>
        <v>2512.818181818182</v>
      </c>
      <c r="AX42" s="352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4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4"/>
      <c r="BU42" s="1"/>
      <c r="BV42">
        <f t="shared" si="11"/>
        <v>33</v>
      </c>
    </row>
    <row r="43" spans="2:74" x14ac:dyDescent="0.3">
      <c r="B43" s="172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875624</v>
      </c>
      <c r="I43" s="16"/>
      <c r="J43" s="38">
        <f t="shared" si="1"/>
        <v>3.5733971758215501E-2</v>
      </c>
      <c r="K43" s="16"/>
      <c r="L43" s="16"/>
      <c r="M43" s="16"/>
      <c r="N43" s="16">
        <f t="shared" si="22"/>
        <v>25753.647058823528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50647</v>
      </c>
      <c r="AA43" s="33"/>
      <c r="AB43" s="46">
        <f t="shared" si="23"/>
        <v>5.7841036792047731E-2</v>
      </c>
      <c r="AC43" s="33"/>
      <c r="AD43" s="33">
        <f t="shared" si="24"/>
        <v>1489.6176470588234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2">
        <f t="shared" si="9"/>
        <v>9.5988689209066905E-2</v>
      </c>
      <c r="AV43" s="342"/>
      <c r="AW43" s="24">
        <f t="shared" si="10"/>
        <v>2472.0588235294117</v>
      </c>
      <c r="AX43" s="352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4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4"/>
      <c r="BU43" s="1"/>
      <c r="BV43">
        <f t="shared" si="11"/>
        <v>34</v>
      </c>
    </row>
    <row r="44" spans="2:74" x14ac:dyDescent="0.3">
      <c r="B44" s="172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907524</v>
      </c>
      <c r="I44" s="16"/>
      <c r="J44" s="38">
        <f t="shared" si="1"/>
        <v>3.6431162234018252E-2</v>
      </c>
      <c r="K44" s="16"/>
      <c r="L44" s="16"/>
      <c r="M44" s="16"/>
      <c r="N44" s="16">
        <f t="shared" si="22"/>
        <v>25929.257142857143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52987</v>
      </c>
      <c r="AA44" s="33"/>
      <c r="AB44" s="46">
        <f t="shared" si="23"/>
        <v>5.8386334686465591E-2</v>
      </c>
      <c r="AC44" s="33"/>
      <c r="AD44" s="33">
        <f t="shared" si="24"/>
        <v>1513.9142857142858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2">
        <f t="shared" ref="AU44:AU68" si="25">+AO44/H44</f>
        <v>9.4677385942410333E-2</v>
      </c>
      <c r="AV44" s="342"/>
      <c r="AW44" s="24">
        <f t="shared" ref="AW44:AW68" si="26">+AO44/BV44</f>
        <v>2454.9142857142856</v>
      </c>
      <c r="AX44" s="352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4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4"/>
      <c r="BU44" s="1"/>
      <c r="BV44">
        <f t="shared" si="11"/>
        <v>35</v>
      </c>
    </row>
    <row r="45" spans="2:74" x14ac:dyDescent="0.3">
      <c r="B45" s="172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946288</v>
      </c>
      <c r="I45" s="16"/>
      <c r="J45" s="38">
        <f t="shared" si="1"/>
        <v>4.2714021888126376E-2</v>
      </c>
      <c r="K45" s="16"/>
      <c r="L45" s="16"/>
      <c r="M45" s="16"/>
      <c r="N45" s="16">
        <f t="shared" si="22"/>
        <v>26285.777777777777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54944</v>
      </c>
      <c r="AA45" s="33"/>
      <c r="AB45" s="46">
        <f t="shared" si="23"/>
        <v>5.8062661684392065E-2</v>
      </c>
      <c r="AC45" s="33"/>
      <c r="AD45" s="33">
        <f t="shared" si="24"/>
        <v>1526.2222222222222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2">
        <f t="shared" si="25"/>
        <v>0.11670020120724346</v>
      </c>
      <c r="AV45" s="342"/>
      <c r="AW45" s="24">
        <f t="shared" si="26"/>
        <v>3067.5555555555557</v>
      </c>
      <c r="AX45" s="352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4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4"/>
      <c r="BU45" s="1"/>
      <c r="BV45">
        <f t="shared" si="11"/>
        <v>36</v>
      </c>
    </row>
    <row r="46" spans="2:74" x14ac:dyDescent="0.3">
      <c r="B46" s="477">
        <f t="shared" si="6"/>
        <v>43946</v>
      </c>
      <c r="C46" s="61"/>
      <c r="D46" s="17">
        <v>35419</v>
      </c>
      <c r="E46" s="16"/>
      <c r="F46" s="16"/>
      <c r="G46" s="16"/>
      <c r="H46" s="16">
        <f>+H45+D46</f>
        <v>981707</v>
      </c>
      <c r="I46" s="16"/>
      <c r="J46" s="38">
        <f t="shared" si="1"/>
        <v>3.7429408383071537E-2</v>
      </c>
      <c r="K46" s="16"/>
      <c r="L46" s="16"/>
      <c r="M46" s="16"/>
      <c r="N46" s="16">
        <f t="shared" si="22"/>
        <v>26532.62162162162</v>
      </c>
      <c r="O46" s="41"/>
      <c r="P46" s="17"/>
      <c r="Q46" s="16"/>
      <c r="R46" s="60"/>
      <c r="S46" s="16"/>
      <c r="T46" s="41"/>
      <c r="U46" s="478"/>
      <c r="V46" s="34">
        <v>2065</v>
      </c>
      <c r="W46" s="33"/>
      <c r="X46" s="33"/>
      <c r="Y46" s="33"/>
      <c r="Z46" s="33">
        <f t="shared" si="19"/>
        <v>57009</v>
      </c>
      <c r="AA46" s="33"/>
      <c r="AB46" s="46">
        <f t="shared" si="23"/>
        <v>5.8071298259052856E-2</v>
      </c>
      <c r="AC46" s="33"/>
      <c r="AD46" s="33">
        <f t="shared" si="24"/>
        <v>1540.7837837837837</v>
      </c>
      <c r="AE46" s="50"/>
      <c r="AF46" s="33"/>
      <c r="AG46" s="33"/>
      <c r="AH46" s="232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2">
        <f t="shared" si="25"/>
        <v>0.12036381527278506</v>
      </c>
      <c r="AV46" s="342"/>
      <c r="AW46" s="24">
        <f t="shared" si="26"/>
        <v>3193.5675675675675</v>
      </c>
      <c r="AX46" s="352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4"/>
      <c r="BI46" s="67"/>
      <c r="BJ46" s="67"/>
      <c r="BK46" s="67"/>
      <c r="BL46" s="15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4"/>
      <c r="BU46" s="1"/>
      <c r="BV46">
        <f t="shared" si="11"/>
        <v>37</v>
      </c>
    </row>
    <row r="47" spans="2:74" x14ac:dyDescent="0.3">
      <c r="B47" s="391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1008216</v>
      </c>
      <c r="I47" s="16"/>
      <c r="J47" s="38">
        <f t="shared" si="1"/>
        <v>2.7002965243193743E-2</v>
      </c>
      <c r="K47" s="16"/>
      <c r="L47" s="16"/>
      <c r="M47" s="16"/>
      <c r="N47" s="16">
        <f t="shared" si="22"/>
        <v>26532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2"/>
      <c r="V47" s="34">
        <v>1156</v>
      </c>
      <c r="W47" s="33"/>
      <c r="X47" s="33"/>
      <c r="Y47" s="33"/>
      <c r="Z47" s="33">
        <f t="shared" si="19"/>
        <v>58165</v>
      </c>
      <c r="AA47" s="33"/>
      <c r="AB47" s="46">
        <f t="shared" si="23"/>
        <v>5.7691010656446634E-2</v>
      </c>
      <c r="AC47" s="33"/>
      <c r="AD47" s="33">
        <f t="shared" si="24"/>
        <v>1530.6578947368421</v>
      </c>
      <c r="AE47" s="50"/>
      <c r="AF47" s="33">
        <f>SUM(V41:V47)</f>
        <v>14511</v>
      </c>
      <c r="AG47" s="33"/>
      <c r="AH47" s="232">
        <f>+(AF47-AF40)/AF40</f>
        <v>-1.2924290864567036E-2</v>
      </c>
      <c r="AI47" s="50"/>
      <c r="AJ47" s="392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2">
        <f t="shared" si="25"/>
        <v>0.1178130479976513</v>
      </c>
      <c r="AV47" s="342"/>
      <c r="AW47" s="24">
        <f t="shared" si="26"/>
        <v>3125.8157894736842</v>
      </c>
      <c r="AX47" s="352"/>
      <c r="AY47" s="392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4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4"/>
      <c r="BU47" s="1"/>
      <c r="BV47">
        <f t="shared" si="11"/>
        <v>38</v>
      </c>
    </row>
    <row r="48" spans="2:74" x14ac:dyDescent="0.3">
      <c r="B48" s="172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1031412</v>
      </c>
      <c r="I48" s="16"/>
      <c r="J48" s="38">
        <f t="shared" si="1"/>
        <v>2.3006974695898498E-2</v>
      </c>
      <c r="K48" s="16"/>
      <c r="L48" s="16"/>
      <c r="M48" s="16"/>
      <c r="N48" s="16">
        <f t="shared" si="22"/>
        <v>26446.461538461539</v>
      </c>
      <c r="O48" s="41"/>
      <c r="P48" s="17">
        <f>+P47/7</f>
        <v>31007.142857142859</v>
      </c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59548</v>
      </c>
      <c r="AA48" s="33"/>
      <c r="AB48" s="46">
        <f t="shared" si="23"/>
        <v>5.7734445594970776E-2</v>
      </c>
      <c r="AC48" s="33"/>
      <c r="AD48" s="33">
        <f t="shared" si="24"/>
        <v>1526.8717948717949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2">
        <f t="shared" si="25"/>
        <v>0.13360810229084014</v>
      </c>
      <c r="AV48" s="342"/>
      <c r="AW48" s="24">
        <f t="shared" si="26"/>
        <v>3533.4615384615386</v>
      </c>
      <c r="AX48" s="352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4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4"/>
      <c r="BU48" s="1"/>
      <c r="BV48">
        <f t="shared" si="11"/>
        <v>39</v>
      </c>
    </row>
    <row r="49" spans="2:78" x14ac:dyDescent="0.3">
      <c r="B49" s="172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1056821</v>
      </c>
      <c r="I49" s="16"/>
      <c r="J49" s="38">
        <f t="shared" si="1"/>
        <v>2.4635160343296374E-2</v>
      </c>
      <c r="K49" s="16"/>
      <c r="L49" s="16"/>
      <c r="M49" s="16"/>
      <c r="N49" s="16">
        <f t="shared" si="22"/>
        <v>26420.525000000001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62018</v>
      </c>
      <c r="AA49" s="33"/>
      <c r="AB49" s="46">
        <f t="shared" si="23"/>
        <v>5.8683542435284688E-2</v>
      </c>
      <c r="AC49" s="33"/>
      <c r="AD49" s="33">
        <f t="shared" si="24"/>
        <v>1550.45</v>
      </c>
      <c r="AE49" s="50"/>
      <c r="AF49" s="33"/>
      <c r="AG49" s="232">
        <f>+AG51/AG50</f>
        <v>6.194382152455194E-2</v>
      </c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2">
        <f t="shared" si="25"/>
        <v>0.13431886762280462</v>
      </c>
      <c r="AV49" s="342"/>
      <c r="AW49" s="24">
        <f t="shared" si="26"/>
        <v>3548.7750000000001</v>
      </c>
      <c r="AX49" s="352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4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4"/>
      <c r="BU49" s="1"/>
      <c r="BV49">
        <f t="shared" si="11"/>
        <v>40</v>
      </c>
    </row>
    <row r="50" spans="2:78" x14ac:dyDescent="0.3">
      <c r="B50" s="172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1085250</v>
      </c>
      <c r="I50" s="16"/>
      <c r="J50" s="38">
        <f t="shared" si="1"/>
        <v>2.6900487405151864E-2</v>
      </c>
      <c r="K50" s="16"/>
      <c r="L50" s="16"/>
      <c r="M50" s="16"/>
      <c r="N50" s="16">
        <f t="shared" si="22"/>
        <v>26469.512195121952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64408</v>
      </c>
      <c r="AA50" s="33"/>
      <c r="AB50" s="46">
        <f t="shared" si="23"/>
        <v>5.9348537203409352E-2</v>
      </c>
      <c r="AC50" s="33"/>
      <c r="AD50" s="33">
        <f t="shared" si="24"/>
        <v>1570.9268292682927</v>
      </c>
      <c r="AE50" s="50"/>
      <c r="AF50" s="33"/>
      <c r="AG50" s="33">
        <f>SUM(D22:D51)</f>
        <v>898992</v>
      </c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2">
        <f t="shared" si="25"/>
        <v>0.13583137525915687</v>
      </c>
      <c r="AV50" s="342"/>
      <c r="AW50" s="24">
        <f t="shared" si="26"/>
        <v>3595.3902439024391</v>
      </c>
      <c r="AX50" s="352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4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4"/>
      <c r="BU50" s="1"/>
      <c r="BV50">
        <f t="shared" si="11"/>
        <v>41</v>
      </c>
    </row>
    <row r="51" spans="2:78" x14ac:dyDescent="0.3">
      <c r="B51" s="172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1116079</v>
      </c>
      <c r="I51" s="16"/>
      <c r="J51" s="38">
        <f t="shared" si="1"/>
        <v>2.8407279428703063E-2</v>
      </c>
      <c r="K51" s="16"/>
      <c r="L51" s="16"/>
      <c r="M51" s="16"/>
      <c r="N51" s="16">
        <f t="shared" si="22"/>
        <v>26573.309523809523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66609</v>
      </c>
      <c r="AA51" s="33"/>
      <c r="AB51" s="46">
        <f t="shared" si="23"/>
        <v>5.9681259122338112E-2</v>
      </c>
      <c r="AC51" s="33"/>
      <c r="AD51" s="33">
        <f t="shared" si="24"/>
        <v>1585.9285714285713</v>
      </c>
      <c r="AE51" s="50"/>
      <c r="AF51" s="33"/>
      <c r="AG51" s="33">
        <f>SUM(V22:V51)</f>
        <v>55687</v>
      </c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2">
        <f t="shared" si="25"/>
        <v>0.1364813781103309</v>
      </c>
      <c r="AV51" s="342"/>
      <c r="AW51" s="24">
        <f t="shared" si="26"/>
        <v>3626.7619047619046</v>
      </c>
      <c r="AX51" s="352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4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4"/>
      <c r="BU51" s="1"/>
      <c r="BV51">
        <f t="shared" si="11"/>
        <v>42</v>
      </c>
    </row>
    <row r="52" spans="2:78" x14ac:dyDescent="0.3">
      <c r="B52" s="172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1152086</v>
      </c>
      <c r="I52" s="16"/>
      <c r="J52" s="38">
        <f t="shared" ref="J52:J64" si="28">+D52/H51</f>
        <v>3.2262053134231534E-2</v>
      </c>
      <c r="K52" s="16"/>
      <c r="L52" s="16"/>
      <c r="M52" s="16"/>
      <c r="N52" s="16">
        <f t="shared" si="22"/>
        <v>26792.697674418603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68506</v>
      </c>
      <c r="AA52" s="33"/>
      <c r="AB52" s="46">
        <f t="shared" si="23"/>
        <v>5.9462574842503078E-2</v>
      </c>
      <c r="AC52" s="33"/>
      <c r="AD52" s="33">
        <f t="shared" si="24"/>
        <v>1593.1627906976744</v>
      </c>
      <c r="AE52" s="50"/>
      <c r="AF52" s="33"/>
      <c r="AG52" s="33">
        <f>+V52</f>
        <v>1897</v>
      </c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2">
        <f t="shared" si="25"/>
        <v>0.14023519077568863</v>
      </c>
      <c r="AV52" s="342"/>
      <c r="AW52" s="24">
        <f t="shared" si="26"/>
        <v>3757.2790697674418</v>
      </c>
      <c r="AX52" s="352"/>
      <c r="AY52" s="504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4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4"/>
      <c r="BU52" s="1"/>
      <c r="BV52">
        <f t="shared" si="11"/>
        <v>43</v>
      </c>
    </row>
    <row r="53" spans="2:78" x14ac:dyDescent="0.3">
      <c r="B53" s="477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1181830</v>
      </c>
      <c r="I53" s="16"/>
      <c r="J53" s="38">
        <f t="shared" si="28"/>
        <v>2.5817517095077971E-2</v>
      </c>
      <c r="K53" s="16"/>
      <c r="L53" s="16"/>
      <c r="M53" s="16"/>
      <c r="N53" s="16">
        <f t="shared" si="22"/>
        <v>26859.772727272728</v>
      </c>
      <c r="O53" s="41"/>
      <c r="P53" s="17"/>
      <c r="Q53" s="16"/>
      <c r="R53" s="60"/>
      <c r="S53" s="16"/>
      <c r="T53" s="41"/>
      <c r="U53" s="478"/>
      <c r="V53" s="34">
        <v>1691</v>
      </c>
      <c r="W53" s="33"/>
      <c r="X53" s="33"/>
      <c r="Y53" s="33"/>
      <c r="Z53" s="33">
        <f t="shared" si="29"/>
        <v>70197</v>
      </c>
      <c r="AA53" s="33"/>
      <c r="AB53" s="46">
        <f t="shared" si="23"/>
        <v>5.9396867569785843E-2</v>
      </c>
      <c r="AC53" s="33"/>
      <c r="AD53" s="33">
        <f t="shared" si="24"/>
        <v>1595.3863636363637</v>
      </c>
      <c r="AE53" s="50"/>
      <c r="AF53" s="33"/>
      <c r="AG53" s="33">
        <f t="shared" ref="AG53:AG82" si="35">+V53</f>
        <v>1691</v>
      </c>
      <c r="AH53" s="232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2">
        <f t="shared" si="25"/>
        <v>0.14665222578543446</v>
      </c>
      <c r="AV53" s="342"/>
      <c r="AW53" s="24">
        <f t="shared" si="26"/>
        <v>3939.0454545454545</v>
      </c>
      <c r="AX53" s="352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4"/>
      <c r="BI53" s="67"/>
      <c r="BJ53" s="67"/>
      <c r="BK53" s="67"/>
      <c r="BL53" s="15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4"/>
      <c r="BU53" s="1"/>
      <c r="BV53">
        <f t="shared" si="11"/>
        <v>44</v>
      </c>
    </row>
    <row r="54" spans="2:78" x14ac:dyDescent="0.3">
      <c r="B54" s="391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1209178</v>
      </c>
      <c r="I54" s="16"/>
      <c r="J54" s="38">
        <f t="shared" si="28"/>
        <v>2.3140383980775576E-2</v>
      </c>
      <c r="K54" s="16"/>
      <c r="L54" s="16"/>
      <c r="M54" s="16"/>
      <c r="N54" s="16">
        <f t="shared" si="22"/>
        <v>26870.62222222222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2"/>
      <c r="V54" s="34">
        <v>1153</v>
      </c>
      <c r="W54" s="33"/>
      <c r="X54" s="33"/>
      <c r="Y54" s="33"/>
      <c r="Z54" s="33">
        <f t="shared" si="29"/>
        <v>71350</v>
      </c>
      <c r="AA54" s="33"/>
      <c r="AB54" s="46">
        <f t="shared" si="23"/>
        <v>5.9007027914831395E-2</v>
      </c>
      <c r="AC54" s="33"/>
      <c r="AD54" s="33">
        <f t="shared" si="24"/>
        <v>1585.5555555555557</v>
      </c>
      <c r="AE54" s="50"/>
      <c r="AF54" s="33">
        <f>SUM(V48:V54)</f>
        <v>13185</v>
      </c>
      <c r="AG54" s="33">
        <f t="shared" si="35"/>
        <v>1153</v>
      </c>
      <c r="AH54" s="232">
        <f>+(AF54-AF47)/AF47</f>
        <v>-9.1378953897043619E-2</v>
      </c>
      <c r="AI54" s="50"/>
      <c r="AJ54" s="392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2">
        <f t="shared" si="25"/>
        <v>0.14742494487991015</v>
      </c>
      <c r="AV54" s="342"/>
      <c r="AW54" s="24">
        <f t="shared" si="26"/>
        <v>3961.4</v>
      </c>
      <c r="AX54" s="352"/>
      <c r="AY54" s="392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4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4"/>
      <c r="BU54" s="1"/>
      <c r="BV54">
        <f t="shared" si="11"/>
        <v>45</v>
      </c>
    </row>
    <row r="55" spans="2:78" x14ac:dyDescent="0.3">
      <c r="B55" s="172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1233891</v>
      </c>
      <c r="I55" s="16"/>
      <c r="J55" s="38">
        <f t="shared" si="28"/>
        <v>2.0437851168314342E-2</v>
      </c>
      <c r="K55" s="16"/>
      <c r="L55" s="16"/>
      <c r="M55" s="16"/>
      <c r="N55" s="16">
        <f t="shared" si="22"/>
        <v>26823.717391304348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72674</v>
      </c>
      <c r="AA55" s="33"/>
      <c r="AB55" s="46">
        <f t="shared" si="23"/>
        <v>5.8898233312342826E-2</v>
      </c>
      <c r="AC55" s="33"/>
      <c r="AD55" s="33">
        <f t="shared" si="24"/>
        <v>1579.8695652173913</v>
      </c>
      <c r="AE55" s="50"/>
      <c r="AF55" s="33"/>
      <c r="AG55" s="33">
        <f t="shared" si="35"/>
        <v>1324</v>
      </c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2">
        <f t="shared" si="25"/>
        <v>0.15238542140270089</v>
      </c>
      <c r="AV55" s="342"/>
      <c r="AW55" s="24">
        <f t="shared" si="26"/>
        <v>4087.5434782608695</v>
      </c>
      <c r="AX55" s="352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4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4"/>
      <c r="BU55" s="1"/>
      <c r="BV55">
        <f t="shared" si="11"/>
        <v>46</v>
      </c>
    </row>
    <row r="56" spans="2:78" x14ac:dyDescent="0.3">
      <c r="B56" s="172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1258689</v>
      </c>
      <c r="I56" s="16"/>
      <c r="J56" s="38">
        <f t="shared" si="28"/>
        <v>2.0097399203009018E-2</v>
      </c>
      <c r="K56" s="16"/>
      <c r="L56" s="16"/>
      <c r="M56" s="16"/>
      <c r="N56" s="16">
        <f t="shared" si="22"/>
        <v>26780.617021276597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75024</v>
      </c>
      <c r="AA56" s="33"/>
      <c r="AB56" s="46">
        <f t="shared" si="23"/>
        <v>5.9604874595710296E-2</v>
      </c>
      <c r="AC56" s="33"/>
      <c r="AD56" s="33">
        <f t="shared" si="24"/>
        <v>1596.2553191489362</v>
      </c>
      <c r="AE56" s="50"/>
      <c r="AF56" s="33"/>
      <c r="AG56" s="33">
        <f t="shared" si="35"/>
        <v>2350</v>
      </c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2">
        <f t="shared" si="25"/>
        <v>0.15939282857004392</v>
      </c>
      <c r="AV56" s="342"/>
      <c r="AW56" s="24">
        <f t="shared" si="26"/>
        <v>4268.6382978723404</v>
      </c>
      <c r="AX56" s="352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4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4"/>
      <c r="BU56" s="1"/>
      <c r="BV56">
        <f t="shared" si="11"/>
        <v>47</v>
      </c>
    </row>
    <row r="57" spans="2:78" x14ac:dyDescent="0.3">
      <c r="B57" s="172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1284148</v>
      </c>
      <c r="I57" s="16"/>
      <c r="J57" s="38">
        <f t="shared" si="28"/>
        <v>2.0226600852156489E-2</v>
      </c>
      <c r="K57" s="16"/>
      <c r="L57" s="16"/>
      <c r="M57" s="16"/>
      <c r="N57" s="16">
        <f t="shared" si="22"/>
        <v>26753.083333333332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77552</v>
      </c>
      <c r="AA57" s="33"/>
      <c r="AB57" s="46">
        <f t="shared" si="23"/>
        <v>6.0391792846307434E-2</v>
      </c>
      <c r="AC57" s="33"/>
      <c r="AD57" s="33">
        <f t="shared" si="24"/>
        <v>1615.6666666666667</v>
      </c>
      <c r="AE57" s="50"/>
      <c r="AF57" s="33"/>
      <c r="AG57" s="33">
        <f t="shared" si="35"/>
        <v>2528</v>
      </c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2">
        <f t="shared" si="25"/>
        <v>0.16065749430750972</v>
      </c>
      <c r="AV57" s="342"/>
      <c r="AW57" s="24">
        <f t="shared" si="26"/>
        <v>4298.083333333333</v>
      </c>
      <c r="AX57" s="352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4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4"/>
      <c r="BU57" s="1"/>
      <c r="BV57">
        <f t="shared" si="11"/>
        <v>48</v>
      </c>
    </row>
    <row r="58" spans="2:78" x14ac:dyDescent="0.3">
      <c r="B58" s="172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1313679</v>
      </c>
      <c r="I58" s="16"/>
      <c r="J58" s="38">
        <f t="shared" si="28"/>
        <v>2.2996570488759863E-2</v>
      </c>
      <c r="K58" s="16"/>
      <c r="L58" s="16"/>
      <c r="M58" s="16"/>
      <c r="N58" s="16">
        <f t="shared" si="22"/>
        <v>26809.775510204083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79681</v>
      </c>
      <c r="AA58" s="33"/>
      <c r="AB58" s="46">
        <f t="shared" si="23"/>
        <v>6.0654847949917753E-2</v>
      </c>
      <c r="AC58" s="33"/>
      <c r="AD58" s="33">
        <f t="shared" si="24"/>
        <v>1626.1428571428571</v>
      </c>
      <c r="AE58" s="50"/>
      <c r="AF58" s="33"/>
      <c r="AG58" s="33">
        <f t="shared" si="35"/>
        <v>2129</v>
      </c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2">
        <f t="shared" si="25"/>
        <v>0.16537525529448213</v>
      </c>
      <c r="AV58" s="342"/>
      <c r="AW58" s="24">
        <f t="shared" si="26"/>
        <v>4433.6734693877552</v>
      </c>
      <c r="AX58" s="352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4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4"/>
      <c r="BU58" s="1"/>
      <c r="BV58">
        <f t="shared" si="11"/>
        <v>49</v>
      </c>
      <c r="BX58" s="1"/>
      <c r="BZ58" s="1"/>
    </row>
    <row r="59" spans="2:78" x14ac:dyDescent="0.3">
      <c r="B59" s="172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1342841</v>
      </c>
      <c r="I59" s="16"/>
      <c r="J59" s="38">
        <f t="shared" si="28"/>
        <v>2.2198725868343788E-2</v>
      </c>
      <c r="K59" s="16"/>
      <c r="L59" s="16"/>
      <c r="M59" s="16"/>
      <c r="N59" s="16">
        <f t="shared" si="22"/>
        <v>26856.82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81368</v>
      </c>
      <c r="AA59" s="33"/>
      <c r="AB59" s="46">
        <f t="shared" si="23"/>
        <v>6.0593919905632905E-2</v>
      </c>
      <c r="AC59" s="33"/>
      <c r="AD59" s="33">
        <f t="shared" si="24"/>
        <v>1627.36</v>
      </c>
      <c r="AE59" s="50"/>
      <c r="AF59" s="33"/>
      <c r="AG59" s="33">
        <f t="shared" si="35"/>
        <v>1687</v>
      </c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2">
        <f t="shared" si="25"/>
        <v>0.16633391443960976</v>
      </c>
      <c r="AV59" s="342"/>
      <c r="AW59" s="24">
        <f t="shared" si="26"/>
        <v>4467.2</v>
      </c>
      <c r="AX59" s="352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4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4"/>
      <c r="BU59" s="1"/>
      <c r="BV59">
        <f t="shared" si="11"/>
        <v>50</v>
      </c>
    </row>
    <row r="60" spans="2:78" x14ac:dyDescent="0.3">
      <c r="B60" s="477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1368365</v>
      </c>
      <c r="I60" s="16"/>
      <c r="J60" s="38">
        <f t="shared" si="28"/>
        <v>1.9007462536517725E-2</v>
      </c>
      <c r="K60" s="16"/>
      <c r="L60" s="16"/>
      <c r="M60" s="16"/>
      <c r="N60" s="16">
        <f t="shared" si="22"/>
        <v>26830.686274509804</v>
      </c>
      <c r="O60" s="41"/>
      <c r="P60" s="17"/>
      <c r="Q60" s="16"/>
      <c r="R60" s="60"/>
      <c r="S60" s="16"/>
      <c r="T60" s="41"/>
      <c r="U60" s="478"/>
      <c r="V60" s="34">
        <v>1422</v>
      </c>
      <c r="W60" s="33"/>
      <c r="X60" s="33"/>
      <c r="Y60" s="33"/>
      <c r="Z60" s="33">
        <f t="shared" si="29"/>
        <v>82790</v>
      </c>
      <c r="AA60" s="33"/>
      <c r="AB60" s="46">
        <f t="shared" si="23"/>
        <v>6.0502862905730564E-2</v>
      </c>
      <c r="AC60" s="33"/>
      <c r="AD60" s="33">
        <f t="shared" si="24"/>
        <v>1623.3333333333333</v>
      </c>
      <c r="AE60" s="50"/>
      <c r="AF60" s="33"/>
      <c r="AG60" s="33">
        <f t="shared" si="35"/>
        <v>1422</v>
      </c>
      <c r="AH60" s="232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2">
        <f t="shared" si="25"/>
        <v>0.17398720370661336</v>
      </c>
      <c r="AV60" s="342"/>
      <c r="AW60" s="24">
        <f t="shared" si="26"/>
        <v>4668.1960784313724</v>
      </c>
      <c r="AX60" s="352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4"/>
      <c r="BI60" s="67"/>
      <c r="BJ60" s="67"/>
      <c r="BK60" s="67"/>
      <c r="BL60" s="15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4"/>
      <c r="BU60" s="1"/>
      <c r="BV60">
        <f t="shared" si="11"/>
        <v>51</v>
      </c>
    </row>
    <row r="61" spans="2:78" x14ac:dyDescent="0.3">
      <c r="B61" s="391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1388694</v>
      </c>
      <c r="I61" s="16"/>
      <c r="J61" s="38">
        <f t="shared" si="28"/>
        <v>1.4856416233972661E-2</v>
      </c>
      <c r="K61" s="16"/>
      <c r="L61" s="16"/>
      <c r="M61" s="16"/>
      <c r="N61" s="16">
        <f t="shared" si="22"/>
        <v>26705.653846153848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2"/>
      <c r="V61" s="34">
        <v>750</v>
      </c>
      <c r="W61" s="33"/>
      <c r="X61" s="33"/>
      <c r="Y61" s="33"/>
      <c r="Z61" s="33">
        <f t="shared" si="29"/>
        <v>83540</v>
      </c>
      <c r="AA61" s="33"/>
      <c r="AB61" s="46">
        <f t="shared" si="23"/>
        <v>6.0157241264094177E-2</v>
      </c>
      <c r="AC61" s="33"/>
      <c r="AD61" s="33">
        <f t="shared" si="24"/>
        <v>1606.5384615384614</v>
      </c>
      <c r="AE61" s="50"/>
      <c r="AF61" s="33">
        <f>SUM(V55:V61)</f>
        <v>12190</v>
      </c>
      <c r="AG61" s="33">
        <f t="shared" si="35"/>
        <v>750</v>
      </c>
      <c r="AH61" s="232">
        <f>+(AF61-AF54)/AF54</f>
        <v>-7.5464543041334847E-2</v>
      </c>
      <c r="AI61" s="50"/>
      <c r="AJ61" s="392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2">
        <f t="shared" si="25"/>
        <v>0.18458782136309368</v>
      </c>
      <c r="AV61" s="342"/>
      <c r="AW61" s="24">
        <f t="shared" si="26"/>
        <v>4929.5384615384619</v>
      </c>
      <c r="AX61" s="352"/>
      <c r="AY61" s="392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4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4"/>
      <c r="BU61" s="1"/>
      <c r="BV61">
        <f t="shared" si="11"/>
        <v>52</v>
      </c>
    </row>
    <row r="62" spans="2:78" x14ac:dyDescent="0.3">
      <c r="B62" s="172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1406890</v>
      </c>
      <c r="I62" s="16"/>
      <c r="J62" s="38">
        <f t="shared" si="28"/>
        <v>1.3102958607151756E-2</v>
      </c>
      <c r="K62" s="16"/>
      <c r="L62" s="16"/>
      <c r="M62" s="16"/>
      <c r="N62" s="16">
        <f t="shared" si="22"/>
        <v>26545.094339622643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84600</v>
      </c>
      <c r="AA62" s="33"/>
      <c r="AB62" s="46">
        <f t="shared" si="23"/>
        <v>6.0132632970594714E-2</v>
      </c>
      <c r="AC62" s="33"/>
      <c r="AD62" s="33">
        <f t="shared" si="24"/>
        <v>1596.2264150943397</v>
      </c>
      <c r="AE62" s="50"/>
      <c r="AF62" s="33"/>
      <c r="AG62" s="33">
        <f t="shared" si="35"/>
        <v>1060</v>
      </c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2">
        <f t="shared" si="25"/>
        <v>0.18638628464201182</v>
      </c>
      <c r="AV62" s="342"/>
      <c r="AW62" s="24">
        <f t="shared" si="26"/>
        <v>4947.6415094339627</v>
      </c>
      <c r="AX62" s="352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4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4"/>
      <c r="BU62" s="1"/>
      <c r="BV62">
        <f t="shared" si="11"/>
        <v>53</v>
      </c>
    </row>
    <row r="63" spans="2:78" x14ac:dyDescent="0.3">
      <c r="B63" s="172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1429692</v>
      </c>
      <c r="I63" s="16"/>
      <c r="J63" s="38">
        <f t="shared" si="28"/>
        <v>1.6207379397109936E-2</v>
      </c>
      <c r="K63" s="16"/>
      <c r="L63" s="16"/>
      <c r="M63" s="16"/>
      <c r="N63" s="16">
        <f t="shared" si="22"/>
        <v>26475.777777777777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86471</v>
      </c>
      <c r="AA63" s="33"/>
      <c r="AB63" s="46">
        <f t="shared" si="23"/>
        <v>6.0482257717046746E-2</v>
      </c>
      <c r="AC63" s="33"/>
      <c r="AD63" s="33">
        <f t="shared" si="24"/>
        <v>1601.3148148148148</v>
      </c>
      <c r="AE63" s="50"/>
      <c r="AF63" s="33"/>
      <c r="AG63" s="33">
        <f t="shared" si="35"/>
        <v>1871</v>
      </c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2">
        <f t="shared" si="25"/>
        <v>0.19741244967447535</v>
      </c>
      <c r="AV63" s="342"/>
      <c r="AW63" s="24">
        <f t="shared" si="26"/>
        <v>5226.6481481481478</v>
      </c>
      <c r="AX63" s="352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4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4"/>
      <c r="BU63" s="1"/>
      <c r="BV63">
        <f t="shared" si="11"/>
        <v>54</v>
      </c>
    </row>
    <row r="64" spans="2:78" x14ac:dyDescent="0.3">
      <c r="B64" s="172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1451404</v>
      </c>
      <c r="I64" s="16"/>
      <c r="J64" s="38">
        <f t="shared" si="28"/>
        <v>1.5186487719033191E-2</v>
      </c>
      <c r="K64" s="16"/>
      <c r="L64" s="16"/>
      <c r="M64" s="16"/>
      <c r="N64" s="16">
        <f t="shared" si="22"/>
        <v>26389.163636363635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88293</v>
      </c>
      <c r="AA64" s="33"/>
      <c r="AB64" s="46">
        <f t="shared" si="23"/>
        <v>6.0832821185555504E-2</v>
      </c>
      <c r="AC64" s="33"/>
      <c r="AD64" s="33">
        <f t="shared" si="24"/>
        <v>1605.3272727272727</v>
      </c>
      <c r="AE64" s="50"/>
      <c r="AF64" s="33"/>
      <c r="AG64" s="33">
        <f t="shared" si="35"/>
        <v>1822</v>
      </c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2">
        <f t="shared" si="25"/>
        <v>0.21376474089915695</v>
      </c>
      <c r="AV64" s="342"/>
      <c r="AW64" s="24">
        <f t="shared" si="26"/>
        <v>5641.0727272727272</v>
      </c>
      <c r="AX64" s="352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4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4"/>
      <c r="BU64" s="1"/>
      <c r="BV64">
        <f t="shared" si="11"/>
        <v>55</v>
      </c>
    </row>
    <row r="65" spans="2:74" x14ac:dyDescent="0.3">
      <c r="B65" s="172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6">+H64+D65</f>
        <v>1478649</v>
      </c>
      <c r="I65" s="16"/>
      <c r="J65" s="38">
        <f t="shared" ref="J65:J96" si="37">+D65/H64</f>
        <v>1.8771479202206967E-2</v>
      </c>
      <c r="K65" s="16"/>
      <c r="L65" s="16"/>
      <c r="M65" s="16"/>
      <c r="N65" s="16">
        <f t="shared" si="22"/>
        <v>26404.446428571428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:Z96" si="38">+Z64+V65</f>
        <v>90046</v>
      </c>
      <c r="AA65" s="33"/>
      <c r="AB65" s="46">
        <f t="shared" si="23"/>
        <v>6.0897481417158499E-2</v>
      </c>
      <c r="AC65" s="33"/>
      <c r="AD65" s="33">
        <f t="shared" si="24"/>
        <v>1607.9642857142858</v>
      </c>
      <c r="AE65" s="50"/>
      <c r="AF65" s="33"/>
      <c r="AG65" s="33">
        <f t="shared" si="35"/>
        <v>1753</v>
      </c>
      <c r="AH65" s="33"/>
      <c r="AI65" s="50"/>
      <c r="AJ65" s="1"/>
      <c r="AK65" s="23">
        <f t="shared" ref="AK65:AK96" si="39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:AQ96" si="40">+AK65/AO64</f>
        <v>2.4502109527846091E-2</v>
      </c>
      <c r="AR65" s="25"/>
      <c r="AS65" s="25"/>
      <c r="AT65" s="24"/>
      <c r="AU65" s="342">
        <f t="shared" si="25"/>
        <v>0.21496717611819979</v>
      </c>
      <c r="AV65" s="342"/>
      <c r="AW65" s="24">
        <f t="shared" si="26"/>
        <v>5676.0892857142853</v>
      </c>
      <c r="AX65" s="352"/>
      <c r="AY65" s="1"/>
      <c r="AZ65" s="66">
        <f t="shared" ref="AZ65:AZ96" si="41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:BF96" si="42">+BD65/AZ65</f>
        <v>7.4533158980363404E-2</v>
      </c>
      <c r="BG65" s="67"/>
      <c r="BH65" s="184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4"/>
      <c r="BU65" s="1"/>
      <c r="BV65">
        <f t="shared" si="11"/>
        <v>56</v>
      </c>
    </row>
    <row r="66" spans="2:74" x14ac:dyDescent="0.3">
      <c r="B66" s="172">
        <f t="shared" si="6"/>
        <v>43966</v>
      </c>
      <c r="C66" s="61"/>
      <c r="D66" s="17">
        <v>26692</v>
      </c>
      <c r="E66" s="16"/>
      <c r="F66" s="16"/>
      <c r="G66" s="16"/>
      <c r="H66" s="16">
        <f t="shared" si="36"/>
        <v>1505341</v>
      </c>
      <c r="I66" s="16"/>
      <c r="J66" s="38">
        <f t="shared" si="37"/>
        <v>1.8051613330817524E-2</v>
      </c>
      <c r="K66" s="16"/>
      <c r="L66" s="16"/>
      <c r="M66" s="16"/>
      <c r="N66" s="16">
        <f t="shared" si="22"/>
        <v>26409.491228070176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si="38"/>
        <v>91648</v>
      </c>
      <c r="AA66" s="33"/>
      <c r="AB66" s="46">
        <f t="shared" si="23"/>
        <v>6.0881886562579507E-2</v>
      </c>
      <c r="AC66" s="33"/>
      <c r="AD66" s="33">
        <f t="shared" si="24"/>
        <v>1607.859649122807</v>
      </c>
      <c r="AE66" s="50"/>
      <c r="AF66" s="33"/>
      <c r="AG66" s="33">
        <f t="shared" si="35"/>
        <v>1602</v>
      </c>
      <c r="AH66" s="33"/>
      <c r="AI66" s="50"/>
      <c r="AJ66" s="1"/>
      <c r="AK66" s="23">
        <f t="shared" si="39"/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si="40"/>
        <v>2.6366871053699573E-2</v>
      </c>
      <c r="AR66" s="25"/>
      <c r="AS66" s="25"/>
      <c r="AT66" s="24"/>
      <c r="AU66" s="342">
        <f t="shared" si="25"/>
        <v>0.2167229883461621</v>
      </c>
      <c r="AV66" s="342"/>
      <c r="AW66" s="24">
        <f t="shared" si="26"/>
        <v>5723.5438596491231</v>
      </c>
      <c r="AX66" s="352"/>
      <c r="AY66" s="1"/>
      <c r="AZ66" s="66">
        <f t="shared" si="41"/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si="42"/>
        <v>5.8617100241126839E-2</v>
      </c>
      <c r="BG66" s="67"/>
      <c r="BH66" s="184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4"/>
      <c r="BU66" s="1"/>
      <c r="BV66">
        <f t="shared" si="11"/>
        <v>57</v>
      </c>
    </row>
    <row r="67" spans="2:74" x14ac:dyDescent="0.3">
      <c r="B67" s="477">
        <f t="shared" si="6"/>
        <v>43967</v>
      </c>
      <c r="C67" s="61"/>
      <c r="D67" s="17">
        <v>23488</v>
      </c>
      <c r="E67" s="16"/>
      <c r="F67" s="16"/>
      <c r="G67" s="16"/>
      <c r="H67" s="16">
        <f t="shared" si="36"/>
        <v>1528829</v>
      </c>
      <c r="I67" s="16"/>
      <c r="J67" s="38">
        <f t="shared" si="37"/>
        <v>1.560310919585662E-2</v>
      </c>
      <c r="K67" s="16"/>
      <c r="L67" s="16"/>
      <c r="M67" s="16"/>
      <c r="N67" s="16">
        <f t="shared" si="22"/>
        <v>26359.120689655174</v>
      </c>
      <c r="O67" s="41"/>
      <c r="P67" s="17"/>
      <c r="Q67" s="16"/>
      <c r="R67" s="60"/>
      <c r="S67" s="16"/>
      <c r="T67" s="41"/>
      <c r="U67" s="478"/>
      <c r="V67" s="34">
        <v>1218</v>
      </c>
      <c r="W67" s="33"/>
      <c r="X67" s="33"/>
      <c r="Y67" s="33"/>
      <c r="Z67" s="33">
        <f t="shared" si="38"/>
        <v>92866</v>
      </c>
      <c r="AA67" s="33"/>
      <c r="AB67" s="46">
        <f t="shared" si="23"/>
        <v>6.0743222427099432E-2</v>
      </c>
      <c r="AC67" s="33"/>
      <c r="AD67" s="33">
        <f t="shared" si="24"/>
        <v>1601.1379310344828</v>
      </c>
      <c r="AE67" s="50"/>
      <c r="AF67" s="33"/>
      <c r="AG67" s="33">
        <f t="shared" si="35"/>
        <v>1218</v>
      </c>
      <c r="AH67" s="232"/>
      <c r="AI67" s="50"/>
      <c r="AJ67" s="1"/>
      <c r="AK67" s="23">
        <f t="shared" si="39"/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si="40"/>
        <v>3.981706831125361E-2</v>
      </c>
      <c r="AR67" s="25"/>
      <c r="AS67" s="25"/>
      <c r="AT67" s="24"/>
      <c r="AU67" s="342">
        <f t="shared" si="25"/>
        <v>0.22189008711896491</v>
      </c>
      <c r="AV67" s="342"/>
      <c r="AW67" s="24">
        <f t="shared" si="26"/>
        <v>5848.8275862068967</v>
      </c>
      <c r="AX67" s="352"/>
      <c r="AY67" s="1"/>
      <c r="AZ67" s="66">
        <f t="shared" si="41"/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si="42"/>
        <v>5.4029558916556447E-2</v>
      </c>
      <c r="BG67" s="67"/>
      <c r="BH67" s="184"/>
      <c r="BI67" s="67"/>
      <c r="BJ67" s="67"/>
      <c r="BK67" s="67"/>
      <c r="BL67" s="15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4"/>
      <c r="BU67" s="1"/>
      <c r="BV67">
        <f t="shared" si="11"/>
        <v>58</v>
      </c>
    </row>
    <row r="68" spans="2:74" x14ac:dyDescent="0.3">
      <c r="B68" s="391">
        <f t="shared" si="6"/>
        <v>43968</v>
      </c>
      <c r="C68" s="61"/>
      <c r="D68" s="17">
        <v>19891</v>
      </c>
      <c r="E68" s="16"/>
      <c r="F68" s="16"/>
      <c r="G68" s="16"/>
      <c r="H68" s="16">
        <f t="shared" si="36"/>
        <v>1548720</v>
      </c>
      <c r="I68" s="16"/>
      <c r="J68" s="38">
        <f t="shared" si="37"/>
        <v>1.3010611389501377E-2</v>
      </c>
      <c r="K68" s="16"/>
      <c r="L68" s="16"/>
      <c r="M68" s="16"/>
      <c r="N68" s="16">
        <f t="shared" si="22"/>
        <v>26249.491525423728</v>
      </c>
      <c r="O68" s="41"/>
      <c r="P68" s="17">
        <f>SUM(D62:D68)</f>
        <v>160026</v>
      </c>
      <c r="Q68" s="16"/>
      <c r="R68" s="60">
        <f>+(P68-P61)/P61</f>
        <v>-0.10856970966376256</v>
      </c>
      <c r="S68" s="16"/>
      <c r="T68" s="41"/>
      <c r="U68" s="392"/>
      <c r="V68" s="34">
        <v>865</v>
      </c>
      <c r="W68" s="33"/>
      <c r="X68" s="33"/>
      <c r="Y68" s="33"/>
      <c r="Z68" s="33">
        <f t="shared" si="38"/>
        <v>93731</v>
      </c>
      <c r="AA68" s="33"/>
      <c r="AB68" s="46">
        <f t="shared" si="23"/>
        <v>6.0521592024381426E-2</v>
      </c>
      <c r="AC68" s="33"/>
      <c r="AD68" s="33">
        <f t="shared" si="24"/>
        <v>1588.6610169491526</v>
      </c>
      <c r="AE68" s="50"/>
      <c r="AF68" s="33">
        <f>SUM(V62:V68)</f>
        <v>10191</v>
      </c>
      <c r="AG68" s="33">
        <f t="shared" si="35"/>
        <v>865</v>
      </c>
      <c r="AH68" s="232">
        <f>+(AF68-AF61)/AF61</f>
        <v>-0.16398687448728466</v>
      </c>
      <c r="AI68" s="50"/>
      <c r="AJ68" s="392"/>
      <c r="AK68" s="23">
        <f t="shared" si="39"/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si="40"/>
        <v>2.109765588152061E-2</v>
      </c>
      <c r="AR68" s="25"/>
      <c r="AS68" s="25"/>
      <c r="AT68" s="24"/>
      <c r="AU68" s="342">
        <f t="shared" si="25"/>
        <v>0.22366147528281419</v>
      </c>
      <c r="AV68" s="342"/>
      <c r="AW68" s="24">
        <f t="shared" si="26"/>
        <v>5871</v>
      </c>
      <c r="AX68" s="352"/>
      <c r="AY68" s="392"/>
      <c r="AZ68" s="66">
        <f t="shared" si="41"/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si="42"/>
        <v>5.6838736408966868E-2</v>
      </c>
      <c r="BG68" s="67"/>
      <c r="BH68" s="184"/>
      <c r="BI68" s="67"/>
      <c r="BJ68" s="67">
        <f>SUM(AZ62:AZ68)</f>
        <v>2431055</v>
      </c>
      <c r="BK68" s="67"/>
      <c r="BL68" s="157">
        <f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4"/>
      <c r="BU68" s="1"/>
      <c r="BV68">
        <f t="shared" si="11"/>
        <v>59</v>
      </c>
    </row>
    <row r="69" spans="2:74" x14ac:dyDescent="0.3">
      <c r="B69" s="172">
        <f t="shared" si="6"/>
        <v>43969</v>
      </c>
      <c r="C69" s="61"/>
      <c r="D69" s="17">
        <v>22630</v>
      </c>
      <c r="E69" s="16"/>
      <c r="F69" s="16"/>
      <c r="G69" s="16"/>
      <c r="H69" s="16">
        <f t="shared" si="36"/>
        <v>1571350</v>
      </c>
      <c r="I69" s="16"/>
      <c r="J69" s="38">
        <f t="shared" si="37"/>
        <v>1.4612066738984452E-2</v>
      </c>
      <c r="K69" s="16"/>
      <c r="L69" s="16"/>
      <c r="M69" s="16"/>
      <c r="N69" s="16">
        <f t="shared" ref="N69:N96" si="43">+H69/BV69</f>
        <v>26189.166666666668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si="38"/>
        <v>94734</v>
      </c>
      <c r="AA69" s="33"/>
      <c r="AB69" s="46">
        <f t="shared" ref="AB69:AB96" si="44">+Z69/H69</f>
        <v>6.0288287141629808E-2</v>
      </c>
      <c r="AC69" s="33"/>
      <c r="AD69" s="33">
        <f t="shared" ref="AD69:AD96" si="45">+Z69/BV69</f>
        <v>1578.9</v>
      </c>
      <c r="AE69" s="50"/>
      <c r="AF69" s="33"/>
      <c r="AG69" s="33">
        <f t="shared" si="35"/>
        <v>1003</v>
      </c>
      <c r="AH69" s="232"/>
      <c r="AI69" s="50"/>
      <c r="AJ69" s="10"/>
      <c r="AK69" s="23">
        <f t="shared" si="39"/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si="40"/>
        <v>2.8851955460479403E-2</v>
      </c>
      <c r="AR69" s="25"/>
      <c r="AS69" s="25"/>
      <c r="AT69" s="24"/>
      <c r="AU69" s="342">
        <f t="shared" ref="AU69:AU96" si="46">+AO69/H69</f>
        <v>0.22680052184427404</v>
      </c>
      <c r="AV69" s="342"/>
      <c r="AW69" s="24">
        <f t="shared" ref="AW69:AW96" si="47">+AO69/BV69</f>
        <v>5939.7166666666662</v>
      </c>
      <c r="AX69" s="352"/>
      <c r="AY69" s="10"/>
      <c r="AZ69" s="66">
        <f t="shared" si="41"/>
        <v>425164</v>
      </c>
      <c r="BA69" s="67"/>
      <c r="BB69" s="67">
        <v>12300744</v>
      </c>
      <c r="BC69" s="67"/>
      <c r="BD69" s="67">
        <f t="shared" ref="BD69:BD96" si="48">+D69</f>
        <v>22630</v>
      </c>
      <c r="BE69" s="67"/>
      <c r="BF69" s="157">
        <f t="shared" si="42"/>
        <v>5.3226519648888429E-2</v>
      </c>
      <c r="BG69" s="67"/>
      <c r="BH69" s="184"/>
      <c r="BI69" s="67"/>
      <c r="BJ69" s="67"/>
      <c r="BK69" s="67"/>
      <c r="BL69" s="157"/>
      <c r="BM69" s="66">
        <f t="shared" ref="BM69:BM96" si="49">+BB69/BV69</f>
        <v>205012.4</v>
      </c>
      <c r="BN69" s="67"/>
      <c r="BO69" s="67">
        <f t="shared" ref="BO69:BO96" si="50">+BO68+BD69</f>
        <v>1297972</v>
      </c>
      <c r="BP69" s="67"/>
      <c r="BQ69" s="74">
        <f t="shared" ref="BQ69:BQ96" si="51">+BO69/BB69</f>
        <v>0.10551979620094525</v>
      </c>
      <c r="BR69" s="67"/>
      <c r="BS69" s="86"/>
      <c r="BT69" s="184"/>
      <c r="BU69" s="1"/>
      <c r="BV69">
        <f t="shared" si="11"/>
        <v>60</v>
      </c>
    </row>
    <row r="70" spans="2:74" x14ac:dyDescent="0.3">
      <c r="B70" s="172">
        <f t="shared" si="6"/>
        <v>43970</v>
      </c>
      <c r="C70" s="61"/>
      <c r="D70" s="17">
        <v>20289</v>
      </c>
      <c r="E70" s="16"/>
      <c r="F70" s="16"/>
      <c r="G70" s="16"/>
      <c r="H70" s="16">
        <f t="shared" si="36"/>
        <v>1591639</v>
      </c>
      <c r="I70" s="16"/>
      <c r="J70" s="38">
        <f t="shared" si="37"/>
        <v>1.2911827409552296E-2</v>
      </c>
      <c r="K70" s="16"/>
      <c r="L70" s="16"/>
      <c r="M70" s="16"/>
      <c r="N70" s="16">
        <f t="shared" si="43"/>
        <v>26092.442622950821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si="38"/>
        <v>96286</v>
      </c>
      <c r="AA70" s="33"/>
      <c r="AB70" s="46">
        <f t="shared" si="44"/>
        <v>6.0494873523456012E-2</v>
      </c>
      <c r="AC70" s="33"/>
      <c r="AD70" s="33">
        <f t="shared" si="45"/>
        <v>1578.4590163934427</v>
      </c>
      <c r="AE70" s="50"/>
      <c r="AF70" s="33"/>
      <c r="AG70" s="33">
        <f t="shared" si="35"/>
        <v>1552</v>
      </c>
      <c r="AH70" s="232"/>
      <c r="AI70" s="50"/>
      <c r="AJ70" s="10"/>
      <c r="AK70" s="23">
        <f t="shared" si="39"/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si="40"/>
        <v>1.346023800237385E-2</v>
      </c>
      <c r="AR70" s="25"/>
      <c r="AS70" s="25"/>
      <c r="AT70" s="24"/>
      <c r="AU70" s="342">
        <f t="shared" si="46"/>
        <v>0.22692331615397712</v>
      </c>
      <c r="AV70" s="342"/>
      <c r="AW70" s="24">
        <f t="shared" si="47"/>
        <v>5920.9836065573772</v>
      </c>
      <c r="AX70" s="352"/>
      <c r="AY70" s="10"/>
      <c r="AZ70" s="66">
        <f t="shared" si="41"/>
        <v>344729</v>
      </c>
      <c r="BA70" s="67"/>
      <c r="BB70" s="67">
        <v>12645473</v>
      </c>
      <c r="BC70" s="67"/>
      <c r="BD70" s="67">
        <f t="shared" si="48"/>
        <v>20289</v>
      </c>
      <c r="BE70" s="67"/>
      <c r="BF70" s="157">
        <f t="shared" si="42"/>
        <v>5.8854926623521667E-2</v>
      </c>
      <c r="BG70" s="67"/>
      <c r="BH70" s="184"/>
      <c r="BI70" s="67"/>
      <c r="BJ70" s="67"/>
      <c r="BK70" s="67"/>
      <c r="BL70" s="157"/>
      <c r="BM70" s="66">
        <f t="shared" si="49"/>
        <v>207302.83606557376</v>
      </c>
      <c r="BN70" s="67"/>
      <c r="BO70" s="67">
        <f t="shared" si="50"/>
        <v>1318261</v>
      </c>
      <c r="BP70" s="67"/>
      <c r="BQ70" s="74">
        <f t="shared" si="51"/>
        <v>0.10424766238479177</v>
      </c>
      <c r="BR70" s="67"/>
      <c r="BS70" s="86"/>
      <c r="BT70" s="184"/>
      <c r="BU70" s="1"/>
      <c r="BV70">
        <f t="shared" si="11"/>
        <v>61</v>
      </c>
    </row>
    <row r="71" spans="2:74" x14ac:dyDescent="0.3">
      <c r="B71" s="172">
        <f t="shared" si="6"/>
        <v>43971</v>
      </c>
      <c r="C71" s="61"/>
      <c r="D71" s="17">
        <v>22140</v>
      </c>
      <c r="E71" s="16"/>
      <c r="F71" s="16"/>
      <c r="G71" s="16"/>
      <c r="H71" s="16">
        <f t="shared" si="36"/>
        <v>1613779</v>
      </c>
      <c r="I71" s="16"/>
      <c r="J71" s="38">
        <f t="shared" si="37"/>
        <v>1.3910189433659266E-2</v>
      </c>
      <c r="K71" s="16"/>
      <c r="L71" s="16"/>
      <c r="M71" s="16"/>
      <c r="N71" s="16">
        <f t="shared" si="43"/>
        <v>26028.693548387098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si="38"/>
        <v>97689</v>
      </c>
      <c r="AA71" s="33"/>
      <c r="AB71" s="46">
        <f t="shared" si="44"/>
        <v>6.0534311079769906E-2</v>
      </c>
      <c r="AC71" s="33"/>
      <c r="AD71" s="33">
        <f t="shared" si="45"/>
        <v>1575.6290322580646</v>
      </c>
      <c r="AE71" s="50"/>
      <c r="AF71" s="33"/>
      <c r="AG71" s="33">
        <f t="shared" si="35"/>
        <v>1403</v>
      </c>
      <c r="AH71" s="232"/>
      <c r="AI71" s="50"/>
      <c r="AJ71" s="10"/>
      <c r="AK71" s="23">
        <f t="shared" si="39"/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si="40"/>
        <v>2.4630378204773245E-2</v>
      </c>
      <c r="AR71" s="25"/>
      <c r="AS71" s="25"/>
      <c r="AT71" s="24"/>
      <c r="AU71" s="342">
        <f t="shared" si="46"/>
        <v>0.2293226024133416</v>
      </c>
      <c r="AV71" s="342"/>
      <c r="AW71" s="24">
        <f t="shared" si="47"/>
        <v>5968.9677419354839</v>
      </c>
      <c r="AX71" s="352"/>
      <c r="AY71" s="10"/>
      <c r="AZ71" s="66">
        <f t="shared" si="41"/>
        <v>323101</v>
      </c>
      <c r="BA71" s="67"/>
      <c r="BB71" s="67">
        <v>12968574</v>
      </c>
      <c r="BC71" s="67"/>
      <c r="BD71" s="67">
        <f t="shared" si="48"/>
        <v>22140</v>
      </c>
      <c r="BE71" s="67"/>
      <c r="BF71" s="157">
        <f t="shared" si="42"/>
        <v>6.8523464798932843E-2</v>
      </c>
      <c r="BG71" s="67"/>
      <c r="BH71" s="184"/>
      <c r="BI71" s="67"/>
      <c r="BJ71" s="67"/>
      <c r="BK71" s="67"/>
      <c r="BL71" s="157"/>
      <c r="BM71" s="66">
        <f t="shared" si="49"/>
        <v>209170.54838709679</v>
      </c>
      <c r="BN71" s="67"/>
      <c r="BO71" s="67">
        <f t="shared" si="50"/>
        <v>1340401</v>
      </c>
      <c r="BP71" s="67"/>
      <c r="BQ71" s="74">
        <f t="shared" si="51"/>
        <v>0.10335762436178411</v>
      </c>
      <c r="BR71" s="67"/>
      <c r="BS71" s="86"/>
      <c r="BT71" s="184"/>
      <c r="BU71" s="1"/>
      <c r="BV71">
        <f t="shared" si="11"/>
        <v>62</v>
      </c>
    </row>
    <row r="72" spans="2:74" x14ac:dyDescent="0.3">
      <c r="B72" s="172">
        <f t="shared" si="6"/>
        <v>43972</v>
      </c>
      <c r="C72" s="61"/>
      <c r="D72" s="17">
        <v>28175</v>
      </c>
      <c r="E72" s="16"/>
      <c r="F72" s="16"/>
      <c r="G72" s="16"/>
      <c r="H72" s="16">
        <f t="shared" si="36"/>
        <v>1641954</v>
      </c>
      <c r="I72" s="16"/>
      <c r="J72" s="38">
        <f t="shared" si="37"/>
        <v>1.7459020101265415E-2</v>
      </c>
      <c r="K72" s="16"/>
      <c r="L72" s="16"/>
      <c r="M72" s="16"/>
      <c r="N72" s="16">
        <f t="shared" si="43"/>
        <v>26062.761904761905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si="38"/>
        <v>99107</v>
      </c>
      <c r="AA72" s="33"/>
      <c r="AB72" s="46">
        <f t="shared" si="44"/>
        <v>6.0359181804118749E-2</v>
      </c>
      <c r="AC72" s="33"/>
      <c r="AD72" s="33">
        <f t="shared" si="45"/>
        <v>1573.1269841269841</v>
      </c>
      <c r="AE72" s="50"/>
      <c r="AF72" s="33"/>
      <c r="AG72" s="33">
        <f t="shared" si="35"/>
        <v>1418</v>
      </c>
      <c r="AH72" s="232"/>
      <c r="AI72" s="50"/>
      <c r="AJ72" s="10"/>
      <c r="AK72" s="23">
        <f t="shared" si="39"/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si="40"/>
        <v>3.2677071736616263E-2</v>
      </c>
      <c r="AR72" s="25"/>
      <c r="AS72" s="25"/>
      <c r="AT72" s="24"/>
      <c r="AU72" s="342">
        <f t="shared" si="46"/>
        <v>0.23275256188663021</v>
      </c>
      <c r="AV72" s="342"/>
      <c r="AW72" s="24">
        <f t="shared" si="47"/>
        <v>6066.1746031746034</v>
      </c>
      <c r="AX72" s="352"/>
      <c r="AY72" s="10"/>
      <c r="AZ72" s="66">
        <f t="shared" si="41"/>
        <v>470540</v>
      </c>
      <c r="BA72" s="67"/>
      <c r="BB72" s="67">
        <v>13439114</v>
      </c>
      <c r="BC72" s="67"/>
      <c r="BD72" s="67">
        <f t="shared" si="48"/>
        <v>28175</v>
      </c>
      <c r="BE72" s="67"/>
      <c r="BF72" s="157">
        <f t="shared" si="42"/>
        <v>5.9878012496280872E-2</v>
      </c>
      <c r="BG72" s="67"/>
      <c r="BH72" s="184"/>
      <c r="BI72" s="67"/>
      <c r="BJ72" s="67"/>
      <c r="BK72" s="67"/>
      <c r="BL72" s="157"/>
      <c r="BM72" s="66">
        <f t="shared" si="49"/>
        <v>213319.26984126985</v>
      </c>
      <c r="BN72" s="67"/>
      <c r="BO72" s="67">
        <f t="shared" si="50"/>
        <v>1368576</v>
      </c>
      <c r="BP72" s="67"/>
      <c r="BQ72" s="74">
        <f t="shared" si="51"/>
        <v>0.10183528467724881</v>
      </c>
      <c r="BR72" s="67"/>
      <c r="BS72" s="86"/>
      <c r="BT72" s="184"/>
      <c r="BU72" s="1"/>
      <c r="BV72">
        <f t="shared" si="11"/>
        <v>63</v>
      </c>
    </row>
    <row r="73" spans="2:74" x14ac:dyDescent="0.3">
      <c r="B73" s="172">
        <f t="shared" si="6"/>
        <v>43973</v>
      </c>
      <c r="C73" s="61"/>
      <c r="D73" s="17">
        <v>24002</v>
      </c>
      <c r="E73" s="16"/>
      <c r="F73" s="16"/>
      <c r="G73" s="16"/>
      <c r="H73" s="16">
        <f t="shared" si="36"/>
        <v>1665956</v>
      </c>
      <c r="I73" s="16"/>
      <c r="J73" s="38">
        <f t="shared" si="37"/>
        <v>1.4617949102106393E-2</v>
      </c>
      <c r="K73" s="16"/>
      <c r="L73" s="16"/>
      <c r="M73" s="16"/>
      <c r="N73" s="16">
        <f t="shared" si="43"/>
        <v>26030.5625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si="38"/>
        <v>100400</v>
      </c>
      <c r="AA73" s="33"/>
      <c r="AB73" s="46">
        <f t="shared" si="44"/>
        <v>6.0265697293325877E-2</v>
      </c>
      <c r="AC73" s="33"/>
      <c r="AD73" s="33">
        <f t="shared" si="45"/>
        <v>1568.75</v>
      </c>
      <c r="AE73" s="50"/>
      <c r="AF73" s="33"/>
      <c r="AG73" s="33">
        <f t="shared" si="35"/>
        <v>1293</v>
      </c>
      <c r="AH73" s="232"/>
      <c r="AI73" s="50"/>
      <c r="AJ73" s="10"/>
      <c r="AK73" s="23">
        <f t="shared" si="39"/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si="40"/>
        <v>0.13456873791437821</v>
      </c>
      <c r="AR73" s="25"/>
      <c r="AS73" s="25"/>
      <c r="AT73" s="24"/>
      <c r="AU73" s="342">
        <f t="shared" si="46"/>
        <v>0.26026917877783085</v>
      </c>
      <c r="AV73" s="342"/>
      <c r="AW73" s="24">
        <f t="shared" si="47"/>
        <v>6774.953125</v>
      </c>
      <c r="AX73" s="352"/>
      <c r="AY73" s="10"/>
      <c r="AZ73" s="66">
        <f t="shared" si="41"/>
        <v>470791</v>
      </c>
      <c r="BA73" s="67"/>
      <c r="BB73" s="67">
        <v>13909905</v>
      </c>
      <c r="BC73" s="67"/>
      <c r="BD73" s="67">
        <f t="shared" si="48"/>
        <v>24002</v>
      </c>
      <c r="BE73" s="67"/>
      <c r="BF73" s="157">
        <f t="shared" si="42"/>
        <v>5.0982283008808582E-2</v>
      </c>
      <c r="BG73" s="67"/>
      <c r="BH73" s="184"/>
      <c r="BI73" s="67"/>
      <c r="BJ73" s="67"/>
      <c r="BK73" s="67"/>
      <c r="BL73" s="157"/>
      <c r="BM73" s="66">
        <f t="shared" si="49"/>
        <v>217342.265625</v>
      </c>
      <c r="BN73" s="67"/>
      <c r="BO73" s="67">
        <f t="shared" si="50"/>
        <v>1392578</v>
      </c>
      <c r="BP73" s="67"/>
      <c r="BQ73" s="74">
        <f t="shared" si="51"/>
        <v>0.10011412730712395</v>
      </c>
      <c r="BR73" s="67"/>
      <c r="BS73" s="86"/>
      <c r="BT73" s="184"/>
      <c r="BU73" s="1"/>
      <c r="BV73">
        <f t="shared" si="11"/>
        <v>64</v>
      </c>
    </row>
    <row r="74" spans="2:74" x14ac:dyDescent="0.3">
      <c r="B74" s="476">
        <f t="shared" si="6"/>
        <v>43974</v>
      </c>
      <c r="C74" s="61"/>
      <c r="D74" s="17">
        <v>21928</v>
      </c>
      <c r="E74" s="16"/>
      <c r="F74" s="16"/>
      <c r="G74" s="16"/>
      <c r="H74" s="16">
        <f t="shared" si="36"/>
        <v>1687884</v>
      </c>
      <c r="I74" s="16"/>
      <c r="J74" s="38">
        <f t="shared" si="37"/>
        <v>1.3162412452669818E-2</v>
      </c>
      <c r="K74" s="16"/>
      <c r="L74" s="16"/>
      <c r="M74" s="16"/>
      <c r="N74" s="16">
        <f t="shared" si="43"/>
        <v>25967.446153846155</v>
      </c>
      <c r="O74" s="41"/>
      <c r="P74" s="17"/>
      <c r="Q74" s="16"/>
      <c r="R74" s="60"/>
      <c r="S74" s="16"/>
      <c r="T74" s="41"/>
      <c r="U74" s="478"/>
      <c r="V74" s="34">
        <v>1036</v>
      </c>
      <c r="W74" s="33"/>
      <c r="X74" s="33"/>
      <c r="Y74" s="33"/>
      <c r="Z74" s="33">
        <f t="shared" si="38"/>
        <v>101436</v>
      </c>
      <c r="AA74" s="33"/>
      <c r="AB74" s="46">
        <f t="shared" si="44"/>
        <v>6.0096546919101074E-2</v>
      </c>
      <c r="AC74" s="33"/>
      <c r="AD74" s="33">
        <f t="shared" si="45"/>
        <v>1560.5538461538461</v>
      </c>
      <c r="AE74" s="50"/>
      <c r="AF74" s="33"/>
      <c r="AG74" s="33">
        <f t="shared" si="35"/>
        <v>1036</v>
      </c>
      <c r="AH74" s="232"/>
      <c r="AI74" s="50"/>
      <c r="AJ74" s="10"/>
      <c r="AK74" s="23">
        <f t="shared" si="39"/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si="40"/>
        <v>3.0712850873045709E-2</v>
      </c>
      <c r="AR74" s="25"/>
      <c r="AS74" s="25"/>
      <c r="AT74" s="24"/>
      <c r="AU74" s="342">
        <f t="shared" si="46"/>
        <v>0.26477767429515298</v>
      </c>
      <c r="AV74" s="342"/>
      <c r="AW74" s="24">
        <f t="shared" si="47"/>
        <v>6875.6</v>
      </c>
      <c r="AX74" s="352"/>
      <c r="AY74" s="10"/>
      <c r="AZ74" s="66">
        <f t="shared" si="41"/>
        <v>448064</v>
      </c>
      <c r="BA74" s="67"/>
      <c r="BB74" s="67">
        <v>14357969</v>
      </c>
      <c r="BC74" s="67"/>
      <c r="BD74" s="67">
        <f t="shared" si="48"/>
        <v>21928</v>
      </c>
      <c r="BE74" s="67"/>
      <c r="BF74" s="157">
        <f t="shared" si="42"/>
        <v>4.8939437223253821E-2</v>
      </c>
      <c r="BG74" s="67"/>
      <c r="BH74" s="184"/>
      <c r="BI74" s="67"/>
      <c r="BJ74" s="67"/>
      <c r="BK74" s="67"/>
      <c r="BL74" s="157"/>
      <c r="BM74" s="66">
        <f t="shared" si="49"/>
        <v>220891.83076923076</v>
      </c>
      <c r="BN74" s="67"/>
      <c r="BO74" s="67">
        <f t="shared" si="50"/>
        <v>1414506</v>
      </c>
      <c r="BP74" s="67"/>
      <c r="BQ74" s="74">
        <f t="shared" si="51"/>
        <v>9.8517137068620225E-2</v>
      </c>
      <c r="BR74" s="67"/>
      <c r="BS74" s="86"/>
      <c r="BT74" s="184"/>
      <c r="BU74" s="1"/>
      <c r="BV74">
        <f t="shared" si="11"/>
        <v>65</v>
      </c>
    </row>
    <row r="75" spans="2:74" x14ac:dyDescent="0.3">
      <c r="B75" s="391">
        <f t="shared" si="6"/>
        <v>43975</v>
      </c>
      <c r="C75" s="61"/>
      <c r="D75" s="17">
        <v>19608</v>
      </c>
      <c r="E75" s="16"/>
      <c r="F75" s="16"/>
      <c r="G75" s="16"/>
      <c r="H75" s="16">
        <f t="shared" si="36"/>
        <v>1707492</v>
      </c>
      <c r="I75" s="16"/>
      <c r="J75" s="38">
        <f t="shared" si="37"/>
        <v>1.1616912062677292E-2</v>
      </c>
      <c r="K75" s="16"/>
      <c r="L75" s="16"/>
      <c r="M75" s="16"/>
      <c r="N75" s="16">
        <f t="shared" si="43"/>
        <v>25871.090909090908</v>
      </c>
      <c r="O75" s="41"/>
      <c r="P75" s="17">
        <f>SUM(D69:D75)</f>
        <v>158772</v>
      </c>
      <c r="Q75" s="16"/>
      <c r="R75" s="60">
        <f>+(P75-P68)/P68</f>
        <v>-7.8362266131753594E-3</v>
      </c>
      <c r="S75" s="16"/>
      <c r="T75" s="41"/>
      <c r="U75" s="392"/>
      <c r="V75" s="34">
        <v>617</v>
      </c>
      <c r="W75" s="33"/>
      <c r="X75" s="33"/>
      <c r="Y75" s="33"/>
      <c r="Z75" s="33">
        <f t="shared" si="38"/>
        <v>102053</v>
      </c>
      <c r="AA75" s="33"/>
      <c r="AB75" s="46">
        <f t="shared" si="44"/>
        <v>5.9767776364398777E-2</v>
      </c>
      <c r="AC75" s="33"/>
      <c r="AD75" s="33">
        <f t="shared" si="45"/>
        <v>1546.2575757575758</v>
      </c>
      <c r="AE75" s="50"/>
      <c r="AF75" s="33">
        <f>SUM(V69:V75)</f>
        <v>8322</v>
      </c>
      <c r="AG75" s="33">
        <f t="shared" si="35"/>
        <v>617</v>
      </c>
      <c r="AH75" s="232">
        <f>+(AF75-AF68)/AF68</f>
        <v>-0.1833971151015602</v>
      </c>
      <c r="AI75" s="50"/>
      <c r="AJ75" s="392"/>
      <c r="AK75" s="23">
        <f t="shared" si="39"/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si="40"/>
        <v>1.0713470600607723E-2</v>
      </c>
      <c r="AR75" s="25"/>
      <c r="AS75" s="25"/>
      <c r="AT75" s="24"/>
      <c r="AU75" s="342">
        <f t="shared" si="46"/>
        <v>0.26454121014915444</v>
      </c>
      <c r="AV75" s="342"/>
      <c r="AW75" s="24">
        <f t="shared" si="47"/>
        <v>6843.969696969697</v>
      </c>
      <c r="AX75" s="352"/>
      <c r="AY75" s="392"/>
      <c r="AZ75" s="66">
        <f t="shared" si="41"/>
        <v>391787</v>
      </c>
      <c r="BA75" s="67"/>
      <c r="BB75" s="67">
        <v>14749756</v>
      </c>
      <c r="BC75" s="67"/>
      <c r="BD75" s="67">
        <f t="shared" si="48"/>
        <v>19608</v>
      </c>
      <c r="BE75" s="67"/>
      <c r="BF75" s="157">
        <f t="shared" si="42"/>
        <v>5.0047602396199979E-2</v>
      </c>
      <c r="BG75" s="67"/>
      <c r="BH75" s="184"/>
      <c r="BI75" s="67"/>
      <c r="BJ75" s="67">
        <f>SUM(AZ69:AZ75)</f>
        <v>2874176</v>
      </c>
      <c r="BK75" s="67"/>
      <c r="BL75" s="157">
        <f>+P75/BJ75</f>
        <v>5.5240875993676102E-2</v>
      </c>
      <c r="BM75" s="66">
        <f t="shared" si="49"/>
        <v>223481.15151515152</v>
      </c>
      <c r="BN75" s="67"/>
      <c r="BO75" s="67">
        <f t="shared" si="50"/>
        <v>1434114</v>
      </c>
      <c r="BP75" s="67"/>
      <c r="BQ75" s="74">
        <f t="shared" si="51"/>
        <v>9.7229676206169111E-2</v>
      </c>
      <c r="BR75" s="67"/>
      <c r="BS75" s="86"/>
      <c r="BT75" s="184"/>
      <c r="BU75" s="1"/>
      <c r="BV75">
        <f t="shared" si="11"/>
        <v>66</v>
      </c>
    </row>
    <row r="76" spans="2:74" x14ac:dyDescent="0.3">
      <c r="B76" s="172">
        <f t="shared" si="6"/>
        <v>43976</v>
      </c>
      <c r="C76" s="61"/>
      <c r="D76" s="17">
        <v>19790</v>
      </c>
      <c r="E76" s="16"/>
      <c r="F76" s="16"/>
      <c r="G76" s="16"/>
      <c r="H76" s="16">
        <f t="shared" si="36"/>
        <v>1727282</v>
      </c>
      <c r="I76" s="16"/>
      <c r="J76" s="38">
        <f t="shared" si="37"/>
        <v>1.1590098225936051E-2</v>
      </c>
      <c r="K76" s="16"/>
      <c r="L76" s="16"/>
      <c r="M76" s="16"/>
      <c r="N76" s="16">
        <f t="shared" si="43"/>
        <v>25780.328358208953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si="38"/>
        <v>102558</v>
      </c>
      <c r="AA76" s="33"/>
      <c r="AB76" s="46">
        <f t="shared" si="44"/>
        <v>5.937536545856438E-2</v>
      </c>
      <c r="AC76" s="33"/>
      <c r="AD76" s="33">
        <f t="shared" si="45"/>
        <v>1530.7164179104477</v>
      </c>
      <c r="AE76" s="50"/>
      <c r="AF76" s="33"/>
      <c r="AG76" s="33">
        <f t="shared" si="35"/>
        <v>505</v>
      </c>
      <c r="AH76" s="232"/>
      <c r="AI76" s="50"/>
      <c r="AJ76" s="10"/>
      <c r="AK76" s="23">
        <f t="shared" si="39"/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si="40"/>
        <v>2.8709193229164362E-2</v>
      </c>
      <c r="AR76" s="25"/>
      <c r="AS76" s="25"/>
      <c r="AT76" s="24"/>
      <c r="AU76" s="342">
        <f t="shared" si="46"/>
        <v>0.26901802948215753</v>
      </c>
      <c r="AV76" s="342"/>
      <c r="AW76" s="24">
        <f t="shared" si="47"/>
        <v>6935.373134328358</v>
      </c>
      <c r="AX76" s="352"/>
      <c r="AY76" s="10"/>
      <c r="AZ76" s="66">
        <f t="shared" si="41"/>
        <v>437891</v>
      </c>
      <c r="BA76" s="67"/>
      <c r="BB76" s="67">
        <v>15187647</v>
      </c>
      <c r="BC76" s="67"/>
      <c r="BD76" s="67">
        <f t="shared" si="48"/>
        <v>19790</v>
      </c>
      <c r="BE76" s="67"/>
      <c r="BF76" s="157">
        <f t="shared" si="42"/>
        <v>4.5193895284442932E-2</v>
      </c>
      <c r="BG76" s="67"/>
      <c r="BH76" s="184"/>
      <c r="BI76" s="67"/>
      <c r="BJ76" s="67"/>
      <c r="BK76" s="67"/>
      <c r="BL76" s="157"/>
      <c r="BM76" s="66">
        <f t="shared" si="49"/>
        <v>226681.29850746269</v>
      </c>
      <c r="BN76" s="67"/>
      <c r="BO76" s="67">
        <f t="shared" si="50"/>
        <v>1453904</v>
      </c>
      <c r="BP76" s="67"/>
      <c r="BQ76" s="74">
        <f t="shared" si="51"/>
        <v>9.572937796091785E-2</v>
      </c>
      <c r="BR76" s="67"/>
      <c r="BS76" s="86"/>
      <c r="BT76" s="184"/>
      <c r="BU76" s="1"/>
      <c r="BV76">
        <f t="shared" si="11"/>
        <v>67</v>
      </c>
    </row>
    <row r="77" spans="2:74" x14ac:dyDescent="0.3">
      <c r="B77" s="172">
        <f t="shared" ref="B77:B131" si="52">1+B76</f>
        <v>43977</v>
      </c>
      <c r="C77" s="61"/>
      <c r="D77" s="17">
        <v>19031</v>
      </c>
      <c r="E77" s="16"/>
      <c r="F77" s="16"/>
      <c r="G77" s="16"/>
      <c r="H77" s="16">
        <f t="shared" si="36"/>
        <v>1746313</v>
      </c>
      <c r="I77" s="16"/>
      <c r="J77" s="38">
        <f t="shared" si="37"/>
        <v>1.1017888219757977E-2</v>
      </c>
      <c r="K77" s="16"/>
      <c r="L77" s="16"/>
      <c r="M77" s="16"/>
      <c r="N77" s="16">
        <f t="shared" si="43"/>
        <v>25681.073529411766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si="38"/>
        <v>103332</v>
      </c>
      <c r="AA77" s="33"/>
      <c r="AB77" s="46">
        <f t="shared" si="44"/>
        <v>5.917152308893079E-2</v>
      </c>
      <c r="AC77" s="33"/>
      <c r="AD77" s="33">
        <f t="shared" si="45"/>
        <v>1519.5882352941176</v>
      </c>
      <c r="AE77" s="50"/>
      <c r="AF77" s="33"/>
      <c r="AG77" s="33">
        <f t="shared" si="35"/>
        <v>774</v>
      </c>
      <c r="AH77" s="232"/>
      <c r="AI77" s="50"/>
      <c r="AJ77" s="10"/>
      <c r="AK77" s="23">
        <f t="shared" si="39"/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si="40"/>
        <v>3.2924441001140593E-2</v>
      </c>
      <c r="AR77" s="25"/>
      <c r="AS77" s="25"/>
      <c r="AT77" s="24"/>
      <c r="AU77" s="342">
        <f t="shared" si="46"/>
        <v>0.27484706349892601</v>
      </c>
      <c r="AV77" s="342"/>
      <c r="AW77" s="24">
        <f t="shared" si="47"/>
        <v>7058.3676470588234</v>
      </c>
      <c r="AX77" s="352"/>
      <c r="AY77" s="10"/>
      <c r="AZ77" s="66">
        <f t="shared" si="41"/>
        <v>344512</v>
      </c>
      <c r="BA77" s="67"/>
      <c r="BB77" s="67">
        <v>15532159</v>
      </c>
      <c r="BC77" s="67"/>
      <c r="BD77" s="67">
        <f t="shared" si="48"/>
        <v>19031</v>
      </c>
      <c r="BE77" s="67"/>
      <c r="BF77" s="157">
        <f t="shared" si="42"/>
        <v>5.5240456065391047E-2</v>
      </c>
      <c r="BG77" s="67"/>
      <c r="BH77" s="184"/>
      <c r="BI77" s="67"/>
      <c r="BJ77" s="67"/>
      <c r="BK77" s="67"/>
      <c r="BL77" s="157"/>
      <c r="BM77" s="66">
        <f t="shared" si="49"/>
        <v>228414.10294117648</v>
      </c>
      <c r="BN77" s="67"/>
      <c r="BO77" s="67">
        <f t="shared" si="50"/>
        <v>1472935</v>
      </c>
      <c r="BP77" s="67"/>
      <c r="BQ77" s="74">
        <f t="shared" si="51"/>
        <v>9.4831310959410081E-2</v>
      </c>
      <c r="BR77" s="67"/>
      <c r="BS77" s="86"/>
      <c r="BT77" s="184"/>
      <c r="BU77" s="1"/>
      <c r="BV77">
        <f t="shared" ref="BV77:BV131" si="53">+BV76+1</f>
        <v>68</v>
      </c>
    </row>
    <row r="78" spans="2:74" x14ac:dyDescent="0.3">
      <c r="B78" s="172">
        <f t="shared" si="52"/>
        <v>43978</v>
      </c>
      <c r="C78" s="61"/>
      <c r="D78" s="17">
        <v>20546</v>
      </c>
      <c r="E78" s="16"/>
      <c r="F78" s="16"/>
      <c r="G78" s="16"/>
      <c r="H78" s="16">
        <f t="shared" si="36"/>
        <v>1766859</v>
      </c>
      <c r="I78" s="16"/>
      <c r="J78" s="38">
        <f t="shared" si="37"/>
        <v>1.1765359359977278E-2</v>
      </c>
      <c r="K78" s="16"/>
      <c r="L78" s="16"/>
      <c r="M78" s="16"/>
      <c r="N78" s="16">
        <f t="shared" si="43"/>
        <v>25606.652173913044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si="38"/>
        <v>104860</v>
      </c>
      <c r="AA78" s="33"/>
      <c r="AB78" s="46">
        <f t="shared" si="44"/>
        <v>5.9348255859692257E-2</v>
      </c>
      <c r="AC78" s="33"/>
      <c r="AD78" s="33">
        <f t="shared" si="45"/>
        <v>1519.7101449275362</v>
      </c>
      <c r="AE78" s="50"/>
      <c r="AF78" s="33"/>
      <c r="AG78" s="33">
        <f t="shared" si="35"/>
        <v>1528</v>
      </c>
      <c r="AH78" s="232"/>
      <c r="AI78" s="50"/>
      <c r="AJ78" s="10"/>
      <c r="AK78" s="23">
        <f t="shared" si="39"/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si="40"/>
        <v>2.1170117236738208E-2</v>
      </c>
      <c r="AR78" s="25"/>
      <c r="AS78" s="25"/>
      <c r="AT78" s="24"/>
      <c r="AU78" s="342">
        <f t="shared" si="46"/>
        <v>0.27740187530527338</v>
      </c>
      <c r="AV78" s="342"/>
      <c r="AW78" s="24">
        <f t="shared" si="47"/>
        <v>7103.333333333333</v>
      </c>
      <c r="AX78" s="352"/>
      <c r="AY78" s="10"/>
      <c r="AZ78" s="66">
        <f t="shared" si="41"/>
        <v>343314</v>
      </c>
      <c r="BA78" s="67"/>
      <c r="BB78" s="67">
        <v>15875473</v>
      </c>
      <c r="BC78" s="67"/>
      <c r="BD78" s="67">
        <f t="shared" si="48"/>
        <v>20546</v>
      </c>
      <c r="BE78" s="67"/>
      <c r="BF78" s="157">
        <f t="shared" si="42"/>
        <v>5.9846088420512998E-2</v>
      </c>
      <c r="BG78" s="67"/>
      <c r="BH78" s="184"/>
      <c r="BI78" s="67"/>
      <c r="BJ78" s="67"/>
      <c r="BK78" s="67"/>
      <c r="BL78" s="157"/>
      <c r="BM78" s="66">
        <f t="shared" si="49"/>
        <v>230079.31884057971</v>
      </c>
      <c r="BN78" s="67"/>
      <c r="BO78" s="67">
        <f t="shared" si="50"/>
        <v>1493481</v>
      </c>
      <c r="BP78" s="67"/>
      <c r="BQ78" s="74">
        <f t="shared" si="51"/>
        <v>9.4074740324272543E-2</v>
      </c>
      <c r="BR78" s="67"/>
      <c r="BS78" s="86"/>
      <c r="BT78" s="184"/>
      <c r="BU78" s="1"/>
      <c r="BV78">
        <f t="shared" si="53"/>
        <v>69</v>
      </c>
    </row>
    <row r="79" spans="2:74" x14ac:dyDescent="0.3">
      <c r="B79" s="172">
        <f t="shared" si="52"/>
        <v>43979</v>
      </c>
      <c r="C79" s="61"/>
      <c r="D79" s="17">
        <v>22658</v>
      </c>
      <c r="E79" s="16"/>
      <c r="F79" s="16"/>
      <c r="G79" s="16"/>
      <c r="H79" s="16">
        <f t="shared" si="36"/>
        <v>1789517</v>
      </c>
      <c r="I79" s="16"/>
      <c r="J79" s="38">
        <f t="shared" si="37"/>
        <v>1.2823886908915765E-2</v>
      </c>
      <c r="K79" s="16"/>
      <c r="L79" s="16"/>
      <c r="M79" s="16"/>
      <c r="N79" s="16">
        <f t="shared" si="43"/>
        <v>25564.528571428571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si="38"/>
        <v>106083</v>
      </c>
      <c r="AA79" s="33"/>
      <c r="AB79" s="46">
        <f t="shared" si="44"/>
        <v>5.9280241540035666E-2</v>
      </c>
      <c r="AC79" s="33"/>
      <c r="AD79" s="33">
        <f t="shared" si="45"/>
        <v>1515.4714285714285</v>
      </c>
      <c r="AE79" s="50"/>
      <c r="AF79" s="33"/>
      <c r="AG79" s="33">
        <f t="shared" si="35"/>
        <v>1223</v>
      </c>
      <c r="AH79" s="232"/>
      <c r="AI79" s="50"/>
      <c r="AJ79" s="10"/>
      <c r="AK79" s="23">
        <f t="shared" si="39"/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si="40"/>
        <v>1.7536163874890334E-2</v>
      </c>
      <c r="AR79" s="25"/>
      <c r="AS79" s="25"/>
      <c r="AT79" s="24"/>
      <c r="AU79" s="342">
        <f t="shared" si="46"/>
        <v>0.2786925187075619</v>
      </c>
      <c r="AV79" s="342"/>
      <c r="AW79" s="24">
        <f t="shared" si="47"/>
        <v>7124.6428571428569</v>
      </c>
      <c r="AX79" s="352"/>
      <c r="AY79" s="10"/>
      <c r="AZ79" s="66">
        <f t="shared" si="41"/>
        <v>455839</v>
      </c>
      <c r="BA79" s="67"/>
      <c r="BB79" s="67">
        <v>16331312</v>
      </c>
      <c r="BC79" s="67"/>
      <c r="BD79" s="67">
        <f t="shared" si="48"/>
        <v>22658</v>
      </c>
      <c r="BE79" s="67"/>
      <c r="BF79" s="157">
        <f t="shared" si="42"/>
        <v>4.9706146249004581E-2</v>
      </c>
      <c r="BG79" s="67"/>
      <c r="BH79" s="184"/>
      <c r="BI79" s="67"/>
      <c r="BJ79" s="67"/>
      <c r="BK79" s="67"/>
      <c r="BL79" s="157"/>
      <c r="BM79" s="66">
        <f t="shared" si="49"/>
        <v>233304.45714285714</v>
      </c>
      <c r="BN79" s="67"/>
      <c r="BO79" s="67">
        <f t="shared" si="50"/>
        <v>1516139</v>
      </c>
      <c r="BP79" s="67"/>
      <c r="BQ79" s="74">
        <f t="shared" si="51"/>
        <v>9.2836325703654424E-2</v>
      </c>
      <c r="BR79" s="67"/>
      <c r="BS79" s="86"/>
      <c r="BT79" s="184"/>
      <c r="BU79" s="1"/>
      <c r="BV79">
        <f t="shared" si="53"/>
        <v>70</v>
      </c>
    </row>
    <row r="80" spans="2:74" x14ac:dyDescent="0.3">
      <c r="B80" s="172">
        <f t="shared" si="52"/>
        <v>43980</v>
      </c>
      <c r="C80" s="61"/>
      <c r="D80" s="17">
        <v>25069</v>
      </c>
      <c r="E80" s="16"/>
      <c r="F80" s="16"/>
      <c r="G80" s="16"/>
      <c r="H80" s="16">
        <f t="shared" si="36"/>
        <v>1814586</v>
      </c>
      <c r="I80" s="16"/>
      <c r="J80" s="38">
        <f t="shared" si="37"/>
        <v>1.4008807963266066E-2</v>
      </c>
      <c r="K80" s="16"/>
      <c r="L80" s="16"/>
      <c r="M80" s="16"/>
      <c r="N80" s="16">
        <f t="shared" si="43"/>
        <v>25557.549295774646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si="38"/>
        <v>107295</v>
      </c>
      <c r="AA80" s="33"/>
      <c r="AB80" s="46">
        <f t="shared" si="44"/>
        <v>5.912918979866482E-2</v>
      </c>
      <c r="AC80" s="33"/>
      <c r="AD80" s="33">
        <f t="shared" si="45"/>
        <v>1511.1971830985915</v>
      </c>
      <c r="AE80" s="50"/>
      <c r="AF80" s="33"/>
      <c r="AG80" s="33">
        <f t="shared" si="35"/>
        <v>1212</v>
      </c>
      <c r="AH80" s="232"/>
      <c r="AI80" s="50"/>
      <c r="AJ80" s="10"/>
      <c r="AK80" s="23">
        <f t="shared" si="39"/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si="40"/>
        <v>4.1794576169231538E-2</v>
      </c>
      <c r="AR80" s="25"/>
      <c r="AS80" s="25"/>
      <c r="AT80" s="24"/>
      <c r="AU80" s="342">
        <f t="shared" si="46"/>
        <v>0.28632922330493016</v>
      </c>
      <c r="AV80" s="342"/>
      <c r="AW80" s="24">
        <f t="shared" si="47"/>
        <v>7317.8732394366198</v>
      </c>
      <c r="AX80" s="352"/>
      <c r="AY80" s="10"/>
      <c r="AZ80" s="66">
        <f t="shared" si="41"/>
        <v>479466</v>
      </c>
      <c r="BA80" s="67"/>
      <c r="BB80" s="67">
        <v>16810778</v>
      </c>
      <c r="BC80" s="67"/>
      <c r="BD80" s="67">
        <f t="shared" si="48"/>
        <v>25069</v>
      </c>
      <c r="BE80" s="67"/>
      <c r="BF80" s="157">
        <f t="shared" si="42"/>
        <v>5.2285250674708947E-2</v>
      </c>
      <c r="BG80" s="67"/>
      <c r="BH80" s="184"/>
      <c r="BI80" s="67"/>
      <c r="BJ80" s="67"/>
      <c r="BK80" s="67"/>
      <c r="BL80" s="157"/>
      <c r="BM80" s="66">
        <f t="shared" si="49"/>
        <v>236771.52112676058</v>
      </c>
      <c r="BN80" s="67"/>
      <c r="BO80" s="67">
        <f t="shared" si="50"/>
        <v>1541208</v>
      </c>
      <c r="BP80" s="67"/>
      <c r="BQ80" s="74">
        <f t="shared" si="51"/>
        <v>9.1679754500356855E-2</v>
      </c>
      <c r="BR80" s="67"/>
      <c r="BS80" s="86"/>
      <c r="BT80" s="184"/>
      <c r="BU80" s="1"/>
      <c r="BV80">
        <f t="shared" si="53"/>
        <v>71</v>
      </c>
    </row>
    <row r="81" spans="2:74" x14ac:dyDescent="0.3">
      <c r="B81" s="476">
        <f t="shared" si="52"/>
        <v>43981</v>
      </c>
      <c r="C81" s="61"/>
      <c r="D81" s="17">
        <v>23290</v>
      </c>
      <c r="E81" s="16"/>
      <c r="F81" s="16"/>
      <c r="G81" s="16"/>
      <c r="H81" s="16">
        <f t="shared" si="36"/>
        <v>1837876</v>
      </c>
      <c r="I81" s="16"/>
      <c r="J81" s="38">
        <f t="shared" si="37"/>
        <v>1.2834883549195243E-2</v>
      </c>
      <c r="K81" s="16"/>
      <c r="L81" s="16"/>
      <c r="M81" s="16"/>
      <c r="N81" s="16">
        <f t="shared" si="43"/>
        <v>25526.055555555555</v>
      </c>
      <c r="O81" s="41"/>
      <c r="P81" s="17"/>
      <c r="Q81" s="16"/>
      <c r="R81" s="60"/>
      <c r="S81" s="16"/>
      <c r="T81" s="41"/>
      <c r="U81" s="478"/>
      <c r="V81" s="34">
        <v>1015</v>
      </c>
      <c r="W81" s="33"/>
      <c r="X81" s="33"/>
      <c r="Y81" s="33"/>
      <c r="Z81" s="33">
        <f t="shared" si="38"/>
        <v>108310</v>
      </c>
      <c r="AA81" s="33"/>
      <c r="AB81" s="46">
        <f t="shared" si="44"/>
        <v>5.8932158643999921E-2</v>
      </c>
      <c r="AC81" s="33"/>
      <c r="AD81" s="33">
        <f t="shared" si="45"/>
        <v>1504.3055555555557</v>
      </c>
      <c r="AE81" s="50"/>
      <c r="AF81" s="33"/>
      <c r="AG81" s="33">
        <f t="shared" si="35"/>
        <v>1015</v>
      </c>
      <c r="AH81" s="232"/>
      <c r="AI81" s="50"/>
      <c r="AJ81" s="10"/>
      <c r="AK81" s="23">
        <f t="shared" si="39"/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si="40"/>
        <v>3.0157688391724679E-2</v>
      </c>
      <c r="AR81" s="25"/>
      <c r="AS81" s="25"/>
      <c r="AT81" s="24"/>
      <c r="AU81" s="342">
        <f t="shared" si="46"/>
        <v>0.2912263939460551</v>
      </c>
      <c r="AV81" s="342"/>
      <c r="AW81" s="24">
        <f t="shared" si="47"/>
        <v>7433.8611111111113</v>
      </c>
      <c r="AX81" s="352"/>
      <c r="AY81" s="504"/>
      <c r="AZ81" s="66">
        <f t="shared" si="41"/>
        <v>460063</v>
      </c>
      <c r="BA81" s="67"/>
      <c r="BB81" s="67">
        <v>17270841</v>
      </c>
      <c r="BC81" s="67"/>
      <c r="BD81" s="67">
        <f t="shared" si="48"/>
        <v>23290</v>
      </c>
      <c r="BE81" s="67"/>
      <c r="BF81" s="157">
        <f t="shared" si="42"/>
        <v>5.0623501563916248E-2</v>
      </c>
      <c r="BG81" s="67"/>
      <c r="BH81" s="184"/>
      <c r="BI81" s="67"/>
      <c r="BJ81" s="67"/>
      <c r="BK81" s="67"/>
      <c r="BL81" s="157"/>
      <c r="BM81" s="66">
        <f t="shared" si="49"/>
        <v>239872.79166666666</v>
      </c>
      <c r="BN81" s="67"/>
      <c r="BO81" s="67">
        <f t="shared" si="50"/>
        <v>1564498</v>
      </c>
      <c r="BP81" s="67"/>
      <c r="BQ81" s="74">
        <f t="shared" si="51"/>
        <v>9.0586092478067509E-2</v>
      </c>
      <c r="BR81" s="67"/>
      <c r="BS81" s="86"/>
      <c r="BT81" s="184"/>
      <c r="BU81" s="1"/>
      <c r="BV81">
        <f t="shared" si="53"/>
        <v>72</v>
      </c>
    </row>
    <row r="82" spans="2:74" x14ac:dyDescent="0.3">
      <c r="B82" s="391">
        <f t="shared" si="52"/>
        <v>43982</v>
      </c>
      <c r="C82" s="61"/>
      <c r="D82" s="17">
        <v>20350</v>
      </c>
      <c r="E82" s="16"/>
      <c r="F82" s="16"/>
      <c r="G82" s="16"/>
      <c r="H82" s="16">
        <f t="shared" si="36"/>
        <v>1858226</v>
      </c>
      <c r="I82" s="16"/>
      <c r="J82" s="38">
        <f t="shared" si="37"/>
        <v>1.1072564199108102E-2</v>
      </c>
      <c r="K82" s="16"/>
      <c r="L82" s="16"/>
      <c r="M82" s="16"/>
      <c r="N82" s="16">
        <f t="shared" si="43"/>
        <v>25455.150684931508</v>
      </c>
      <c r="O82" s="41"/>
      <c r="P82" s="17">
        <f>SUM(D76:D82)</f>
        <v>150734</v>
      </c>
      <c r="Q82" s="16"/>
      <c r="R82" s="60">
        <f>+(P82-P75)/P75</f>
        <v>-5.0626054971909404E-2</v>
      </c>
      <c r="S82" s="16"/>
      <c r="T82" s="41"/>
      <c r="U82" s="392"/>
      <c r="V82" s="34">
        <v>638</v>
      </c>
      <c r="W82" s="33"/>
      <c r="X82" s="33"/>
      <c r="Y82" s="33"/>
      <c r="Z82" s="33">
        <f t="shared" si="38"/>
        <v>108948</v>
      </c>
      <c r="AA82" s="33"/>
      <c r="AB82" s="46">
        <f t="shared" si="44"/>
        <v>5.8630112806515464E-2</v>
      </c>
      <c r="AC82" s="33"/>
      <c r="AD82" s="33">
        <f t="shared" si="45"/>
        <v>1492.4383561643835</v>
      </c>
      <c r="AE82" s="50"/>
      <c r="AF82" s="33">
        <f>SUM(V76:V82)</f>
        <v>6895</v>
      </c>
      <c r="AG82" s="33">
        <f t="shared" si="35"/>
        <v>638</v>
      </c>
      <c r="AH82" s="232">
        <f>+(AF82-AF75)/AF75</f>
        <v>-0.17147320355683729</v>
      </c>
      <c r="AI82" s="50"/>
      <c r="AJ82" s="392"/>
      <c r="AK82" s="23">
        <f t="shared" si="39"/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si="40"/>
        <v>0.12074815315803437</v>
      </c>
      <c r="AR82" s="25"/>
      <c r="AS82" s="25"/>
      <c r="AT82" s="24"/>
      <c r="AU82" s="342">
        <f t="shared" si="46"/>
        <v>0.32281703086707431</v>
      </c>
      <c r="AV82" s="342"/>
      <c r="AW82" s="24">
        <f t="shared" si="47"/>
        <v>8217.3561643835619</v>
      </c>
      <c r="AX82" s="352"/>
      <c r="AY82" s="392"/>
      <c r="AZ82" s="66">
        <f t="shared" si="41"/>
        <v>401726</v>
      </c>
      <c r="BA82" s="67"/>
      <c r="BB82" s="67">
        <v>17672567</v>
      </c>
      <c r="BC82" s="67"/>
      <c r="BD82" s="67">
        <f t="shared" si="48"/>
        <v>20350</v>
      </c>
      <c r="BE82" s="67"/>
      <c r="BF82" s="157">
        <f t="shared" si="42"/>
        <v>5.0656417558236209E-2</v>
      </c>
      <c r="BG82" s="67"/>
      <c r="BH82" s="184"/>
      <c r="BI82" s="67"/>
      <c r="BJ82" s="67">
        <f>SUM(AZ76:AZ82)</f>
        <v>2922811</v>
      </c>
      <c r="BK82" s="67"/>
      <c r="BL82" s="157">
        <f>+P82/BJ82</f>
        <v>5.1571586394056956E-2</v>
      </c>
      <c r="BM82" s="66">
        <f t="shared" si="49"/>
        <v>242089.95890410958</v>
      </c>
      <c r="BN82" s="67"/>
      <c r="BO82" s="67">
        <f t="shared" si="50"/>
        <v>1584848</v>
      </c>
      <c r="BP82" s="67"/>
      <c r="BQ82" s="74">
        <f t="shared" si="51"/>
        <v>8.9678426456100011E-2</v>
      </c>
      <c r="BR82" s="67"/>
      <c r="BS82" s="86"/>
      <c r="BT82" s="184"/>
      <c r="BU82" s="1"/>
      <c r="BV82">
        <f t="shared" si="53"/>
        <v>73</v>
      </c>
    </row>
    <row r="83" spans="2:74" x14ac:dyDescent="0.3">
      <c r="B83" s="172">
        <f t="shared" si="52"/>
        <v>43983</v>
      </c>
      <c r="C83" s="61"/>
      <c r="D83" s="17">
        <v>22153</v>
      </c>
      <c r="E83" s="16"/>
      <c r="F83" s="16"/>
      <c r="G83" s="16"/>
      <c r="H83" s="16">
        <f t="shared" si="36"/>
        <v>1880379</v>
      </c>
      <c r="I83" s="16"/>
      <c r="J83" s="38">
        <f t="shared" si="37"/>
        <v>1.1921585426099947E-2</v>
      </c>
      <c r="K83" s="16"/>
      <c r="L83" s="16"/>
      <c r="M83" s="16"/>
      <c r="N83" s="16">
        <f t="shared" si="43"/>
        <v>25410.527027027027</v>
      </c>
      <c r="O83" s="41"/>
      <c r="P83" s="17"/>
      <c r="Q83" s="16"/>
      <c r="R83" s="60"/>
      <c r="S83" s="16"/>
      <c r="T83" s="41"/>
      <c r="U83" s="10"/>
      <c r="V83" s="34">
        <v>730</v>
      </c>
      <c r="W83" s="33"/>
      <c r="X83" s="33"/>
      <c r="Y83" s="33"/>
      <c r="Z83" s="33">
        <f t="shared" si="38"/>
        <v>109678</v>
      </c>
      <c r="AA83" s="33"/>
      <c r="AB83" s="46">
        <f t="shared" si="44"/>
        <v>5.8327603105544149E-2</v>
      </c>
      <c r="AC83" s="33"/>
      <c r="AD83" s="33">
        <f t="shared" si="45"/>
        <v>1482.1351351351352</v>
      </c>
      <c r="AE83" s="50"/>
      <c r="AF83" s="33">
        <f>SUM(D52:D82)</f>
        <v>742147</v>
      </c>
      <c r="AG83" s="33"/>
      <c r="AH83" s="232"/>
      <c r="AI83" s="50"/>
      <c r="AJ83" s="10"/>
      <c r="AK83" s="23">
        <f t="shared" si="39"/>
        <v>15461</v>
      </c>
      <c r="AL83" s="24"/>
      <c r="AM83" s="24"/>
      <c r="AN83" s="24">
        <v>178263</v>
      </c>
      <c r="AO83" s="24">
        <v>615328</v>
      </c>
      <c r="AP83" s="24"/>
      <c r="AQ83" s="25">
        <f t="shared" si="40"/>
        <v>2.5774046580325307E-2</v>
      </c>
      <c r="AR83" s="25"/>
      <c r="AS83" s="25"/>
      <c r="AT83" s="24"/>
      <c r="AU83" s="342">
        <f t="shared" si="46"/>
        <v>0.32723615824256708</v>
      </c>
      <c r="AV83" s="342"/>
      <c r="AW83" s="24">
        <f t="shared" si="47"/>
        <v>8315.2432432432433</v>
      </c>
      <c r="AX83" s="352"/>
      <c r="AY83" s="10"/>
      <c r="AZ83" s="66">
        <f t="shared" si="41"/>
        <v>477486</v>
      </c>
      <c r="BA83" s="67"/>
      <c r="BB83" s="67">
        <v>18150053</v>
      </c>
      <c r="BC83" s="67"/>
      <c r="BD83" s="67">
        <f t="shared" si="48"/>
        <v>22153</v>
      </c>
      <c r="BE83" s="67"/>
      <c r="BF83" s="157">
        <f t="shared" si="42"/>
        <v>4.6395077552011998E-2</v>
      </c>
      <c r="BG83" s="67"/>
      <c r="BH83" s="184"/>
      <c r="BI83" s="67"/>
      <c r="BJ83" s="67"/>
      <c r="BK83" s="67"/>
      <c r="BL83" s="157"/>
      <c r="BM83" s="66">
        <f t="shared" si="49"/>
        <v>245270.98648648648</v>
      </c>
      <c r="BN83" s="67"/>
      <c r="BO83" s="67">
        <f t="shared" si="50"/>
        <v>1607001</v>
      </c>
      <c r="BP83" s="67"/>
      <c r="BQ83" s="74">
        <f t="shared" si="51"/>
        <v>8.8539741454198503E-2</v>
      </c>
      <c r="BR83" s="67"/>
      <c r="BS83" s="86"/>
      <c r="BT83" s="184"/>
      <c r="BU83" s="1"/>
      <c r="BV83">
        <f t="shared" si="53"/>
        <v>74</v>
      </c>
    </row>
    <row r="84" spans="2:74" x14ac:dyDescent="0.3">
      <c r="B84" s="172">
        <f t="shared" si="52"/>
        <v>43984</v>
      </c>
      <c r="C84" s="61"/>
      <c r="D84" s="17">
        <v>21882</v>
      </c>
      <c r="E84" s="16"/>
      <c r="F84" s="16"/>
      <c r="G84" s="16"/>
      <c r="H84" s="16">
        <f t="shared" si="36"/>
        <v>1902261</v>
      </c>
      <c r="I84" s="16"/>
      <c r="J84" s="38">
        <f t="shared" si="37"/>
        <v>1.1637015729275854E-2</v>
      </c>
      <c r="K84" s="16"/>
      <c r="L84" s="16"/>
      <c r="M84" s="16"/>
      <c r="N84" s="16">
        <f t="shared" si="43"/>
        <v>25363.48</v>
      </c>
      <c r="O84" s="41"/>
      <c r="P84" s="17"/>
      <c r="Q84" s="16"/>
      <c r="R84" s="60"/>
      <c r="S84" s="16"/>
      <c r="T84" s="41"/>
      <c r="U84" s="10"/>
      <c r="V84" s="34">
        <v>1134</v>
      </c>
      <c r="W84" s="33"/>
      <c r="X84" s="33"/>
      <c r="Y84" s="33"/>
      <c r="Z84" s="33">
        <f t="shared" si="38"/>
        <v>110812</v>
      </c>
      <c r="AA84" s="33"/>
      <c r="AB84" s="46">
        <f t="shared" si="44"/>
        <v>5.8252784449662795E-2</v>
      </c>
      <c r="AC84" s="33"/>
      <c r="AD84" s="33">
        <f t="shared" si="45"/>
        <v>1477.4933333333333</v>
      </c>
      <c r="AE84" s="50"/>
      <c r="AF84" s="33">
        <f>SUM(AG52:AG82)</f>
        <v>42339</v>
      </c>
      <c r="AG84" s="33"/>
      <c r="AH84" s="232"/>
      <c r="AI84" s="50"/>
      <c r="AJ84" s="10"/>
      <c r="AK84" s="23">
        <f t="shared" si="39"/>
        <v>30348</v>
      </c>
      <c r="AL84" s="24"/>
      <c r="AM84" s="24"/>
      <c r="AN84" s="24">
        <v>178263</v>
      </c>
      <c r="AO84" s="24">
        <v>645676</v>
      </c>
      <c r="AP84" s="24"/>
      <c r="AQ84" s="25">
        <f t="shared" si="40"/>
        <v>4.9320037443444799E-2</v>
      </c>
      <c r="AR84" s="25"/>
      <c r="AS84" s="25"/>
      <c r="AT84" s="24"/>
      <c r="AU84" s="342">
        <f t="shared" si="46"/>
        <v>0.33942555727105794</v>
      </c>
      <c r="AV84" s="342"/>
      <c r="AW84" s="24">
        <f t="shared" si="47"/>
        <v>8609.0133333333342</v>
      </c>
      <c r="AX84" s="352"/>
      <c r="AY84" s="10"/>
      <c r="AZ84" s="66">
        <f t="shared" si="41"/>
        <v>453121</v>
      </c>
      <c r="BA84" s="67"/>
      <c r="BB84" s="67">
        <v>18603174</v>
      </c>
      <c r="BC84" s="67"/>
      <c r="BD84" s="67">
        <f t="shared" si="48"/>
        <v>21882</v>
      </c>
      <c r="BE84" s="67"/>
      <c r="BF84" s="157">
        <f t="shared" si="42"/>
        <v>4.8291736644295896E-2</v>
      </c>
      <c r="BG84" s="67"/>
      <c r="BH84" s="184"/>
      <c r="BI84" s="67"/>
      <c r="BJ84" s="67"/>
      <c r="BK84" s="67"/>
      <c r="BL84" s="157"/>
      <c r="BM84" s="66">
        <f t="shared" si="49"/>
        <v>248042.32</v>
      </c>
      <c r="BN84" s="67"/>
      <c r="BO84" s="67">
        <f t="shared" si="50"/>
        <v>1628883</v>
      </c>
      <c r="BP84" s="67"/>
      <c r="BQ84" s="74">
        <f t="shared" si="51"/>
        <v>8.7559413248513393E-2</v>
      </c>
      <c r="BR84" s="67"/>
      <c r="BS84" s="86"/>
      <c r="BT84" s="184"/>
      <c r="BU84" s="1"/>
      <c r="BV84">
        <f t="shared" si="53"/>
        <v>75</v>
      </c>
    </row>
    <row r="85" spans="2:74" x14ac:dyDescent="0.3">
      <c r="B85" s="172">
        <f t="shared" si="52"/>
        <v>43985</v>
      </c>
      <c r="C85" s="61"/>
      <c r="D85" s="17">
        <v>20578</v>
      </c>
      <c r="E85" s="16"/>
      <c r="F85" s="16"/>
      <c r="G85" s="16"/>
      <c r="H85" s="16">
        <f t="shared" si="36"/>
        <v>1922839</v>
      </c>
      <c r="I85" s="16"/>
      <c r="J85" s="38">
        <f t="shared" si="37"/>
        <v>1.0817653308352534E-2</v>
      </c>
      <c r="K85" s="16"/>
      <c r="L85" s="16"/>
      <c r="M85" s="16"/>
      <c r="N85" s="16">
        <f t="shared" si="43"/>
        <v>25300.513157894737</v>
      </c>
      <c r="O85" s="41"/>
      <c r="P85" s="17"/>
      <c r="Q85" s="16"/>
      <c r="R85" s="60"/>
      <c r="S85" s="16"/>
      <c r="T85" s="41"/>
      <c r="U85" s="10"/>
      <c r="V85" s="34">
        <v>1083</v>
      </c>
      <c r="W85" s="33"/>
      <c r="X85" s="33"/>
      <c r="Y85" s="33"/>
      <c r="Z85" s="33">
        <f t="shared" si="38"/>
        <v>111895</v>
      </c>
      <c r="AA85" s="33"/>
      <c r="AB85" s="46">
        <f t="shared" si="44"/>
        <v>5.819259958842108E-2</v>
      </c>
      <c r="AC85" s="33"/>
      <c r="AD85" s="33">
        <f t="shared" si="45"/>
        <v>1472.3026315789473</v>
      </c>
      <c r="AE85" s="50"/>
      <c r="AF85" s="232">
        <f>+AF84/AF83</f>
        <v>5.7049344671608188E-2</v>
      </c>
      <c r="AG85" s="33"/>
      <c r="AH85" s="232"/>
      <c r="AI85" s="50"/>
      <c r="AJ85" s="10"/>
      <c r="AK85" s="23">
        <f t="shared" si="39"/>
        <v>42994</v>
      </c>
      <c r="AL85" s="24"/>
      <c r="AM85" s="24"/>
      <c r="AN85" s="24">
        <v>178263</v>
      </c>
      <c r="AO85" s="24">
        <v>688670</v>
      </c>
      <c r="AP85" s="24"/>
      <c r="AQ85" s="25">
        <f t="shared" si="40"/>
        <v>6.6587576431522938E-2</v>
      </c>
      <c r="AR85" s="25"/>
      <c r="AS85" s="25"/>
      <c r="AT85" s="24"/>
      <c r="AU85" s="342">
        <f t="shared" si="46"/>
        <v>0.35815271065336202</v>
      </c>
      <c r="AV85" s="342"/>
      <c r="AW85" s="24">
        <f t="shared" si="47"/>
        <v>9061.4473684210534</v>
      </c>
      <c r="AX85" s="352"/>
      <c r="AY85" s="10"/>
      <c r="AZ85" s="66">
        <f t="shared" si="41"/>
        <v>493497</v>
      </c>
      <c r="BA85" s="67"/>
      <c r="BB85" s="67">
        <v>19096671</v>
      </c>
      <c r="BC85" s="67"/>
      <c r="BD85" s="67">
        <f t="shared" si="48"/>
        <v>20578</v>
      </c>
      <c r="BE85" s="67"/>
      <c r="BF85" s="157">
        <f t="shared" si="42"/>
        <v>4.1698328459950113E-2</v>
      </c>
      <c r="BG85" s="67"/>
      <c r="BH85" s="184"/>
      <c r="BI85" s="67"/>
      <c r="BJ85" s="67"/>
      <c r="BK85" s="67"/>
      <c r="BL85" s="157"/>
      <c r="BM85" s="66">
        <f t="shared" si="49"/>
        <v>251271.98684210525</v>
      </c>
      <c r="BN85" s="67"/>
      <c r="BO85" s="67">
        <f t="shared" si="50"/>
        <v>1649461</v>
      </c>
      <c r="BP85" s="67"/>
      <c r="BQ85" s="74">
        <f t="shared" si="51"/>
        <v>8.6374269106903503E-2</v>
      </c>
      <c r="BR85" s="67"/>
      <c r="BS85" s="86"/>
      <c r="BT85" s="184"/>
      <c r="BU85" s="1"/>
      <c r="BV85">
        <f t="shared" si="53"/>
        <v>76</v>
      </c>
    </row>
    <row r="86" spans="2:74" x14ac:dyDescent="0.3">
      <c r="B86" s="172">
        <f t="shared" si="52"/>
        <v>43986</v>
      </c>
      <c r="C86" s="61"/>
      <c r="D86" s="17">
        <v>22268</v>
      </c>
      <c r="E86" s="16"/>
      <c r="F86" s="16"/>
      <c r="G86" s="16"/>
      <c r="H86" s="16">
        <f t="shared" si="36"/>
        <v>1945107</v>
      </c>
      <c r="I86" s="16"/>
      <c r="J86" s="38">
        <f t="shared" si="37"/>
        <v>1.1580792775682207E-2</v>
      </c>
      <c r="K86" s="16"/>
      <c r="L86" s="16"/>
      <c r="M86" s="16"/>
      <c r="N86" s="16">
        <f t="shared" si="43"/>
        <v>25261.129870129869</v>
      </c>
      <c r="O86" s="41"/>
      <c r="P86" s="17"/>
      <c r="Q86" s="16"/>
      <c r="R86" s="60"/>
      <c r="S86" s="16"/>
      <c r="T86" s="41"/>
      <c r="U86" s="10"/>
      <c r="V86" s="34">
        <v>1031</v>
      </c>
      <c r="W86" s="33"/>
      <c r="X86" s="33"/>
      <c r="Y86" s="33"/>
      <c r="Z86" s="33">
        <f t="shared" si="38"/>
        <v>112926</v>
      </c>
      <c r="AA86" s="33"/>
      <c r="AB86" s="46">
        <f t="shared" si="44"/>
        <v>5.8056446252057088E-2</v>
      </c>
      <c r="AC86" s="33"/>
      <c r="AD86" s="33">
        <f t="shared" si="45"/>
        <v>1466.5714285714287</v>
      </c>
      <c r="AE86" s="50"/>
      <c r="AF86" s="33"/>
      <c r="AG86" s="33"/>
      <c r="AH86" s="232"/>
      <c r="AI86" s="50"/>
      <c r="AJ86" s="10"/>
      <c r="AK86" s="23">
        <f t="shared" si="39"/>
        <v>23582</v>
      </c>
      <c r="AL86" s="24"/>
      <c r="AM86" s="24"/>
      <c r="AN86" s="24">
        <v>178263</v>
      </c>
      <c r="AO86" s="24">
        <v>712252</v>
      </c>
      <c r="AP86" s="24"/>
      <c r="AQ86" s="25">
        <f t="shared" si="40"/>
        <v>3.4242815862459523E-2</v>
      </c>
      <c r="AR86" s="25"/>
      <c r="AS86" s="25"/>
      <c r="AT86" s="24"/>
      <c r="AU86" s="342">
        <f t="shared" si="46"/>
        <v>0.36617625662752745</v>
      </c>
      <c r="AV86" s="342"/>
      <c r="AW86" s="24">
        <f t="shared" si="47"/>
        <v>9250.0259740259735</v>
      </c>
      <c r="AX86" s="352"/>
      <c r="AY86" s="10"/>
      <c r="AZ86" s="66">
        <f t="shared" si="41"/>
        <v>471398</v>
      </c>
      <c r="BA86" s="67"/>
      <c r="BB86" s="67">
        <v>19568069</v>
      </c>
      <c r="BC86" s="67"/>
      <c r="BD86" s="67">
        <f t="shared" si="48"/>
        <v>22268</v>
      </c>
      <c r="BE86" s="67"/>
      <c r="BF86" s="157">
        <f t="shared" si="42"/>
        <v>4.7238214841810955E-2</v>
      </c>
      <c r="BG86" s="67"/>
      <c r="BH86" s="184"/>
      <c r="BI86" s="67"/>
      <c r="BJ86" s="67"/>
      <c r="BK86" s="67"/>
      <c r="BL86" s="157"/>
      <c r="BM86" s="66">
        <f t="shared" si="49"/>
        <v>254130.76623376625</v>
      </c>
      <c r="BN86" s="67"/>
      <c r="BO86" s="67">
        <f t="shared" si="50"/>
        <v>1671729</v>
      </c>
      <c r="BP86" s="67"/>
      <c r="BQ86" s="74">
        <f t="shared" si="51"/>
        <v>8.5431475124091188E-2</v>
      </c>
      <c r="BR86" s="67"/>
      <c r="BS86" s="86"/>
      <c r="BT86" s="184"/>
      <c r="BU86" s="1"/>
      <c r="BV86">
        <f t="shared" si="53"/>
        <v>77</v>
      </c>
    </row>
    <row r="87" spans="2:74" x14ac:dyDescent="0.3">
      <c r="B87" s="172">
        <f t="shared" si="52"/>
        <v>43987</v>
      </c>
      <c r="C87" s="61"/>
      <c r="D87" s="17">
        <v>25393</v>
      </c>
      <c r="E87" s="16"/>
      <c r="F87" s="16"/>
      <c r="G87" s="16"/>
      <c r="H87" s="16">
        <f t="shared" si="36"/>
        <v>1970500</v>
      </c>
      <c r="I87" s="16"/>
      <c r="J87" s="38">
        <f t="shared" si="37"/>
        <v>1.3054808810003768E-2</v>
      </c>
      <c r="K87" s="16"/>
      <c r="L87" s="16"/>
      <c r="M87" s="16"/>
      <c r="N87" s="16">
        <f t="shared" si="43"/>
        <v>25262.820512820512</v>
      </c>
      <c r="O87" s="41"/>
      <c r="P87" s="17"/>
      <c r="Q87" s="16"/>
      <c r="R87" s="60"/>
      <c r="S87" s="16"/>
      <c r="T87" s="41"/>
      <c r="U87" s="10"/>
      <c r="V87" s="34">
        <v>975</v>
      </c>
      <c r="W87" s="33"/>
      <c r="X87" s="33"/>
      <c r="Y87" s="33"/>
      <c r="Z87" s="33">
        <f t="shared" si="38"/>
        <v>113901</v>
      </c>
      <c r="AA87" s="33"/>
      <c r="AB87" s="46">
        <f t="shared" si="44"/>
        <v>5.7803095660999747E-2</v>
      </c>
      <c r="AC87" s="33"/>
      <c r="AD87" s="33">
        <f t="shared" si="45"/>
        <v>1460.2692307692307</v>
      </c>
      <c r="AE87" s="50"/>
      <c r="AF87" s="33"/>
      <c r="AG87" s="33"/>
      <c r="AH87" s="232"/>
      <c r="AI87" s="50"/>
      <c r="AJ87" s="10"/>
      <c r="AK87" s="23">
        <f t="shared" si="39"/>
        <v>26394</v>
      </c>
      <c r="AL87" s="24"/>
      <c r="AM87" s="24"/>
      <c r="AN87" s="24">
        <v>178263</v>
      </c>
      <c r="AO87" s="24">
        <v>738646</v>
      </c>
      <c r="AP87" s="24"/>
      <c r="AQ87" s="25">
        <f t="shared" si="40"/>
        <v>3.7057109000746928E-2</v>
      </c>
      <c r="AR87" s="25"/>
      <c r="AS87" s="25"/>
      <c r="AT87" s="24"/>
      <c r="AU87" s="342">
        <f t="shared" si="46"/>
        <v>0.37485206800304494</v>
      </c>
      <c r="AV87" s="342"/>
      <c r="AW87" s="24">
        <f t="shared" si="47"/>
        <v>9469.8205128205136</v>
      </c>
      <c r="AX87" s="352"/>
      <c r="AY87" s="10"/>
      <c r="AZ87" s="66">
        <f t="shared" si="41"/>
        <v>699286</v>
      </c>
      <c r="BA87" s="67"/>
      <c r="BB87" s="67">
        <v>20267355</v>
      </c>
      <c r="BC87" s="67"/>
      <c r="BD87" s="67">
        <f t="shared" si="48"/>
        <v>25393</v>
      </c>
      <c r="BE87" s="67"/>
      <c r="BF87" s="157">
        <f t="shared" si="42"/>
        <v>3.631275329407424E-2</v>
      </c>
      <c r="BG87" s="67"/>
      <c r="BH87" s="184"/>
      <c r="BI87" s="67"/>
      <c r="BJ87" s="67"/>
      <c r="BK87" s="67"/>
      <c r="BL87" s="157"/>
      <c r="BM87" s="66">
        <f t="shared" si="49"/>
        <v>259837.88461538462</v>
      </c>
      <c r="BN87" s="67"/>
      <c r="BO87" s="67">
        <f t="shared" si="50"/>
        <v>1697122</v>
      </c>
      <c r="BP87" s="67"/>
      <c r="BQ87" s="74">
        <f t="shared" si="51"/>
        <v>8.3736728349604578E-2</v>
      </c>
      <c r="BR87" s="67"/>
      <c r="BS87" s="86"/>
      <c r="BT87" s="184"/>
      <c r="BU87" s="1"/>
      <c r="BV87">
        <f t="shared" si="53"/>
        <v>78</v>
      </c>
    </row>
    <row r="88" spans="2:74" x14ac:dyDescent="0.3">
      <c r="B88" s="476">
        <f t="shared" si="52"/>
        <v>43988</v>
      </c>
      <c r="C88" s="61"/>
      <c r="D88" s="17">
        <v>22836</v>
      </c>
      <c r="E88" s="16"/>
      <c r="F88" s="16"/>
      <c r="G88" s="16"/>
      <c r="H88" s="16">
        <f t="shared" si="36"/>
        <v>1993336</v>
      </c>
      <c r="I88" s="16"/>
      <c r="J88" s="38">
        <f t="shared" si="37"/>
        <v>1.158893681806648E-2</v>
      </c>
      <c r="K88" s="16"/>
      <c r="L88" s="16"/>
      <c r="M88" s="16"/>
      <c r="N88" s="16">
        <f t="shared" si="43"/>
        <v>25232.101265822785</v>
      </c>
      <c r="O88" s="41"/>
      <c r="P88" s="17"/>
      <c r="Q88" s="16"/>
      <c r="R88" s="60"/>
      <c r="S88" s="16"/>
      <c r="T88" s="41"/>
      <c r="U88" s="478"/>
      <c r="V88" s="34">
        <v>706</v>
      </c>
      <c r="W88" s="33"/>
      <c r="X88" s="33"/>
      <c r="Y88" s="33"/>
      <c r="Z88" s="33">
        <f t="shared" si="38"/>
        <v>114607</v>
      </c>
      <c r="AA88" s="33"/>
      <c r="AB88" s="46">
        <f t="shared" si="44"/>
        <v>5.7495073585185838E-2</v>
      </c>
      <c r="AC88" s="33"/>
      <c r="AD88" s="33">
        <f t="shared" si="45"/>
        <v>1450.7215189873418</v>
      </c>
      <c r="AE88" s="50"/>
      <c r="AF88" s="33"/>
      <c r="AG88" s="33"/>
      <c r="AH88" s="232"/>
      <c r="AI88" s="50"/>
      <c r="AJ88" s="10"/>
      <c r="AK88" s="23">
        <f t="shared" si="39"/>
        <v>13049</v>
      </c>
      <c r="AL88" s="24"/>
      <c r="AM88" s="24"/>
      <c r="AN88" s="24">
        <v>178263</v>
      </c>
      <c r="AO88" s="24">
        <v>751695</v>
      </c>
      <c r="AP88" s="24"/>
      <c r="AQ88" s="25">
        <f t="shared" si="40"/>
        <v>1.7666107986775804E-2</v>
      </c>
      <c r="AR88" s="25"/>
      <c r="AS88" s="25"/>
      <c r="AT88" s="24"/>
      <c r="AU88" s="342">
        <f t="shared" si="46"/>
        <v>0.37710401056319659</v>
      </c>
      <c r="AV88" s="342"/>
      <c r="AW88" s="24">
        <f t="shared" si="47"/>
        <v>9515.1265822784808</v>
      </c>
      <c r="AX88" s="352"/>
      <c r="AY88" s="10"/>
      <c r="AZ88" s="66">
        <f t="shared" si="41"/>
        <v>551073</v>
      </c>
      <c r="BA88" s="67"/>
      <c r="BB88" s="67">
        <v>20818428</v>
      </c>
      <c r="BC88" s="67"/>
      <c r="BD88" s="67">
        <f t="shared" si="48"/>
        <v>22836</v>
      </c>
      <c r="BE88" s="67"/>
      <c r="BF88" s="157">
        <f t="shared" si="42"/>
        <v>4.1439155973890938E-2</v>
      </c>
      <c r="BG88" s="67"/>
      <c r="BH88" s="184"/>
      <c r="BI88" s="67"/>
      <c r="BJ88" s="67"/>
      <c r="BK88" s="67"/>
      <c r="BL88" s="157"/>
      <c r="BM88" s="66">
        <f t="shared" si="49"/>
        <v>263524.40506329114</v>
      </c>
      <c r="BN88" s="67"/>
      <c r="BO88" s="67">
        <f t="shared" si="50"/>
        <v>1719958</v>
      </c>
      <c r="BP88" s="67"/>
      <c r="BQ88" s="74">
        <f t="shared" si="51"/>
        <v>8.2617092894814156E-2</v>
      </c>
      <c r="BR88" s="67"/>
      <c r="BS88" s="86"/>
      <c r="BT88" s="184"/>
      <c r="BU88" s="1"/>
      <c r="BV88">
        <f t="shared" si="53"/>
        <v>79</v>
      </c>
    </row>
    <row r="89" spans="2:74" x14ac:dyDescent="0.3">
      <c r="B89" s="391">
        <f t="shared" si="52"/>
        <v>43989</v>
      </c>
      <c r="C89" s="61"/>
      <c r="D89" s="17">
        <v>18375</v>
      </c>
      <c r="E89" s="16"/>
      <c r="F89" s="16"/>
      <c r="G89" s="16"/>
      <c r="H89" s="16">
        <f t="shared" si="36"/>
        <v>2011711</v>
      </c>
      <c r="I89" s="16"/>
      <c r="J89" s="38">
        <f t="shared" si="37"/>
        <v>9.2182150926888393E-3</v>
      </c>
      <c r="K89" s="16"/>
      <c r="L89" s="16"/>
      <c r="M89" s="16"/>
      <c r="N89" s="16">
        <f t="shared" si="43"/>
        <v>25146.387500000001</v>
      </c>
      <c r="O89" s="41"/>
      <c r="P89" s="17">
        <f>SUM(D83:D89)</f>
        <v>153485</v>
      </c>
      <c r="Q89" s="16"/>
      <c r="R89" s="60">
        <f>+(P89-P82)/P82</f>
        <v>1.8250693274244695E-2</v>
      </c>
      <c r="S89" s="16"/>
      <c r="T89" s="41"/>
      <c r="U89" s="392"/>
      <c r="V89" s="34">
        <v>542</v>
      </c>
      <c r="W89" s="33"/>
      <c r="X89" s="33"/>
      <c r="Y89" s="33"/>
      <c r="Z89" s="33">
        <f t="shared" si="38"/>
        <v>115149</v>
      </c>
      <c r="AA89" s="33"/>
      <c r="AB89" s="46">
        <f t="shared" si="44"/>
        <v>5.7239335073477254E-2</v>
      </c>
      <c r="AC89" s="33"/>
      <c r="AD89" s="33">
        <f t="shared" si="45"/>
        <v>1439.3625</v>
      </c>
      <c r="AE89" s="50"/>
      <c r="AF89" s="33">
        <f>SUM(V83:V89)</f>
        <v>6201</v>
      </c>
      <c r="AG89" s="33"/>
      <c r="AH89" s="232">
        <f>+(AF89-AF82)/AF82</f>
        <v>-0.10065264684554025</v>
      </c>
      <c r="AI89" s="50"/>
      <c r="AJ89" s="392"/>
      <c r="AK89" s="23">
        <f t="shared" si="39"/>
        <v>10013</v>
      </c>
      <c r="AL89" s="24"/>
      <c r="AM89" s="24"/>
      <c r="AN89" s="24">
        <v>178263</v>
      </c>
      <c r="AO89" s="24">
        <v>761708</v>
      </c>
      <c r="AP89" s="24"/>
      <c r="AQ89" s="25">
        <f t="shared" si="40"/>
        <v>1.3320562196103473E-2</v>
      </c>
      <c r="AR89" s="25"/>
      <c r="AS89" s="25"/>
      <c r="AT89" s="24"/>
      <c r="AU89" s="342">
        <f t="shared" si="46"/>
        <v>0.37863689168076331</v>
      </c>
      <c r="AV89" s="342"/>
      <c r="AW89" s="24">
        <f t="shared" si="47"/>
        <v>9521.35</v>
      </c>
      <c r="AX89" s="352"/>
      <c r="AY89" s="392"/>
      <c r="AZ89" s="66">
        <f t="shared" si="41"/>
        <v>473249</v>
      </c>
      <c r="BA89" s="67"/>
      <c r="BB89" s="67">
        <v>21291677</v>
      </c>
      <c r="BC89" s="67"/>
      <c r="BD89" s="67">
        <f t="shared" si="48"/>
        <v>18375</v>
      </c>
      <c r="BE89" s="67"/>
      <c r="BF89" s="157">
        <f t="shared" si="42"/>
        <v>3.8827340364163472E-2</v>
      </c>
      <c r="BG89" s="67"/>
      <c r="BH89" s="184"/>
      <c r="BI89" s="67"/>
      <c r="BJ89" s="67">
        <f>SUM(AZ83:AZ89)</f>
        <v>3619110</v>
      </c>
      <c r="BK89" s="67"/>
      <c r="BL89" s="157">
        <f>+P89/BJ89</f>
        <v>4.2409597939824982E-2</v>
      </c>
      <c r="BM89" s="66">
        <f t="shared" si="49"/>
        <v>266145.96250000002</v>
      </c>
      <c r="BN89" s="67"/>
      <c r="BO89" s="67">
        <f t="shared" si="50"/>
        <v>1738333</v>
      </c>
      <c r="BP89" s="67"/>
      <c r="BQ89" s="74">
        <f t="shared" si="51"/>
        <v>8.1643780337265118E-2</v>
      </c>
      <c r="BR89" s="67"/>
      <c r="BS89" s="86"/>
      <c r="BT89" s="184"/>
      <c r="BU89" s="1"/>
      <c r="BV89">
        <f t="shared" si="53"/>
        <v>80</v>
      </c>
    </row>
    <row r="90" spans="2:74" x14ac:dyDescent="0.3">
      <c r="B90" s="172">
        <f t="shared" si="52"/>
        <v>43990</v>
      </c>
      <c r="C90" s="61"/>
      <c r="D90" s="17">
        <v>19044</v>
      </c>
      <c r="E90" s="16"/>
      <c r="F90" s="16"/>
      <c r="G90" s="16"/>
      <c r="H90" s="16">
        <f t="shared" si="36"/>
        <v>2030755</v>
      </c>
      <c r="I90" s="16"/>
      <c r="J90" s="38">
        <f t="shared" si="37"/>
        <v>9.4665685081008165E-3</v>
      </c>
      <c r="K90" s="16"/>
      <c r="L90" s="16"/>
      <c r="M90" s="16"/>
      <c r="N90" s="16">
        <f t="shared" si="43"/>
        <v>25071.04938271605</v>
      </c>
      <c r="O90" s="41"/>
      <c r="P90" s="17"/>
      <c r="Q90" s="16"/>
      <c r="R90" s="60"/>
      <c r="S90" s="16"/>
      <c r="T90" s="41"/>
      <c r="U90" s="10"/>
      <c r="V90" s="34">
        <v>586</v>
      </c>
      <c r="W90" s="33"/>
      <c r="X90" s="33"/>
      <c r="Y90" s="33"/>
      <c r="Z90" s="33">
        <f t="shared" si="38"/>
        <v>115735</v>
      </c>
      <c r="AA90" s="33"/>
      <c r="AB90" s="46">
        <f t="shared" si="44"/>
        <v>5.6991119066554068E-2</v>
      </c>
      <c r="AC90" s="33"/>
      <c r="AD90" s="33">
        <f t="shared" si="45"/>
        <v>1428.8271604938273</v>
      </c>
      <c r="AE90" s="50"/>
      <c r="AF90" s="33"/>
      <c r="AG90" s="33"/>
      <c r="AH90" s="232"/>
      <c r="AI90" s="50"/>
      <c r="AJ90" s="10"/>
      <c r="AK90" s="23">
        <f t="shared" si="39"/>
        <v>11772</v>
      </c>
      <c r="AL90" s="24"/>
      <c r="AM90" s="24"/>
      <c r="AN90" s="24">
        <v>178263</v>
      </c>
      <c r="AO90" s="24">
        <v>773480</v>
      </c>
      <c r="AP90" s="24"/>
      <c r="AQ90" s="25">
        <f t="shared" si="40"/>
        <v>1.545474118691152E-2</v>
      </c>
      <c r="AR90" s="25"/>
      <c r="AS90" s="25"/>
      <c r="AT90" s="24"/>
      <c r="AU90" s="342">
        <f t="shared" si="46"/>
        <v>0.38088297209658478</v>
      </c>
      <c r="AV90" s="342"/>
      <c r="AW90" s="24">
        <f t="shared" si="47"/>
        <v>9549.1358024691363</v>
      </c>
      <c r="AX90" s="352"/>
      <c r="AY90" s="10"/>
      <c r="AZ90" s="66">
        <f t="shared" si="41"/>
        <v>433387</v>
      </c>
      <c r="BA90" s="67"/>
      <c r="BB90" s="67">
        <v>21725064</v>
      </c>
      <c r="BC90" s="67"/>
      <c r="BD90" s="67">
        <f t="shared" si="48"/>
        <v>19044</v>
      </c>
      <c r="BE90" s="67"/>
      <c r="BF90" s="157">
        <f t="shared" si="42"/>
        <v>4.3942250229010098E-2</v>
      </c>
      <c r="BG90" s="67"/>
      <c r="BH90" s="184"/>
      <c r="BI90" s="67"/>
      <c r="BJ90" s="67"/>
      <c r="BK90" s="67"/>
      <c r="BL90" s="157"/>
      <c r="BM90" s="66">
        <f t="shared" si="49"/>
        <v>268210.66666666669</v>
      </c>
      <c r="BN90" s="67"/>
      <c r="BO90" s="67">
        <f t="shared" si="50"/>
        <v>1757377</v>
      </c>
      <c r="BP90" s="67"/>
      <c r="BQ90" s="74">
        <f t="shared" si="51"/>
        <v>8.0891683449125854E-2</v>
      </c>
      <c r="BR90" s="67"/>
      <c r="BS90" s="86"/>
      <c r="BT90" s="184"/>
      <c r="BU90" s="1"/>
      <c r="BV90">
        <f t="shared" si="53"/>
        <v>81</v>
      </c>
    </row>
    <row r="91" spans="2:74" x14ac:dyDescent="0.3">
      <c r="B91" s="172">
        <f t="shared" si="52"/>
        <v>43991</v>
      </c>
      <c r="C91" s="61"/>
      <c r="D91" s="17">
        <v>19056</v>
      </c>
      <c r="E91" s="16"/>
      <c r="F91" s="16"/>
      <c r="G91" s="16"/>
      <c r="H91" s="16">
        <f t="shared" si="36"/>
        <v>2049811</v>
      </c>
      <c r="I91" s="16"/>
      <c r="J91" s="38">
        <f t="shared" si="37"/>
        <v>9.3837021206398599E-3</v>
      </c>
      <c r="K91" s="16"/>
      <c r="L91" s="16"/>
      <c r="M91" s="16"/>
      <c r="N91" s="16">
        <f t="shared" si="43"/>
        <v>24997.695121951219</v>
      </c>
      <c r="O91" s="41"/>
      <c r="P91" s="17"/>
      <c r="Q91" s="16"/>
      <c r="R91" s="60"/>
      <c r="S91" s="16"/>
      <c r="T91" s="41"/>
      <c r="U91" s="10"/>
      <c r="V91" s="34">
        <v>1093</v>
      </c>
      <c r="W91" s="33"/>
      <c r="X91" s="33"/>
      <c r="Y91" s="33"/>
      <c r="Z91" s="33">
        <f t="shared" si="38"/>
        <v>116828</v>
      </c>
      <c r="AA91" s="33"/>
      <c r="AB91" s="46">
        <f t="shared" si="44"/>
        <v>5.6994522909673134E-2</v>
      </c>
      <c r="AC91" s="33"/>
      <c r="AD91" s="33">
        <f t="shared" si="45"/>
        <v>1424.7317073170732</v>
      </c>
      <c r="AE91" s="50"/>
      <c r="AF91" s="33"/>
      <c r="AG91" s="33"/>
      <c r="AH91" s="232"/>
      <c r="AI91" s="50"/>
      <c r="AJ91" s="10"/>
      <c r="AK91" s="23">
        <f t="shared" si="39"/>
        <v>15382</v>
      </c>
      <c r="AL91" s="24"/>
      <c r="AM91" s="24"/>
      <c r="AN91" s="24">
        <v>178263</v>
      </c>
      <c r="AO91" s="24">
        <v>788862</v>
      </c>
      <c r="AP91" s="24"/>
      <c r="AQ91" s="25">
        <f t="shared" si="40"/>
        <v>1.988674561721053E-2</v>
      </c>
      <c r="AR91" s="25"/>
      <c r="AS91" s="25"/>
      <c r="AT91" s="24"/>
      <c r="AU91" s="342">
        <f t="shared" si="46"/>
        <v>0.38484621265082486</v>
      </c>
      <c r="AV91" s="342"/>
      <c r="AW91" s="24">
        <f t="shared" si="47"/>
        <v>9620.2682926829275</v>
      </c>
      <c r="AX91" s="352"/>
      <c r="AY91" s="10"/>
      <c r="AZ91" s="66">
        <f t="shared" si="41"/>
        <v>415612</v>
      </c>
      <c r="BA91" s="67"/>
      <c r="BB91" s="67">
        <v>22140676</v>
      </c>
      <c r="BC91" s="67"/>
      <c r="BD91" s="67">
        <f t="shared" si="48"/>
        <v>19056</v>
      </c>
      <c r="BE91" s="67"/>
      <c r="BF91" s="157">
        <f t="shared" si="42"/>
        <v>4.5850456675938137E-2</v>
      </c>
      <c r="BG91" s="67"/>
      <c r="BH91" s="184"/>
      <c r="BI91" s="67"/>
      <c r="BJ91" s="67"/>
      <c r="BK91" s="67"/>
      <c r="BL91" s="157"/>
      <c r="BM91" s="66">
        <f t="shared" si="49"/>
        <v>270008.24390243902</v>
      </c>
      <c r="BN91" s="67"/>
      <c r="BO91" s="67">
        <f t="shared" si="50"/>
        <v>1776433</v>
      </c>
      <c r="BP91" s="67"/>
      <c r="BQ91" s="74">
        <f t="shared" si="51"/>
        <v>8.0233909750542398E-2</v>
      </c>
      <c r="BR91" s="67"/>
      <c r="BS91" s="86"/>
      <c r="BT91" s="184"/>
      <c r="BU91" s="1"/>
      <c r="BV91">
        <f t="shared" si="53"/>
        <v>82</v>
      </c>
    </row>
    <row r="92" spans="2:74" x14ac:dyDescent="0.3">
      <c r="B92" s="172">
        <f t="shared" si="52"/>
        <v>43992</v>
      </c>
      <c r="C92" s="61"/>
      <c r="D92" s="17">
        <v>20852</v>
      </c>
      <c r="E92" s="16"/>
      <c r="F92" s="16"/>
      <c r="G92" s="16"/>
      <c r="H92" s="16">
        <f t="shared" si="36"/>
        <v>2070663</v>
      </c>
      <c r="I92" s="16"/>
      <c r="J92" s="38">
        <f t="shared" si="37"/>
        <v>1.0172645185336599E-2</v>
      </c>
      <c r="K92" s="16"/>
      <c r="L92" s="16"/>
      <c r="M92" s="16"/>
      <c r="N92" s="16">
        <f t="shared" si="43"/>
        <v>24947.746987951807</v>
      </c>
      <c r="O92" s="41"/>
      <c r="P92" s="17"/>
      <c r="Q92" s="16"/>
      <c r="R92" s="60"/>
      <c r="S92" s="16"/>
      <c r="T92" s="41"/>
      <c r="U92" s="10"/>
      <c r="V92" s="34">
        <v>982</v>
      </c>
      <c r="W92" s="33"/>
      <c r="X92" s="33"/>
      <c r="Y92" s="33"/>
      <c r="Z92" s="33">
        <f t="shared" si="38"/>
        <v>117810</v>
      </c>
      <c r="AA92" s="33"/>
      <c r="AB92" s="46">
        <f t="shared" si="44"/>
        <v>5.6894820644402301E-2</v>
      </c>
      <c r="AC92" s="33"/>
      <c r="AD92" s="33">
        <f t="shared" si="45"/>
        <v>1419.3975903614457</v>
      </c>
      <c r="AE92" s="50"/>
      <c r="AF92" s="33"/>
      <c r="AG92" s="33"/>
      <c r="AH92" s="232"/>
      <c r="AI92" s="50"/>
      <c r="AJ92" s="10"/>
      <c r="AK92" s="23">
        <f t="shared" si="39"/>
        <v>19632</v>
      </c>
      <c r="AL92" s="24"/>
      <c r="AM92" s="24"/>
      <c r="AN92" s="24">
        <v>178263</v>
      </c>
      <c r="AO92" s="24">
        <v>808494</v>
      </c>
      <c r="AP92" s="24"/>
      <c r="AQ92" s="25">
        <f t="shared" si="40"/>
        <v>2.4886482046289467E-2</v>
      </c>
      <c r="AR92" s="25"/>
      <c r="AS92" s="25"/>
      <c r="AT92" s="24"/>
      <c r="AU92" s="342">
        <f t="shared" si="46"/>
        <v>0.39045175385854675</v>
      </c>
      <c r="AV92" s="342"/>
      <c r="AW92" s="24">
        <f t="shared" si="47"/>
        <v>9740.8915662650597</v>
      </c>
      <c r="AX92" s="352"/>
      <c r="AY92" s="10"/>
      <c r="AZ92" s="66">
        <f t="shared" si="41"/>
        <v>485082</v>
      </c>
      <c r="BA92" s="67"/>
      <c r="BB92" s="67">
        <v>22625758</v>
      </c>
      <c r="BC92" s="67"/>
      <c r="BD92" s="67">
        <f t="shared" si="48"/>
        <v>20852</v>
      </c>
      <c r="BE92" s="67"/>
      <c r="BF92" s="157">
        <f t="shared" si="42"/>
        <v>4.298654660449161E-2</v>
      </c>
      <c r="BG92" s="67"/>
      <c r="BH92" s="184"/>
      <c r="BI92" s="67"/>
      <c r="BJ92" s="67"/>
      <c r="BK92" s="67"/>
      <c r="BL92" s="157"/>
      <c r="BM92" s="66">
        <f t="shared" si="49"/>
        <v>272599.49397590361</v>
      </c>
      <c r="BN92" s="67"/>
      <c r="BO92" s="67">
        <f t="shared" si="50"/>
        <v>1797285</v>
      </c>
      <c r="BP92" s="67"/>
      <c r="BQ92" s="74">
        <f t="shared" si="51"/>
        <v>7.9435349746072595E-2</v>
      </c>
      <c r="BR92" s="67"/>
      <c r="BS92" s="86"/>
      <c r="BT92" s="184"/>
      <c r="BU92" s="1"/>
      <c r="BV92">
        <f t="shared" si="53"/>
        <v>83</v>
      </c>
    </row>
    <row r="93" spans="2:74" x14ac:dyDescent="0.3">
      <c r="B93" s="172">
        <f t="shared" si="52"/>
        <v>43993</v>
      </c>
      <c r="C93" s="61"/>
      <c r="D93" s="17">
        <v>23300</v>
      </c>
      <c r="E93" s="16"/>
      <c r="F93" s="16"/>
      <c r="G93" s="16"/>
      <c r="H93" s="16">
        <f t="shared" si="36"/>
        <v>2093963</v>
      </c>
      <c r="I93" s="16"/>
      <c r="J93" s="38">
        <f t="shared" si="37"/>
        <v>1.1252434606693605E-2</v>
      </c>
      <c r="K93" s="16"/>
      <c r="L93" s="16"/>
      <c r="M93" s="16"/>
      <c r="N93" s="16">
        <f t="shared" si="43"/>
        <v>24928.130952380954</v>
      </c>
      <c r="O93" s="41"/>
      <c r="P93" s="17"/>
      <c r="Q93" s="16"/>
      <c r="R93" s="60"/>
      <c r="S93" s="16"/>
      <c r="T93" s="41"/>
      <c r="U93" s="10"/>
      <c r="V93" s="34">
        <v>904</v>
      </c>
      <c r="W93" s="33"/>
      <c r="X93" s="33"/>
      <c r="Y93" s="33"/>
      <c r="Z93" s="33">
        <f t="shared" si="38"/>
        <v>118714</v>
      </c>
      <c r="AA93" s="33"/>
      <c r="AB93" s="46">
        <f t="shared" si="44"/>
        <v>5.669345637912418E-2</v>
      </c>
      <c r="AC93" s="33"/>
      <c r="AD93" s="33">
        <f t="shared" si="45"/>
        <v>1413.2619047619048</v>
      </c>
      <c r="AE93" s="50"/>
      <c r="AF93" s="33"/>
      <c r="AG93" s="33"/>
      <c r="AH93" s="232"/>
      <c r="AI93" s="50"/>
      <c r="AJ93" s="10"/>
      <c r="AK93" s="23">
        <f t="shared" si="39"/>
        <v>5331</v>
      </c>
      <c r="AL93" s="24"/>
      <c r="AM93" s="24"/>
      <c r="AN93" s="24">
        <v>178263</v>
      </c>
      <c r="AO93" s="24">
        <v>813825</v>
      </c>
      <c r="AP93" s="24"/>
      <c r="AQ93" s="25">
        <f t="shared" si="40"/>
        <v>6.5937409554059773E-3</v>
      </c>
      <c r="AR93" s="25"/>
      <c r="AS93" s="25"/>
      <c r="AT93" s="24"/>
      <c r="AU93" s="342">
        <f t="shared" si="46"/>
        <v>0.38865299912176099</v>
      </c>
      <c r="AV93" s="342"/>
      <c r="AW93" s="24">
        <f t="shared" si="47"/>
        <v>9688.3928571428569</v>
      </c>
      <c r="AX93" s="352"/>
      <c r="AY93" s="10"/>
      <c r="AZ93" s="66">
        <f t="shared" si="41"/>
        <v>447712</v>
      </c>
      <c r="BA93" s="67"/>
      <c r="BB93" s="67">
        <v>23073470</v>
      </c>
      <c r="BC93" s="67"/>
      <c r="BD93" s="67">
        <f t="shared" si="48"/>
        <v>23300</v>
      </c>
      <c r="BE93" s="67"/>
      <c r="BF93" s="157">
        <f t="shared" si="42"/>
        <v>5.2042384389964974E-2</v>
      </c>
      <c r="BG93" s="67"/>
      <c r="BH93" s="184"/>
      <c r="BI93" s="67"/>
      <c r="BJ93" s="67"/>
      <c r="BK93" s="67"/>
      <c r="BL93" s="157"/>
      <c r="BM93" s="66">
        <f t="shared" si="49"/>
        <v>274684.16666666669</v>
      </c>
      <c r="BN93" s="67"/>
      <c r="BO93" s="67">
        <f t="shared" si="50"/>
        <v>1820585</v>
      </c>
      <c r="BP93" s="67"/>
      <c r="BQ93" s="74">
        <f t="shared" si="51"/>
        <v>7.8903823308761098E-2</v>
      </c>
      <c r="BR93" s="67"/>
      <c r="BS93" s="86"/>
      <c r="BT93" s="184"/>
      <c r="BU93" s="1"/>
      <c r="BV93">
        <f t="shared" si="53"/>
        <v>84</v>
      </c>
    </row>
    <row r="94" spans="2:74" x14ac:dyDescent="0.3">
      <c r="B94" s="172">
        <f t="shared" si="52"/>
        <v>43994</v>
      </c>
      <c r="C94" s="61"/>
      <c r="D94" s="17">
        <v>27221</v>
      </c>
      <c r="E94" s="16"/>
      <c r="F94" s="16"/>
      <c r="G94" s="16"/>
      <c r="H94" s="16">
        <f t="shared" si="36"/>
        <v>2121184</v>
      </c>
      <c r="I94" s="16"/>
      <c r="J94" s="38">
        <f t="shared" si="37"/>
        <v>1.2999752144617646E-2</v>
      </c>
      <c r="K94" s="16"/>
      <c r="L94" s="16"/>
      <c r="M94" s="16"/>
      <c r="N94" s="16">
        <f t="shared" si="43"/>
        <v>24955.105882352942</v>
      </c>
      <c r="O94" s="41"/>
      <c r="P94" s="17"/>
      <c r="Q94" s="16"/>
      <c r="R94" s="60"/>
      <c r="S94" s="16"/>
      <c r="T94" s="41"/>
      <c r="U94" s="10"/>
      <c r="V94" s="34">
        <v>791</v>
      </c>
      <c r="W94" s="33"/>
      <c r="X94" s="33"/>
      <c r="Y94" s="33"/>
      <c r="Z94" s="33">
        <f t="shared" si="38"/>
        <v>119505</v>
      </c>
      <c r="AA94" s="33"/>
      <c r="AB94" s="46">
        <f t="shared" si="44"/>
        <v>5.6338818320334307E-2</v>
      </c>
      <c r="AC94" s="33"/>
      <c r="AD94" s="33">
        <f t="shared" si="45"/>
        <v>1405.9411764705883</v>
      </c>
      <c r="AE94" s="50"/>
      <c r="AF94" s="33"/>
      <c r="AG94" s="33"/>
      <c r="AH94" s="232"/>
      <c r="AI94" s="50"/>
      <c r="AJ94" s="10"/>
      <c r="AK94" s="23">
        <f t="shared" si="39"/>
        <v>28109</v>
      </c>
      <c r="AL94" s="24"/>
      <c r="AM94" s="24"/>
      <c r="AN94" s="24">
        <v>178263</v>
      </c>
      <c r="AO94" s="24">
        <v>841934</v>
      </c>
      <c r="AP94" s="24"/>
      <c r="AQ94" s="25">
        <f t="shared" si="40"/>
        <v>3.4539366571437351E-2</v>
      </c>
      <c r="AR94" s="25"/>
      <c r="AS94" s="25"/>
      <c r="AT94" s="24"/>
      <c r="AU94" s="342">
        <f t="shared" si="46"/>
        <v>0.39691700484257847</v>
      </c>
      <c r="AV94" s="342"/>
      <c r="AW94" s="24">
        <f t="shared" si="47"/>
        <v>9905.105882352942</v>
      </c>
      <c r="AX94" s="352"/>
      <c r="AY94" s="10"/>
      <c r="AZ94" s="66">
        <f t="shared" si="41"/>
        <v>718721</v>
      </c>
      <c r="BA94" s="67"/>
      <c r="BB94" s="67">
        <v>23792191</v>
      </c>
      <c r="BC94" s="67"/>
      <c r="BD94" s="67">
        <f t="shared" si="48"/>
        <v>27221</v>
      </c>
      <c r="BE94" s="67"/>
      <c r="BF94" s="157">
        <f t="shared" si="42"/>
        <v>3.7874223794768763E-2</v>
      </c>
      <c r="BG94" s="67"/>
      <c r="BH94" s="184"/>
      <c r="BI94" s="67"/>
      <c r="BJ94" s="67"/>
      <c r="BK94" s="67"/>
      <c r="BL94" s="157"/>
      <c r="BM94" s="66">
        <f t="shared" si="49"/>
        <v>279908.12941176473</v>
      </c>
      <c r="BN94" s="67"/>
      <c r="BO94" s="67">
        <f t="shared" si="50"/>
        <v>1847806</v>
      </c>
      <c r="BP94" s="67"/>
      <c r="BQ94" s="74">
        <f t="shared" si="51"/>
        <v>7.7664389967279604E-2</v>
      </c>
      <c r="BR94" s="67"/>
      <c r="BS94" s="86"/>
      <c r="BT94" s="184"/>
      <c r="BU94" s="1"/>
      <c r="BV94">
        <f t="shared" si="53"/>
        <v>85</v>
      </c>
    </row>
    <row r="95" spans="2:74" x14ac:dyDescent="0.3">
      <c r="B95" s="476">
        <f t="shared" si="52"/>
        <v>43995</v>
      </c>
      <c r="C95" s="61"/>
      <c r="D95" s="17">
        <v>25302</v>
      </c>
      <c r="E95" s="16"/>
      <c r="F95" s="16"/>
      <c r="G95" s="16"/>
      <c r="H95" s="16">
        <f t="shared" si="36"/>
        <v>2146486</v>
      </c>
      <c r="I95" s="16"/>
      <c r="J95" s="38">
        <f t="shared" si="37"/>
        <v>1.1928243848718451E-2</v>
      </c>
      <c r="K95" s="16"/>
      <c r="L95" s="16"/>
      <c r="M95" s="16"/>
      <c r="N95" s="16">
        <f t="shared" si="43"/>
        <v>24959.139534883721</v>
      </c>
      <c r="O95" s="41"/>
      <c r="P95" s="17"/>
      <c r="Q95" s="16"/>
      <c r="R95" s="60"/>
      <c r="S95" s="16"/>
      <c r="T95" s="41"/>
      <c r="U95" s="10"/>
      <c r="V95" s="34">
        <v>702</v>
      </c>
      <c r="W95" s="33"/>
      <c r="X95" s="33"/>
      <c r="Y95" s="33"/>
      <c r="Z95" s="33">
        <f t="shared" si="38"/>
        <v>120207</v>
      </c>
      <c r="AA95" s="33"/>
      <c r="AB95" s="46">
        <f t="shared" si="44"/>
        <v>5.6001762881285971E-2</v>
      </c>
      <c r="AC95" s="33"/>
      <c r="AD95" s="33">
        <f t="shared" si="45"/>
        <v>1397.7558139534883</v>
      </c>
      <c r="AE95" s="50"/>
      <c r="AF95" s="33"/>
      <c r="AG95" s="33"/>
      <c r="AH95" s="232"/>
      <c r="AI95" s="50"/>
      <c r="AJ95" s="10"/>
      <c r="AK95" s="23">
        <f t="shared" si="39"/>
        <v>17978</v>
      </c>
      <c r="AL95" s="24"/>
      <c r="AM95" s="24"/>
      <c r="AN95" s="24">
        <v>178263</v>
      </c>
      <c r="AO95" s="24">
        <v>859912</v>
      </c>
      <c r="AP95" s="24"/>
      <c r="AQ95" s="25">
        <f t="shared" si="40"/>
        <v>2.1353217710651903E-2</v>
      </c>
      <c r="AR95" s="25"/>
      <c r="AS95" s="25"/>
      <c r="AT95" s="24"/>
      <c r="AU95" s="342">
        <f t="shared" si="46"/>
        <v>0.40061384048160575</v>
      </c>
      <c r="AV95" s="342"/>
      <c r="AW95" s="24">
        <f t="shared" si="47"/>
        <v>9998.9767441860458</v>
      </c>
      <c r="AX95" s="352"/>
      <c r="AY95" s="10"/>
      <c r="AZ95" s="66">
        <f t="shared" si="41"/>
        <v>500980</v>
      </c>
      <c r="BA95" s="67"/>
      <c r="BB95" s="67">
        <v>24293171</v>
      </c>
      <c r="BC95" s="67"/>
      <c r="BD95" s="67">
        <f t="shared" si="48"/>
        <v>25302</v>
      </c>
      <c r="BE95" s="67"/>
      <c r="BF95" s="157">
        <f t="shared" si="42"/>
        <v>5.0505010180047105E-2</v>
      </c>
      <c r="BG95" s="67"/>
      <c r="BH95" s="184"/>
      <c r="BI95" s="67"/>
      <c r="BJ95" s="67"/>
      <c r="BK95" s="67"/>
      <c r="BL95" s="157"/>
      <c r="BM95" s="66">
        <f t="shared" si="49"/>
        <v>282478.73255813954</v>
      </c>
      <c r="BN95" s="67"/>
      <c r="BO95" s="67">
        <f t="shared" si="50"/>
        <v>1873108</v>
      </c>
      <c r="BP95" s="67"/>
      <c r="BQ95" s="74">
        <f t="shared" si="51"/>
        <v>7.7104302274906805E-2</v>
      </c>
      <c r="BR95" s="67"/>
      <c r="BS95" s="86"/>
      <c r="BT95" s="184"/>
      <c r="BU95" s="1"/>
      <c r="BV95">
        <f t="shared" si="53"/>
        <v>86</v>
      </c>
    </row>
    <row r="96" spans="2:74" x14ac:dyDescent="0.3">
      <c r="B96" s="391">
        <f t="shared" si="52"/>
        <v>43996</v>
      </c>
      <c r="C96" s="61"/>
      <c r="D96" s="17">
        <v>20004</v>
      </c>
      <c r="E96" s="16"/>
      <c r="F96" s="16"/>
      <c r="G96" s="16"/>
      <c r="H96" s="16">
        <f t="shared" si="36"/>
        <v>2166490</v>
      </c>
      <c r="I96" s="16"/>
      <c r="J96" s="38">
        <f t="shared" si="37"/>
        <v>9.3194178764734546E-3</v>
      </c>
      <c r="K96" s="16"/>
      <c r="L96" s="16"/>
      <c r="M96" s="16"/>
      <c r="N96" s="16">
        <f t="shared" si="43"/>
        <v>24902.183908045976</v>
      </c>
      <c r="O96" s="41"/>
      <c r="P96" s="17">
        <f>SUM(D90:D96)</f>
        <v>154779</v>
      </c>
      <c r="Q96" s="16"/>
      <c r="R96" s="60">
        <f>+(P96-P89)/P89</f>
        <v>8.4307912825357535E-3</v>
      </c>
      <c r="S96" s="16"/>
      <c r="T96" s="41"/>
      <c r="U96" s="392"/>
      <c r="V96" s="34">
        <v>331</v>
      </c>
      <c r="W96" s="33"/>
      <c r="X96" s="33"/>
      <c r="Y96" s="33"/>
      <c r="Z96" s="33">
        <f t="shared" si="38"/>
        <v>120538</v>
      </c>
      <c r="AA96" s="33"/>
      <c r="AB96" s="46">
        <f t="shared" si="44"/>
        <v>5.5637459669788461E-2</v>
      </c>
      <c r="AC96" s="33"/>
      <c r="AD96" s="33">
        <f t="shared" si="45"/>
        <v>1385.4942528735633</v>
      </c>
      <c r="AE96" s="50"/>
      <c r="AF96" s="33">
        <f>SUM(V90:V96)</f>
        <v>5389</v>
      </c>
      <c r="AG96" s="33"/>
      <c r="AH96" s="232">
        <f>+(AF96-AF89)/AF89</f>
        <v>-0.13094662151265926</v>
      </c>
      <c r="AI96" s="50"/>
      <c r="AJ96" s="392"/>
      <c r="AK96" s="23">
        <f t="shared" si="39"/>
        <v>7937</v>
      </c>
      <c r="AL96" s="24"/>
      <c r="AM96" s="24"/>
      <c r="AN96" s="24">
        <v>178263</v>
      </c>
      <c r="AO96" s="24">
        <v>867849</v>
      </c>
      <c r="AP96" s="24"/>
      <c r="AQ96" s="25">
        <f t="shared" si="40"/>
        <v>9.2300142340146427E-3</v>
      </c>
      <c r="AR96" s="25"/>
      <c r="AS96" s="25"/>
      <c r="AT96" s="24"/>
      <c r="AU96" s="342">
        <f t="shared" si="46"/>
        <v>0.40057835485047244</v>
      </c>
      <c r="AV96" s="342"/>
      <c r="AW96" s="24">
        <f t="shared" si="47"/>
        <v>9975.2758620689656</v>
      </c>
      <c r="AX96" s="352"/>
      <c r="AY96" s="392"/>
      <c r="AZ96" s="66">
        <f t="shared" si="41"/>
        <v>497760</v>
      </c>
      <c r="BA96" s="67"/>
      <c r="BB96" s="67">
        <v>24790931</v>
      </c>
      <c r="BC96" s="67"/>
      <c r="BD96" s="67">
        <f t="shared" si="48"/>
        <v>20004</v>
      </c>
      <c r="BE96" s="67"/>
      <c r="BF96" s="157">
        <f t="shared" si="42"/>
        <v>4.0188042430086786E-2</v>
      </c>
      <c r="BG96" s="67"/>
      <c r="BH96" s="184"/>
      <c r="BI96" s="67"/>
      <c r="BJ96" s="67">
        <f t="shared" ref="BJ96" si="54">SUM(AZ90:AZ96)</f>
        <v>3499254</v>
      </c>
      <c r="BK96" s="67"/>
      <c r="BL96" s="157">
        <f t="shared" ref="BL96" si="55">+P96/BJ96</f>
        <v>4.4231999163250227E-2</v>
      </c>
      <c r="BM96" s="66">
        <f t="shared" si="49"/>
        <v>284953.22988505749</v>
      </c>
      <c r="BN96" s="67"/>
      <c r="BO96" s="67">
        <f t="shared" si="50"/>
        <v>1893112</v>
      </c>
      <c r="BP96" s="67"/>
      <c r="BQ96" s="74">
        <f t="shared" si="51"/>
        <v>7.636308616243577E-2</v>
      </c>
      <c r="BR96" s="67"/>
      <c r="BS96" s="86"/>
      <c r="BT96" s="184"/>
      <c r="BU96" s="1"/>
      <c r="BV96">
        <f t="shared" si="53"/>
        <v>87</v>
      </c>
    </row>
    <row r="97" spans="2:74" x14ac:dyDescent="0.3">
      <c r="B97" s="172">
        <f t="shared" si="52"/>
        <v>43997</v>
      </c>
      <c r="C97" s="61"/>
      <c r="D97" s="17">
        <v>20722</v>
      </c>
      <c r="E97" s="16"/>
      <c r="F97" s="16"/>
      <c r="G97" s="16"/>
      <c r="H97" s="16">
        <f t="shared" ref="H97:H108" si="56">+H96+D97</f>
        <v>2187212</v>
      </c>
      <c r="I97" s="16"/>
      <c r="J97" s="38">
        <f t="shared" ref="J97:J108" si="57">+D97/H96</f>
        <v>9.5647798974377914E-3</v>
      </c>
      <c r="K97" s="16"/>
      <c r="L97" s="16"/>
      <c r="M97" s="16"/>
      <c r="N97" s="16">
        <f t="shared" ref="N97:N108" si="58">+H97/BV97</f>
        <v>24854.68181818182</v>
      </c>
      <c r="O97" s="41"/>
      <c r="P97" s="17"/>
      <c r="Q97" s="16"/>
      <c r="R97" s="60"/>
      <c r="S97" s="16"/>
      <c r="T97" s="41"/>
      <c r="U97" s="10"/>
      <c r="V97" s="34">
        <v>425</v>
      </c>
      <c r="W97" s="33"/>
      <c r="X97" s="33"/>
      <c r="Y97" s="33"/>
      <c r="Z97" s="33">
        <f t="shared" ref="Z97:Z108" si="59">+Z96+V97</f>
        <v>120963</v>
      </c>
      <c r="AA97" s="33"/>
      <c r="AB97" s="46">
        <f t="shared" ref="AB97:AB108" si="60">+Z97/H97</f>
        <v>5.5304652681130134E-2</v>
      </c>
      <c r="AC97" s="33"/>
      <c r="AD97" s="33">
        <f t="shared" ref="AD97:AD108" si="61">+Z97/BV97</f>
        <v>1374.5795454545455</v>
      </c>
      <c r="AE97" s="50"/>
      <c r="AF97" s="33"/>
      <c r="AG97" s="33"/>
      <c r="AH97" s="232"/>
      <c r="AI97" s="50"/>
      <c r="AJ97" s="10"/>
      <c r="AK97" s="23">
        <f t="shared" ref="AK97:AK108" si="62">+AO97-AO96</f>
        <v>22017</v>
      </c>
      <c r="AL97" s="24"/>
      <c r="AM97" s="24"/>
      <c r="AN97" s="24">
        <v>178263</v>
      </c>
      <c r="AO97" s="24">
        <v>889866</v>
      </c>
      <c r="AP97" s="24"/>
      <c r="AQ97" s="25">
        <f t="shared" ref="AQ97:AQ108" si="63">+AK97/AO96</f>
        <v>2.5369620751997179E-2</v>
      </c>
      <c r="AR97" s="25"/>
      <c r="AS97" s="25"/>
      <c r="AT97" s="24"/>
      <c r="AU97" s="342">
        <f t="shared" ref="AU97:AU108" si="64">+AO97/H97</f>
        <v>0.40684945035049186</v>
      </c>
      <c r="AV97" s="342"/>
      <c r="AW97" s="24">
        <f t="shared" ref="AW97:AW108" si="65">+AO97/BV97</f>
        <v>10112.113636363636</v>
      </c>
      <c r="AX97" s="352"/>
      <c r="AY97" s="10"/>
      <c r="AZ97" s="66">
        <f t="shared" ref="AZ97:AZ108" si="66">+BB97-BB96</f>
        <v>468146</v>
      </c>
      <c r="BA97" s="67"/>
      <c r="BB97" s="67">
        <v>25259077</v>
      </c>
      <c r="BC97" s="67"/>
      <c r="BD97" s="67">
        <f t="shared" ref="BD97:BD108" si="67">+D97</f>
        <v>20722</v>
      </c>
      <c r="BE97" s="67"/>
      <c r="BF97" s="157">
        <f t="shared" ref="BF97:BF108" si="68">+BD97/AZ97</f>
        <v>4.4263968932768835E-2</v>
      </c>
      <c r="BG97" s="67"/>
      <c r="BH97" s="184"/>
      <c r="BI97" s="67"/>
      <c r="BJ97" s="67"/>
      <c r="BK97" s="67"/>
      <c r="BL97" s="157"/>
      <c r="BM97" s="66">
        <f t="shared" ref="BM97:BM108" si="69">+BB97/BV97</f>
        <v>287034.96590909088</v>
      </c>
      <c r="BN97" s="67"/>
      <c r="BO97" s="67">
        <f t="shared" ref="BO97:BO108" si="70">+BO96+BD97</f>
        <v>1913834</v>
      </c>
      <c r="BP97" s="67"/>
      <c r="BQ97" s="74">
        <f t="shared" ref="BQ97:BQ108" si="71">+BO97/BB97</f>
        <v>7.5768168409320741E-2</v>
      </c>
      <c r="BR97" s="67"/>
      <c r="BS97" s="86"/>
      <c r="BT97" s="184"/>
      <c r="BU97" s="1"/>
      <c r="BV97">
        <f t="shared" si="53"/>
        <v>88</v>
      </c>
    </row>
    <row r="98" spans="2:74" x14ac:dyDescent="0.3">
      <c r="B98" s="172">
        <f t="shared" si="52"/>
        <v>43998</v>
      </c>
      <c r="C98" s="61"/>
      <c r="D98" s="17">
        <v>25294</v>
      </c>
      <c r="E98" s="16"/>
      <c r="F98" s="16"/>
      <c r="G98" s="16"/>
      <c r="H98" s="16">
        <f t="shared" si="56"/>
        <v>2212506</v>
      </c>
      <c r="I98" s="16"/>
      <c r="J98" s="38">
        <f t="shared" si="57"/>
        <v>1.1564493976807004E-2</v>
      </c>
      <c r="K98" s="16"/>
      <c r="L98" s="16"/>
      <c r="M98" s="16"/>
      <c r="N98" s="16">
        <f t="shared" si="58"/>
        <v>24859.617977528091</v>
      </c>
      <c r="O98" s="41"/>
      <c r="P98" s="17"/>
      <c r="Q98" s="16"/>
      <c r="R98" s="60"/>
      <c r="S98" s="16"/>
      <c r="T98" s="41"/>
      <c r="U98" s="10"/>
      <c r="V98" s="34">
        <v>846</v>
      </c>
      <c r="W98" s="33"/>
      <c r="X98" s="33"/>
      <c r="Y98" s="33"/>
      <c r="Z98" s="33">
        <f t="shared" si="59"/>
        <v>121809</v>
      </c>
      <c r="AA98" s="33"/>
      <c r="AB98" s="46">
        <f t="shared" si="60"/>
        <v>5.5054765953177077E-2</v>
      </c>
      <c r="AC98" s="33"/>
      <c r="AD98" s="33">
        <f t="shared" si="61"/>
        <v>1368.6404494382023</v>
      </c>
      <c r="AE98" s="50"/>
      <c r="AF98" s="33"/>
      <c r="AG98" s="33"/>
      <c r="AH98" s="232"/>
      <c r="AI98" s="50"/>
      <c r="AJ98" s="10"/>
      <c r="AK98" s="23">
        <f t="shared" si="62"/>
        <v>13175</v>
      </c>
      <c r="AL98" s="24"/>
      <c r="AM98" s="24"/>
      <c r="AN98" s="24">
        <v>178263</v>
      </c>
      <c r="AO98" s="24">
        <v>903041</v>
      </c>
      <c r="AP98" s="24"/>
      <c r="AQ98" s="25">
        <f t="shared" si="63"/>
        <v>1.4805599944261271E-2</v>
      </c>
      <c r="AR98" s="25"/>
      <c r="AS98" s="25"/>
      <c r="AT98" s="24"/>
      <c r="AU98" s="342">
        <f t="shared" si="64"/>
        <v>0.40815301743814481</v>
      </c>
      <c r="AV98" s="342"/>
      <c r="AW98" s="24">
        <f t="shared" si="65"/>
        <v>10146.528089887641</v>
      </c>
      <c r="AX98" s="352"/>
      <c r="AY98" s="10"/>
      <c r="AZ98" s="66">
        <f t="shared" si="66"/>
        <v>470291</v>
      </c>
      <c r="BA98" s="67"/>
      <c r="BB98" s="67">
        <v>25729368</v>
      </c>
      <c r="BC98" s="67"/>
      <c r="BD98" s="67">
        <f t="shared" si="67"/>
        <v>25294</v>
      </c>
      <c r="BE98" s="67"/>
      <c r="BF98" s="157">
        <f t="shared" si="68"/>
        <v>5.3783721142866864E-2</v>
      </c>
      <c r="BG98" s="67"/>
      <c r="BH98" s="184"/>
      <c r="BI98" s="67"/>
      <c r="BJ98" s="67"/>
      <c r="BK98" s="67"/>
      <c r="BL98" s="157"/>
      <c r="BM98" s="66">
        <f t="shared" si="69"/>
        <v>289094.02247191011</v>
      </c>
      <c r="BN98" s="67"/>
      <c r="BO98" s="67">
        <f t="shared" si="70"/>
        <v>1939128</v>
      </c>
      <c r="BP98" s="67"/>
      <c r="BQ98" s="74">
        <f t="shared" si="71"/>
        <v>7.5366328469475038E-2</v>
      </c>
      <c r="BR98" s="67"/>
      <c r="BS98" s="86"/>
      <c r="BT98" s="184"/>
      <c r="BU98" s="1"/>
      <c r="BV98">
        <f t="shared" si="53"/>
        <v>89</v>
      </c>
    </row>
    <row r="99" spans="2:74" x14ac:dyDescent="0.3">
      <c r="B99" s="172">
        <f t="shared" si="52"/>
        <v>43999</v>
      </c>
      <c r="C99" s="61"/>
      <c r="D99" s="17">
        <v>26071</v>
      </c>
      <c r="E99" s="16"/>
      <c r="F99" s="16"/>
      <c r="G99" s="16"/>
      <c r="H99" s="16">
        <f t="shared" si="56"/>
        <v>2238577</v>
      </c>
      <c r="I99" s="16"/>
      <c r="J99" s="38">
        <f t="shared" si="57"/>
        <v>1.1783470869683517E-2</v>
      </c>
      <c r="K99" s="16"/>
      <c r="L99" s="16"/>
      <c r="M99" s="16"/>
      <c r="N99" s="16">
        <f t="shared" si="58"/>
        <v>24873.077777777777</v>
      </c>
      <c r="O99" s="41"/>
      <c r="P99" s="17"/>
      <c r="Q99" s="16"/>
      <c r="R99" s="60"/>
      <c r="S99" s="16"/>
      <c r="T99" s="41"/>
      <c r="U99" s="10"/>
      <c r="V99" s="34">
        <v>809</v>
      </c>
      <c r="W99" s="33"/>
      <c r="X99" s="33"/>
      <c r="Y99" s="33"/>
      <c r="Z99" s="33">
        <f t="shared" si="59"/>
        <v>122618</v>
      </c>
      <c r="AA99" s="33"/>
      <c r="AB99" s="46">
        <f t="shared" si="60"/>
        <v>5.4774975352645902E-2</v>
      </c>
      <c r="AC99" s="33"/>
      <c r="AD99" s="33">
        <f t="shared" si="61"/>
        <v>1362.4222222222222</v>
      </c>
      <c r="AE99" s="50"/>
      <c r="AF99" s="33"/>
      <c r="AG99" s="33"/>
      <c r="AH99" s="232"/>
      <c r="AI99" s="50"/>
      <c r="AJ99" s="10"/>
      <c r="AK99" s="23">
        <f t="shared" si="62"/>
        <v>15755</v>
      </c>
      <c r="AL99" s="24"/>
      <c r="AM99" s="24"/>
      <c r="AN99" s="24">
        <v>178263</v>
      </c>
      <c r="AO99" s="24">
        <v>918796</v>
      </c>
      <c r="AP99" s="24"/>
      <c r="AQ99" s="25">
        <f t="shared" si="63"/>
        <v>1.7446605414372107E-2</v>
      </c>
      <c r="AR99" s="25"/>
      <c r="AS99" s="25"/>
      <c r="AT99" s="24"/>
      <c r="AU99" s="342">
        <f t="shared" si="64"/>
        <v>0.41043752348031809</v>
      </c>
      <c r="AV99" s="342"/>
      <c r="AW99" s="24">
        <f t="shared" si="65"/>
        <v>10208.844444444445</v>
      </c>
      <c r="AX99" s="352"/>
      <c r="AY99" s="10"/>
      <c r="AZ99" s="66">
        <f t="shared" si="66"/>
        <v>514443</v>
      </c>
      <c r="BA99" s="67"/>
      <c r="BB99" s="67">
        <v>26243811</v>
      </c>
      <c r="BC99" s="67"/>
      <c r="BD99" s="67">
        <f t="shared" si="67"/>
        <v>26071</v>
      </c>
      <c r="BE99" s="67"/>
      <c r="BF99" s="157">
        <f t="shared" si="68"/>
        <v>5.0678112055174238E-2</v>
      </c>
      <c r="BG99" s="67"/>
      <c r="BH99" s="184"/>
      <c r="BI99" s="67"/>
      <c r="BJ99" s="67"/>
      <c r="BK99" s="67"/>
      <c r="BL99" s="157"/>
      <c r="BM99" s="66">
        <f t="shared" si="69"/>
        <v>291597.90000000002</v>
      </c>
      <c r="BN99" s="67"/>
      <c r="BO99" s="67">
        <f t="shared" si="70"/>
        <v>1965199</v>
      </c>
      <c r="BP99" s="67"/>
      <c r="BQ99" s="74">
        <f t="shared" si="71"/>
        <v>7.4882378934980134E-2</v>
      </c>
      <c r="BR99" s="67"/>
      <c r="BS99" s="86"/>
      <c r="BT99" s="184"/>
      <c r="BU99" s="1"/>
      <c r="BV99">
        <f t="shared" si="53"/>
        <v>90</v>
      </c>
    </row>
    <row r="100" spans="2:74" x14ac:dyDescent="0.3">
      <c r="B100" s="172">
        <f t="shared" si="52"/>
        <v>44000</v>
      </c>
      <c r="C100" s="61"/>
      <c r="D100" s="17">
        <v>27924</v>
      </c>
      <c r="E100" s="16"/>
      <c r="F100" s="16"/>
      <c r="G100" s="16"/>
      <c r="H100" s="16">
        <f t="shared" si="56"/>
        <v>2266501</v>
      </c>
      <c r="I100" s="16"/>
      <c r="J100" s="38">
        <f t="shared" si="57"/>
        <v>1.2473995757126067E-2</v>
      </c>
      <c r="K100" s="16"/>
      <c r="L100" s="16"/>
      <c r="M100" s="16"/>
      <c r="N100" s="16">
        <f t="shared" si="58"/>
        <v>24906.604395604394</v>
      </c>
      <c r="O100" s="41"/>
      <c r="P100" s="17"/>
      <c r="Q100" s="16"/>
      <c r="R100" s="60"/>
      <c r="S100" s="16"/>
      <c r="T100" s="41"/>
      <c r="U100" s="10"/>
      <c r="V100" s="34">
        <v>747</v>
      </c>
      <c r="W100" s="33"/>
      <c r="X100" s="33"/>
      <c r="Y100" s="33"/>
      <c r="Z100" s="33">
        <f t="shared" si="59"/>
        <v>123365</v>
      </c>
      <c r="AA100" s="33"/>
      <c r="AB100" s="46">
        <f t="shared" si="60"/>
        <v>5.4429713465822427E-2</v>
      </c>
      <c r="AC100" s="33"/>
      <c r="AD100" s="33">
        <f t="shared" si="61"/>
        <v>1355.6593406593406</v>
      </c>
      <c r="AE100" s="50"/>
      <c r="AF100" s="33"/>
      <c r="AG100" s="33"/>
      <c r="AH100" s="232"/>
      <c r="AI100" s="50"/>
      <c r="AJ100" s="10"/>
      <c r="AK100" s="23">
        <f t="shared" si="62"/>
        <v>12198</v>
      </c>
      <c r="AL100" s="24"/>
      <c r="AM100" s="24"/>
      <c r="AN100" s="24">
        <v>178263</v>
      </c>
      <c r="AO100" s="24">
        <v>930994</v>
      </c>
      <c r="AP100" s="24"/>
      <c r="AQ100" s="25">
        <f t="shared" si="63"/>
        <v>1.3276069987244177E-2</v>
      </c>
      <c r="AR100" s="25"/>
      <c r="AS100" s="25"/>
      <c r="AT100" s="24"/>
      <c r="AU100" s="342">
        <f t="shared" si="64"/>
        <v>0.41076266897742381</v>
      </c>
      <c r="AV100" s="342"/>
      <c r="AW100" s="24">
        <f t="shared" si="65"/>
        <v>10230.703296703297</v>
      </c>
      <c r="AX100" s="352"/>
      <c r="AY100" s="10"/>
      <c r="AZ100" s="66">
        <f t="shared" si="66"/>
        <v>479368</v>
      </c>
      <c r="BA100" s="67"/>
      <c r="BB100" s="67">
        <v>26723179</v>
      </c>
      <c r="BC100" s="67"/>
      <c r="BD100" s="67">
        <f t="shared" si="67"/>
        <v>27924</v>
      </c>
      <c r="BE100" s="67"/>
      <c r="BF100" s="157">
        <f t="shared" si="68"/>
        <v>5.825169806912435E-2</v>
      </c>
      <c r="BG100" s="67"/>
      <c r="BH100" s="184"/>
      <c r="BI100" s="67"/>
      <c r="BJ100" s="67"/>
      <c r="BK100" s="67"/>
      <c r="BL100" s="157"/>
      <c r="BM100" s="66">
        <f t="shared" si="69"/>
        <v>293661.30769230769</v>
      </c>
      <c r="BN100" s="67"/>
      <c r="BO100" s="67">
        <f t="shared" si="70"/>
        <v>1993123</v>
      </c>
      <c r="BP100" s="67"/>
      <c r="BQ100" s="74">
        <f t="shared" si="71"/>
        <v>7.4584053042491688E-2</v>
      </c>
      <c r="BR100" s="67"/>
      <c r="BS100" s="86"/>
      <c r="BT100" s="184"/>
      <c r="BU100" s="1"/>
      <c r="BV100">
        <f t="shared" si="53"/>
        <v>91</v>
      </c>
    </row>
    <row r="101" spans="2:74" x14ac:dyDescent="0.3">
      <c r="B101" s="172">
        <f t="shared" si="52"/>
        <v>44001</v>
      </c>
      <c r="C101" s="61"/>
      <c r="D101" s="17">
        <v>33539</v>
      </c>
      <c r="E101" s="16"/>
      <c r="F101" s="16"/>
      <c r="G101" s="16"/>
      <c r="H101" s="16">
        <f t="shared" si="56"/>
        <v>2300040</v>
      </c>
      <c r="I101" s="16"/>
      <c r="J101" s="38">
        <f t="shared" si="57"/>
        <v>1.4797699184778652E-2</v>
      </c>
      <c r="K101" s="16"/>
      <c r="L101" s="16"/>
      <c r="M101" s="16"/>
      <c r="N101" s="16">
        <f t="shared" si="58"/>
        <v>25000.434782608696</v>
      </c>
      <c r="O101" s="41"/>
      <c r="P101" s="17"/>
      <c r="Q101" s="16"/>
      <c r="R101" s="60"/>
      <c r="S101" s="16"/>
      <c r="T101" s="41"/>
      <c r="U101" s="10"/>
      <c r="V101" s="34">
        <v>719</v>
      </c>
      <c r="W101" s="33"/>
      <c r="X101" s="33"/>
      <c r="Y101" s="33"/>
      <c r="Z101" s="33">
        <f t="shared" si="59"/>
        <v>124084</v>
      </c>
      <c r="AA101" s="33"/>
      <c r="AB101" s="46">
        <f t="shared" si="60"/>
        <v>5.3948626980400344E-2</v>
      </c>
      <c r="AC101" s="33"/>
      <c r="AD101" s="33">
        <f t="shared" si="61"/>
        <v>1348.7391304347825</v>
      </c>
      <c r="AE101" s="50"/>
      <c r="AF101" s="33"/>
      <c r="AG101" s="33"/>
      <c r="AH101" s="232"/>
      <c r="AI101" s="50"/>
      <c r="AJ101" s="10"/>
      <c r="AK101" s="23">
        <f t="shared" si="62"/>
        <v>25067</v>
      </c>
      <c r="AL101" s="24"/>
      <c r="AM101" s="24"/>
      <c r="AN101" s="24">
        <v>178263</v>
      </c>
      <c r="AO101" s="24">
        <v>956061</v>
      </c>
      <c r="AP101" s="24"/>
      <c r="AQ101" s="25">
        <f t="shared" si="63"/>
        <v>2.6924985553075528E-2</v>
      </c>
      <c r="AR101" s="25"/>
      <c r="AS101" s="25"/>
      <c r="AT101" s="24"/>
      <c r="AU101" s="342">
        <f t="shared" si="64"/>
        <v>0.41567146658318987</v>
      </c>
      <c r="AV101" s="342"/>
      <c r="AW101" s="24">
        <f t="shared" si="65"/>
        <v>10391.967391304348</v>
      </c>
      <c r="AX101" s="352"/>
      <c r="AY101" s="10"/>
      <c r="AZ101" s="66">
        <f t="shared" si="66"/>
        <v>614206</v>
      </c>
      <c r="BA101" s="67"/>
      <c r="BB101" s="67">
        <v>27337385</v>
      </c>
      <c r="BC101" s="67"/>
      <c r="BD101" s="67">
        <f t="shared" si="67"/>
        <v>33539</v>
      </c>
      <c r="BE101" s="67"/>
      <c r="BF101" s="157">
        <f t="shared" si="68"/>
        <v>5.460545810363298E-2</v>
      </c>
      <c r="BG101" s="67"/>
      <c r="BH101" s="184"/>
      <c r="BI101" s="67"/>
      <c r="BJ101" s="67"/>
      <c r="BK101" s="67"/>
      <c r="BL101" s="157"/>
      <c r="BM101" s="66">
        <f t="shared" si="69"/>
        <v>297145.48913043475</v>
      </c>
      <c r="BN101" s="67"/>
      <c r="BO101" s="67">
        <f t="shared" si="70"/>
        <v>2026662</v>
      </c>
      <c r="BP101" s="67"/>
      <c r="BQ101" s="74">
        <f t="shared" si="71"/>
        <v>7.4135181547174314E-2</v>
      </c>
      <c r="BR101" s="67"/>
      <c r="BS101" s="86"/>
      <c r="BT101" s="184"/>
      <c r="BU101" s="1"/>
      <c r="BV101">
        <f t="shared" si="53"/>
        <v>92</v>
      </c>
    </row>
    <row r="102" spans="2:74" x14ac:dyDescent="0.3">
      <c r="B102" s="477">
        <f t="shared" si="52"/>
        <v>44002</v>
      </c>
      <c r="C102" s="61"/>
      <c r="D102" s="17">
        <v>33338</v>
      </c>
      <c r="E102" s="16"/>
      <c r="F102" s="16"/>
      <c r="G102" s="16"/>
      <c r="H102" s="16">
        <f t="shared" si="56"/>
        <v>2333378</v>
      </c>
      <c r="I102" s="16"/>
      <c r="J102" s="38">
        <f t="shared" si="57"/>
        <v>1.4494530529903828E-2</v>
      </c>
      <c r="K102" s="16"/>
      <c r="L102" s="16"/>
      <c r="M102" s="16"/>
      <c r="N102" s="16">
        <f t="shared" si="58"/>
        <v>25090.086021505376</v>
      </c>
      <c r="O102" s="41"/>
      <c r="P102" s="17"/>
      <c r="Q102" s="16"/>
      <c r="R102" s="60"/>
      <c r="S102" s="16"/>
      <c r="T102" s="41"/>
      <c r="U102" s="10"/>
      <c r="V102" s="34">
        <v>573</v>
      </c>
      <c r="W102" s="33"/>
      <c r="X102" s="33"/>
      <c r="Y102" s="33"/>
      <c r="Z102" s="33">
        <f t="shared" si="59"/>
        <v>124657</v>
      </c>
      <c r="AA102" s="33"/>
      <c r="AB102" s="46">
        <f t="shared" si="60"/>
        <v>5.3423405894801441E-2</v>
      </c>
      <c r="AC102" s="33"/>
      <c r="AD102" s="33">
        <f t="shared" si="61"/>
        <v>1340.3978494623657</v>
      </c>
      <c r="AE102" s="50"/>
      <c r="AF102" s="33"/>
      <c r="AG102" s="33"/>
      <c r="AH102" s="232"/>
      <c r="AI102" s="50"/>
      <c r="AJ102" s="10"/>
      <c r="AK102" s="23">
        <f t="shared" si="62"/>
        <v>16880</v>
      </c>
      <c r="AL102" s="24"/>
      <c r="AM102" s="24"/>
      <c r="AN102" s="24">
        <v>178263</v>
      </c>
      <c r="AO102" s="24">
        <v>972941</v>
      </c>
      <c r="AP102" s="24"/>
      <c r="AQ102" s="25">
        <f t="shared" si="63"/>
        <v>1.7655777194133009E-2</v>
      </c>
      <c r="AR102" s="25"/>
      <c r="AS102" s="25"/>
      <c r="AT102" s="24"/>
      <c r="AU102" s="342">
        <f t="shared" si="64"/>
        <v>0.41696673235112358</v>
      </c>
      <c r="AV102" s="342"/>
      <c r="AW102" s="24">
        <f t="shared" si="65"/>
        <v>10461.731182795698</v>
      </c>
      <c r="AX102" s="352"/>
      <c r="AY102" s="10"/>
      <c r="AZ102" s="66">
        <f t="shared" si="66"/>
        <v>638478</v>
      </c>
      <c r="BA102" s="67"/>
      <c r="BB102" s="67">
        <v>27975863</v>
      </c>
      <c r="BC102" s="67"/>
      <c r="BD102" s="67">
        <f t="shared" si="67"/>
        <v>33338</v>
      </c>
      <c r="BE102" s="67"/>
      <c r="BF102" s="157">
        <f t="shared" si="68"/>
        <v>5.2214798317248207E-2</v>
      </c>
      <c r="BG102" s="67"/>
      <c r="BH102" s="184"/>
      <c r="BI102" s="67"/>
      <c r="BJ102" s="67"/>
      <c r="BK102" s="67"/>
      <c r="BL102" s="157"/>
      <c r="BM102" s="66">
        <f t="shared" si="69"/>
        <v>300815.73118279572</v>
      </c>
      <c r="BN102" s="67"/>
      <c r="BO102" s="67">
        <f t="shared" si="70"/>
        <v>2060000</v>
      </c>
      <c r="BP102" s="67"/>
      <c r="BQ102" s="74">
        <f t="shared" si="71"/>
        <v>7.3634904488916034E-2</v>
      </c>
      <c r="BR102" s="67"/>
      <c r="BS102" s="86"/>
      <c r="BT102" s="184"/>
      <c r="BU102" s="1"/>
      <c r="BV102">
        <f t="shared" si="53"/>
        <v>93</v>
      </c>
    </row>
    <row r="103" spans="2:74" x14ac:dyDescent="0.3">
      <c r="B103" s="391">
        <f t="shared" si="52"/>
        <v>44003</v>
      </c>
      <c r="C103" s="61"/>
      <c r="D103" s="17">
        <v>26079</v>
      </c>
      <c r="E103" s="16"/>
      <c r="F103" s="16"/>
      <c r="G103" s="16"/>
      <c r="H103" s="16">
        <f t="shared" si="56"/>
        <v>2359457</v>
      </c>
      <c r="I103" s="16"/>
      <c r="J103" s="38">
        <f t="shared" si="57"/>
        <v>1.1176500335565005E-2</v>
      </c>
      <c r="K103" s="16"/>
      <c r="L103" s="16"/>
      <c r="M103" s="16"/>
      <c r="N103" s="16">
        <f t="shared" si="58"/>
        <v>25100.606382978724</v>
      </c>
      <c r="O103" s="41"/>
      <c r="P103" s="17">
        <f t="shared" ref="P103" si="72">SUM(D97:D103)</f>
        <v>192967</v>
      </c>
      <c r="Q103" s="16"/>
      <c r="R103" s="60">
        <f t="shared" ref="R103" si="73">+(P103-P96)/P96</f>
        <v>0.24672597703822871</v>
      </c>
      <c r="S103" s="16"/>
      <c r="T103" s="41"/>
      <c r="U103" s="392"/>
      <c r="V103" s="34">
        <v>267</v>
      </c>
      <c r="W103" s="33"/>
      <c r="X103" s="33"/>
      <c r="Y103" s="33"/>
      <c r="Z103" s="33">
        <f t="shared" si="59"/>
        <v>124924</v>
      </c>
      <c r="AA103" s="33"/>
      <c r="AB103" s="46">
        <f t="shared" si="60"/>
        <v>5.2946080390530531E-2</v>
      </c>
      <c r="AC103" s="33"/>
      <c r="AD103" s="33">
        <f t="shared" si="61"/>
        <v>1328.9787234042553</v>
      </c>
      <c r="AE103" s="50"/>
      <c r="AF103" s="33">
        <f t="shared" ref="AF103" si="74">SUM(V97:V103)</f>
        <v>4386</v>
      </c>
      <c r="AG103" s="33"/>
      <c r="AH103" s="232">
        <f t="shared" ref="AH103" si="75">+(AF103-AF96)/AF96</f>
        <v>-0.18611987381703471</v>
      </c>
      <c r="AI103" s="50"/>
      <c r="AJ103" s="392"/>
      <c r="AK103" s="23">
        <f t="shared" si="62"/>
        <v>7414</v>
      </c>
      <c r="AL103" s="24"/>
      <c r="AM103" s="24"/>
      <c r="AN103" s="24">
        <v>178263</v>
      </c>
      <c r="AO103" s="24">
        <v>980355</v>
      </c>
      <c r="AP103" s="24"/>
      <c r="AQ103" s="25">
        <f t="shared" si="63"/>
        <v>7.620194852514181E-3</v>
      </c>
      <c r="AR103" s="25"/>
      <c r="AS103" s="25"/>
      <c r="AT103" s="24"/>
      <c r="AU103" s="342">
        <f t="shared" si="64"/>
        <v>0.41550026128893214</v>
      </c>
      <c r="AV103" s="342"/>
      <c r="AW103" s="24">
        <f t="shared" si="65"/>
        <v>10429.308510638299</v>
      </c>
      <c r="AX103" s="352"/>
      <c r="AY103" s="392"/>
      <c r="AZ103" s="66">
        <f t="shared" si="66"/>
        <v>516127</v>
      </c>
      <c r="BA103" s="67"/>
      <c r="BB103" s="67">
        <v>28491990</v>
      </c>
      <c r="BC103" s="67"/>
      <c r="BD103" s="67">
        <f t="shared" si="67"/>
        <v>26079</v>
      </c>
      <c r="BE103" s="67"/>
      <c r="BF103" s="157">
        <f t="shared" si="68"/>
        <v>5.0528261455029477E-2</v>
      </c>
      <c r="BG103" s="67"/>
      <c r="BH103" s="184"/>
      <c r="BI103" s="67"/>
      <c r="BJ103" s="67">
        <f t="shared" ref="BJ103" si="76">SUM(AZ97:AZ103)</f>
        <v>3701059</v>
      </c>
      <c r="BK103" s="67"/>
      <c r="BL103" s="157">
        <f t="shared" ref="BL103" si="77">+P103/BJ103</f>
        <v>5.2138320410455491E-2</v>
      </c>
      <c r="BM103" s="66">
        <f t="shared" si="69"/>
        <v>303106.27659574465</v>
      </c>
      <c r="BN103" s="67"/>
      <c r="BO103" s="67">
        <f t="shared" si="70"/>
        <v>2086079</v>
      </c>
      <c r="BP103" s="67"/>
      <c r="BQ103" s="479">
        <f t="shared" si="71"/>
        <v>7.3216332028756145E-2</v>
      </c>
      <c r="BR103" s="67"/>
      <c r="BS103" s="86"/>
      <c r="BT103" s="184"/>
      <c r="BU103" s="1"/>
      <c r="BV103">
        <f t="shared" si="53"/>
        <v>94</v>
      </c>
    </row>
    <row r="104" spans="2:74" x14ac:dyDescent="0.3">
      <c r="B104" s="172">
        <f t="shared" si="52"/>
        <v>44004</v>
      </c>
      <c r="C104" s="61"/>
      <c r="D104" s="17">
        <v>31496</v>
      </c>
      <c r="E104" s="16"/>
      <c r="F104" s="16"/>
      <c r="G104" s="16"/>
      <c r="H104" s="16">
        <f t="shared" si="56"/>
        <v>2390953</v>
      </c>
      <c r="I104" s="16"/>
      <c r="J104" s="38">
        <f t="shared" si="57"/>
        <v>1.3348834074958772E-2</v>
      </c>
      <c r="K104" s="16"/>
      <c r="L104" s="16"/>
      <c r="M104" s="16"/>
      <c r="N104" s="16">
        <f t="shared" si="58"/>
        <v>25167.926315789475</v>
      </c>
      <c r="O104" s="41"/>
      <c r="P104" s="17"/>
      <c r="Q104" s="16"/>
      <c r="R104" s="60"/>
      <c r="S104" s="16"/>
      <c r="T104" s="41"/>
      <c r="U104" s="10"/>
      <c r="V104" s="34">
        <v>363</v>
      </c>
      <c r="W104" s="33"/>
      <c r="X104" s="33"/>
      <c r="Y104" s="33"/>
      <c r="Z104" s="33">
        <f t="shared" si="59"/>
        <v>125287</v>
      </c>
      <c r="AA104" s="33"/>
      <c r="AB104" s="46">
        <f t="shared" si="60"/>
        <v>5.2400444508946854E-2</v>
      </c>
      <c r="AC104" s="33"/>
      <c r="AD104" s="33">
        <f t="shared" si="61"/>
        <v>1318.8105263157895</v>
      </c>
      <c r="AE104" s="50"/>
      <c r="AF104" s="33"/>
      <c r="AG104" s="33"/>
      <c r="AH104" s="232"/>
      <c r="AI104" s="50"/>
      <c r="AJ104" s="10"/>
      <c r="AK104" s="23">
        <f t="shared" si="62"/>
        <v>22574</v>
      </c>
      <c r="AL104" s="24"/>
      <c r="AM104" s="24"/>
      <c r="AN104" s="24">
        <v>178263</v>
      </c>
      <c r="AO104" s="24">
        <v>1002929</v>
      </c>
      <c r="AP104" s="24"/>
      <c r="AQ104" s="25">
        <f t="shared" si="63"/>
        <v>2.3026352698767284E-2</v>
      </c>
      <c r="AR104" s="25"/>
      <c r="AS104" s="25"/>
      <c r="AT104" s="24"/>
      <c r="AU104" s="342">
        <f t="shared" si="64"/>
        <v>0.41946830406118396</v>
      </c>
      <c r="AV104" s="342"/>
      <c r="AW104" s="24">
        <f t="shared" si="65"/>
        <v>10557.147368421052</v>
      </c>
      <c r="AX104" s="352"/>
      <c r="AY104" s="10"/>
      <c r="AZ104" s="66">
        <f t="shared" si="66"/>
        <v>521192</v>
      </c>
      <c r="BA104" s="67"/>
      <c r="BB104" s="67">
        <v>29013182</v>
      </c>
      <c r="BC104" s="67"/>
      <c r="BD104" s="67">
        <f t="shared" si="67"/>
        <v>31496</v>
      </c>
      <c r="BE104" s="67"/>
      <c r="BF104" s="157">
        <f t="shared" si="68"/>
        <v>6.0430704999309276E-2</v>
      </c>
      <c r="BG104" s="67"/>
      <c r="BH104" s="184"/>
      <c r="BI104" s="67"/>
      <c r="BJ104" s="67"/>
      <c r="BK104" s="67"/>
      <c r="BL104" s="157"/>
      <c r="BM104" s="66">
        <f t="shared" si="69"/>
        <v>305401.91578947369</v>
      </c>
      <c r="BN104" s="67"/>
      <c r="BO104" s="67">
        <f t="shared" si="70"/>
        <v>2117575</v>
      </c>
      <c r="BP104" s="67"/>
      <c r="BQ104" s="479">
        <f t="shared" si="71"/>
        <v>7.2986651377983977E-2</v>
      </c>
      <c r="BR104" s="67"/>
      <c r="BS104" s="86"/>
      <c r="BT104" s="184"/>
      <c r="BU104" s="1"/>
      <c r="BV104">
        <f t="shared" si="53"/>
        <v>95</v>
      </c>
    </row>
    <row r="105" spans="2:74" x14ac:dyDescent="0.3">
      <c r="B105" s="172">
        <f t="shared" si="52"/>
        <v>44005</v>
      </c>
      <c r="C105" s="61"/>
      <c r="D105" s="17">
        <v>36038</v>
      </c>
      <c r="E105" s="16"/>
      <c r="F105" s="16"/>
      <c r="G105" s="16"/>
      <c r="H105" s="16">
        <f t="shared" si="56"/>
        <v>2426991</v>
      </c>
      <c r="I105" s="16"/>
      <c r="J105" s="38">
        <f t="shared" si="57"/>
        <v>1.5072650947132796E-2</v>
      </c>
      <c r="K105" s="16"/>
      <c r="L105" s="16"/>
      <c r="M105" s="16"/>
      <c r="N105" s="16">
        <f t="shared" si="58"/>
        <v>25281.15625</v>
      </c>
      <c r="O105" s="41"/>
      <c r="P105" s="17"/>
      <c r="Q105" s="16"/>
      <c r="R105" s="60"/>
      <c r="S105" s="16"/>
      <c r="T105" s="41"/>
      <c r="U105" s="10"/>
      <c r="V105" s="34">
        <v>871</v>
      </c>
      <c r="W105" s="33"/>
      <c r="X105" s="33"/>
      <c r="Y105" s="33"/>
      <c r="Z105" s="33">
        <f t="shared" si="59"/>
        <v>126158</v>
      </c>
      <c r="AA105" s="33"/>
      <c r="AB105" s="46">
        <f t="shared" si="60"/>
        <v>5.1981239320623769E-2</v>
      </c>
      <c r="AC105" s="33"/>
      <c r="AD105" s="33">
        <f t="shared" si="61"/>
        <v>1314.1458333333333</v>
      </c>
      <c r="AE105" s="50"/>
      <c r="AF105" s="33"/>
      <c r="AG105" s="33"/>
      <c r="AH105" s="232"/>
      <c r="AI105" s="50"/>
      <c r="AJ105" s="10"/>
      <c r="AK105" s="23">
        <f t="shared" si="62"/>
        <v>17452</v>
      </c>
      <c r="AL105" s="24"/>
      <c r="AM105" s="24"/>
      <c r="AN105" s="24">
        <v>178263</v>
      </c>
      <c r="AO105" s="24">
        <v>1020381</v>
      </c>
      <c r="AP105" s="24"/>
      <c r="AQ105" s="25">
        <f t="shared" si="63"/>
        <v>1.7401032376170196E-2</v>
      </c>
      <c r="AR105" s="25"/>
      <c r="AS105" s="25"/>
      <c r="AT105" s="24"/>
      <c r="AU105" s="342">
        <f t="shared" si="64"/>
        <v>0.42043048367299263</v>
      </c>
      <c r="AV105" s="342"/>
      <c r="AW105" s="24">
        <f t="shared" si="65"/>
        <v>10628.96875</v>
      </c>
      <c r="AX105" s="352"/>
      <c r="AY105" s="10"/>
      <c r="AZ105" s="66">
        <f t="shared" si="66"/>
        <v>539508</v>
      </c>
      <c r="BA105" s="67"/>
      <c r="BB105" s="67">
        <v>29552690</v>
      </c>
      <c r="BC105" s="67"/>
      <c r="BD105" s="67">
        <f t="shared" si="67"/>
        <v>36038</v>
      </c>
      <c r="BE105" s="67"/>
      <c r="BF105" s="157">
        <f t="shared" si="68"/>
        <v>6.6797897343505566E-2</v>
      </c>
      <c r="BG105" s="67"/>
      <c r="BH105" s="184"/>
      <c r="BI105" s="67"/>
      <c r="BJ105" s="67"/>
      <c r="BK105" s="67"/>
      <c r="BL105" s="157"/>
      <c r="BM105" s="66">
        <f t="shared" si="69"/>
        <v>307840.52083333331</v>
      </c>
      <c r="BN105" s="67"/>
      <c r="BO105" s="67">
        <f t="shared" si="70"/>
        <v>2153613</v>
      </c>
      <c r="BP105" s="67"/>
      <c r="BQ105" s="479">
        <f t="shared" si="71"/>
        <v>7.2873670721683881E-2</v>
      </c>
      <c r="BR105" s="67"/>
      <c r="BS105" s="86"/>
      <c r="BT105" s="184"/>
      <c r="BU105" s="1"/>
      <c r="BV105">
        <f t="shared" si="53"/>
        <v>96</v>
      </c>
    </row>
    <row r="106" spans="2:74" x14ac:dyDescent="0.3">
      <c r="B106" s="172">
        <f t="shared" si="52"/>
        <v>44006</v>
      </c>
      <c r="C106" s="61"/>
      <c r="D106" s="17">
        <v>38412</v>
      </c>
      <c r="E106" s="16"/>
      <c r="F106" s="16"/>
      <c r="G106" s="16"/>
      <c r="H106" s="16">
        <f t="shared" si="56"/>
        <v>2465403</v>
      </c>
      <c r="I106" s="16"/>
      <c r="J106" s="38">
        <f t="shared" si="57"/>
        <v>1.5827005538957498E-2</v>
      </c>
      <c r="K106" s="16"/>
      <c r="L106" s="16"/>
      <c r="M106" s="16"/>
      <c r="N106" s="16">
        <f t="shared" si="58"/>
        <v>25416.525773195877</v>
      </c>
      <c r="O106" s="41"/>
      <c r="P106" s="17"/>
      <c r="Q106" s="16"/>
      <c r="R106" s="60"/>
      <c r="S106" s="16"/>
      <c r="T106" s="41"/>
      <c r="U106" s="10"/>
      <c r="V106" s="34">
        <v>819</v>
      </c>
      <c r="W106" s="33"/>
      <c r="X106" s="33"/>
      <c r="Y106" s="33"/>
      <c r="Z106" s="33">
        <f t="shared" si="59"/>
        <v>126977</v>
      </c>
      <c r="AA106" s="33"/>
      <c r="AB106" s="46">
        <f t="shared" si="60"/>
        <v>5.1503547290240176E-2</v>
      </c>
      <c r="AC106" s="33"/>
      <c r="AD106" s="33">
        <f t="shared" si="61"/>
        <v>1309.0412371134021</v>
      </c>
      <c r="AE106" s="50"/>
      <c r="AF106" s="33"/>
      <c r="AG106" s="33"/>
      <c r="AH106" s="232"/>
      <c r="AI106" s="50"/>
      <c r="AJ106" s="10"/>
      <c r="AK106" s="23">
        <f t="shared" si="62"/>
        <v>20224</v>
      </c>
      <c r="AL106" s="24"/>
      <c r="AM106" s="24"/>
      <c r="AN106" s="24">
        <v>178263</v>
      </c>
      <c r="AO106" s="24">
        <v>1040605</v>
      </c>
      <c r="AP106" s="24"/>
      <c r="AQ106" s="25">
        <f t="shared" si="63"/>
        <v>1.9820047609667369E-2</v>
      </c>
      <c r="AR106" s="25"/>
      <c r="AS106" s="25"/>
      <c r="AT106" s="24"/>
      <c r="AU106" s="342">
        <f t="shared" si="64"/>
        <v>0.42208312393551883</v>
      </c>
      <c r="AV106" s="342"/>
      <c r="AW106" s="24">
        <f t="shared" si="65"/>
        <v>10727.886597938144</v>
      </c>
      <c r="AX106" s="352"/>
      <c r="AY106" s="10"/>
      <c r="AZ106" s="66">
        <f t="shared" si="66"/>
        <v>507174</v>
      </c>
      <c r="BA106" s="67"/>
      <c r="BB106" s="67">
        <f>30059864</f>
        <v>30059864</v>
      </c>
      <c r="BC106" s="67"/>
      <c r="BD106" s="67">
        <f t="shared" si="67"/>
        <v>38412</v>
      </c>
      <c r="BE106" s="67"/>
      <c r="BF106" s="157">
        <f t="shared" si="68"/>
        <v>7.5737320919447765E-2</v>
      </c>
      <c r="BG106" s="67"/>
      <c r="BH106" s="184"/>
      <c r="BI106" s="67"/>
      <c r="BJ106" s="67"/>
      <c r="BK106" s="67"/>
      <c r="BL106" s="157"/>
      <c r="BM106" s="66">
        <f t="shared" si="69"/>
        <v>309895.50515463919</v>
      </c>
      <c r="BN106" s="67"/>
      <c r="BO106" s="67">
        <f t="shared" si="70"/>
        <v>2192025</v>
      </c>
      <c r="BP106" s="67"/>
      <c r="BQ106" s="479">
        <f t="shared" si="71"/>
        <v>7.2921986606459696E-2</v>
      </c>
      <c r="BR106" s="67"/>
      <c r="BS106" s="86"/>
      <c r="BT106" s="184"/>
      <c r="BU106" s="1"/>
      <c r="BV106">
        <f t="shared" si="53"/>
        <v>97</v>
      </c>
    </row>
    <row r="107" spans="2:74" x14ac:dyDescent="0.3">
      <c r="B107" s="172">
        <f t="shared" si="52"/>
        <v>44007</v>
      </c>
      <c r="C107" s="61"/>
      <c r="D107" s="17">
        <v>40212</v>
      </c>
      <c r="E107" s="16"/>
      <c r="F107" s="16"/>
      <c r="G107" s="16"/>
      <c r="H107" s="16">
        <f t="shared" si="56"/>
        <v>2505615</v>
      </c>
      <c r="I107" s="16"/>
      <c r="J107" s="38">
        <f t="shared" si="57"/>
        <v>1.6310517996449263E-2</v>
      </c>
      <c r="K107" s="16"/>
      <c r="L107" s="16"/>
      <c r="M107" s="16"/>
      <c r="N107" s="16">
        <f t="shared" si="58"/>
        <v>25567.5</v>
      </c>
      <c r="O107" s="41"/>
      <c r="P107" s="17"/>
      <c r="Q107" s="16"/>
      <c r="R107" s="60"/>
      <c r="S107" s="16"/>
      <c r="T107" s="41"/>
      <c r="U107" s="10"/>
      <c r="V107" s="34">
        <v>653</v>
      </c>
      <c r="W107" s="33"/>
      <c r="X107" s="33"/>
      <c r="Y107" s="33"/>
      <c r="Z107" s="33">
        <f t="shared" si="59"/>
        <v>127630</v>
      </c>
      <c r="AA107" s="33"/>
      <c r="AB107" s="46">
        <f t="shared" si="60"/>
        <v>5.0937594163508758E-2</v>
      </c>
      <c r="AC107" s="33"/>
      <c r="AD107" s="33">
        <f t="shared" si="61"/>
        <v>1302.3469387755101</v>
      </c>
      <c r="AE107" s="50"/>
      <c r="AF107" s="33"/>
      <c r="AG107" s="33"/>
      <c r="AH107" s="232"/>
      <c r="AI107" s="50"/>
      <c r="AJ107" s="10"/>
      <c r="AK107" s="23">
        <f t="shared" si="62"/>
        <v>11688</v>
      </c>
      <c r="AL107" s="24"/>
      <c r="AM107" s="24"/>
      <c r="AN107" s="24">
        <v>178263</v>
      </c>
      <c r="AO107" s="24">
        <v>1052293</v>
      </c>
      <c r="AP107" s="24"/>
      <c r="AQ107" s="25">
        <f t="shared" si="63"/>
        <v>1.1231927580590138E-2</v>
      </c>
      <c r="AR107" s="25"/>
      <c r="AS107" s="25"/>
      <c r="AT107" s="24"/>
      <c r="AU107" s="342">
        <f t="shared" si="64"/>
        <v>0.41997393853405252</v>
      </c>
      <c r="AV107" s="342"/>
      <c r="AW107" s="24">
        <f t="shared" si="65"/>
        <v>10737.683673469388</v>
      </c>
      <c r="AX107" s="352"/>
      <c r="AY107" s="10"/>
      <c r="AZ107" s="66">
        <f t="shared" si="66"/>
        <v>672688</v>
      </c>
      <c r="BA107" s="67"/>
      <c r="BB107" s="67">
        <v>30732552</v>
      </c>
      <c r="BC107" s="67"/>
      <c r="BD107" s="67">
        <f t="shared" si="67"/>
        <v>40212</v>
      </c>
      <c r="BE107" s="67"/>
      <c r="BF107" s="157">
        <f t="shared" si="68"/>
        <v>5.9778084342221059E-2</v>
      </c>
      <c r="BG107" s="67"/>
      <c r="BH107" s="184"/>
      <c r="BI107" s="67"/>
      <c r="BJ107" s="67"/>
      <c r="BK107" s="67"/>
      <c r="BL107" s="157"/>
      <c r="BM107" s="66">
        <f t="shared" si="69"/>
        <v>313597.46938775509</v>
      </c>
      <c r="BN107" s="67"/>
      <c r="BO107" s="67">
        <f t="shared" si="70"/>
        <v>2232237</v>
      </c>
      <c r="BP107" s="67"/>
      <c r="BQ107" s="479">
        <f t="shared" si="71"/>
        <v>7.2634286928075484E-2</v>
      </c>
      <c r="BR107" s="67"/>
      <c r="BS107" s="86"/>
      <c r="BT107" s="184"/>
      <c r="BU107" s="1"/>
      <c r="BV107">
        <f t="shared" si="53"/>
        <v>98</v>
      </c>
    </row>
    <row r="108" spans="2:74" x14ac:dyDescent="0.3">
      <c r="B108" s="172">
        <f t="shared" si="52"/>
        <v>44008</v>
      </c>
      <c r="C108" s="61"/>
      <c r="D108" s="17">
        <v>47341</v>
      </c>
      <c r="E108" s="16"/>
      <c r="F108" s="16"/>
      <c r="G108" s="16"/>
      <c r="H108" s="16">
        <f t="shared" si="56"/>
        <v>2552956</v>
      </c>
      <c r="I108" s="16"/>
      <c r="J108" s="38">
        <f t="shared" si="57"/>
        <v>1.8893964156504493E-2</v>
      </c>
      <c r="K108" s="16"/>
      <c r="L108" s="16"/>
      <c r="M108" s="16"/>
      <c r="N108" s="16">
        <f t="shared" si="58"/>
        <v>25787.434343434343</v>
      </c>
      <c r="O108" s="41"/>
      <c r="P108" s="17"/>
      <c r="Q108" s="16"/>
      <c r="R108" s="60"/>
      <c r="S108" s="16"/>
      <c r="T108" s="41"/>
      <c r="U108" s="10"/>
      <c r="V108" s="34">
        <v>663</v>
      </c>
      <c r="W108" s="33"/>
      <c r="X108" s="33"/>
      <c r="Y108" s="33"/>
      <c r="Z108" s="33">
        <f t="shared" si="59"/>
        <v>128293</v>
      </c>
      <c r="AA108" s="33"/>
      <c r="AB108" s="46">
        <f t="shared" si="60"/>
        <v>5.0252726643154055E-2</v>
      </c>
      <c r="AC108" s="33"/>
      <c r="AD108" s="33">
        <f t="shared" si="61"/>
        <v>1295.8888888888889</v>
      </c>
      <c r="AE108" s="50"/>
      <c r="AF108" s="33"/>
      <c r="AG108" s="33"/>
      <c r="AH108" s="232"/>
      <c r="AI108" s="50"/>
      <c r="AJ108" s="10"/>
      <c r="AK108" s="23">
        <f t="shared" si="62"/>
        <v>16410</v>
      </c>
      <c r="AL108" s="24"/>
      <c r="AM108" s="24"/>
      <c r="AN108" s="24">
        <v>178263</v>
      </c>
      <c r="AO108" s="24">
        <v>1068703</v>
      </c>
      <c r="AP108" s="24"/>
      <c r="AQ108" s="25">
        <f t="shared" si="63"/>
        <v>1.55945159760637E-2</v>
      </c>
      <c r="AR108" s="25"/>
      <c r="AS108" s="25"/>
      <c r="AT108" s="24"/>
      <c r="AU108" s="342">
        <f t="shared" si="64"/>
        <v>0.41861395182682348</v>
      </c>
      <c r="AV108" s="342"/>
      <c r="AW108" s="24">
        <f t="shared" si="65"/>
        <v>10794.979797979799</v>
      </c>
      <c r="AX108" s="352"/>
      <c r="AY108" s="10"/>
      <c r="AZ108" s="66">
        <f t="shared" si="66"/>
        <v>619948</v>
      </c>
      <c r="BA108" s="67"/>
      <c r="BB108" s="67">
        <v>31352500</v>
      </c>
      <c r="BC108" s="67"/>
      <c r="BD108" s="67">
        <f t="shared" si="67"/>
        <v>47341</v>
      </c>
      <c r="BE108" s="67"/>
      <c r="BF108" s="157">
        <f t="shared" si="68"/>
        <v>7.6362856239555577E-2</v>
      </c>
      <c r="BG108" s="67"/>
      <c r="BH108" s="184"/>
      <c r="BI108" s="67"/>
      <c r="BJ108" s="67"/>
      <c r="BK108" s="67"/>
      <c r="BL108" s="157"/>
      <c r="BM108" s="66">
        <f t="shared" si="69"/>
        <v>316691.91919191921</v>
      </c>
      <c r="BN108" s="67"/>
      <c r="BO108" s="67">
        <f t="shared" si="70"/>
        <v>2279578</v>
      </c>
      <c r="BP108" s="67"/>
      <c r="BQ108" s="479">
        <f t="shared" si="71"/>
        <v>7.2708013715014758E-2</v>
      </c>
      <c r="BR108" s="67"/>
      <c r="BS108" s="86"/>
      <c r="BT108" s="184"/>
      <c r="BU108" s="1"/>
      <c r="BV108">
        <f t="shared" si="53"/>
        <v>99</v>
      </c>
    </row>
    <row r="109" spans="2:74" x14ac:dyDescent="0.3">
      <c r="B109" s="172">
        <f t="shared" si="52"/>
        <v>44009</v>
      </c>
      <c r="C109" s="61"/>
      <c r="D109" s="17">
        <v>43581</v>
      </c>
      <c r="E109" s="16"/>
      <c r="F109" s="16"/>
      <c r="G109" s="16"/>
      <c r="H109" s="16">
        <f t="shared" ref="H109" si="78">+H108+D109</f>
        <v>2596537</v>
      </c>
      <c r="I109" s="16"/>
      <c r="J109" s="38">
        <f t="shared" ref="J109" si="79">+D109/H108</f>
        <v>1.7070799496740251E-2</v>
      </c>
      <c r="K109" s="16"/>
      <c r="L109" s="16"/>
      <c r="M109" s="16"/>
      <c r="N109" s="16">
        <f t="shared" ref="N109" si="80">+H109/BV109</f>
        <v>25965.37</v>
      </c>
      <c r="O109" s="41"/>
      <c r="P109" s="17"/>
      <c r="Q109" s="16"/>
      <c r="R109" s="60"/>
      <c r="S109" s="16"/>
      <c r="T109" s="41"/>
      <c r="U109" s="10"/>
      <c r="V109" s="34">
        <v>512</v>
      </c>
      <c r="W109" s="33"/>
      <c r="X109" s="33"/>
      <c r="Y109" s="33"/>
      <c r="Z109" s="33">
        <f t="shared" ref="Z109" si="81">+Z108+V109</f>
        <v>128805</v>
      </c>
      <c r="AA109" s="33"/>
      <c r="AB109" s="46">
        <f t="shared" ref="AB109" si="82">+Z109/H109</f>
        <v>4.9606456599694128E-2</v>
      </c>
      <c r="AC109" s="33"/>
      <c r="AD109" s="33">
        <f t="shared" ref="AD109" si="83">+Z109/BV109</f>
        <v>1288.05</v>
      </c>
      <c r="AE109" s="50"/>
      <c r="AF109" s="33"/>
      <c r="AG109" s="33"/>
      <c r="AH109" s="232"/>
      <c r="AI109" s="50"/>
      <c r="AJ109" s="10"/>
      <c r="AK109" s="23">
        <f t="shared" ref="AK109" si="84">+AO109-AO108</f>
        <v>12734</v>
      </c>
      <c r="AL109" s="24"/>
      <c r="AM109" s="24"/>
      <c r="AN109" s="24">
        <v>178263</v>
      </c>
      <c r="AO109" s="24">
        <v>1081437</v>
      </c>
      <c r="AP109" s="24"/>
      <c r="AQ109" s="505">
        <f t="shared" ref="AQ109" si="85">+AK109/AO108</f>
        <v>1.1915377799070462E-2</v>
      </c>
      <c r="AR109" s="25"/>
      <c r="AS109" s="25"/>
      <c r="AT109" s="24"/>
      <c r="AU109" s="342">
        <f t="shared" ref="AU109" si="86">+AO109/H109</f>
        <v>0.41649204305580856</v>
      </c>
      <c r="AV109" s="342"/>
      <c r="AW109" s="24">
        <f t="shared" ref="AW109" si="87">+AO109/BV109</f>
        <v>10814.37</v>
      </c>
      <c r="AX109" s="352"/>
      <c r="AY109" s="10"/>
      <c r="AZ109" s="66">
        <f t="shared" ref="AZ109" si="88">+BB109-BB108</f>
        <v>645524</v>
      </c>
      <c r="BA109" s="67"/>
      <c r="BB109" s="67">
        <v>31998024</v>
      </c>
      <c r="BC109" s="67"/>
      <c r="BD109" s="67">
        <f t="shared" ref="BD109" si="89">+D109</f>
        <v>43581</v>
      </c>
      <c r="BE109" s="67"/>
      <c r="BF109" s="157">
        <f t="shared" ref="BF109" si="90">+BD109/AZ109</f>
        <v>6.7512594419417399E-2</v>
      </c>
      <c r="BG109" s="67"/>
      <c r="BH109" s="184"/>
      <c r="BI109" s="67"/>
      <c r="BJ109" s="67"/>
      <c r="BK109" s="67"/>
      <c r="BL109" s="157"/>
      <c r="BM109" s="66">
        <f t="shared" ref="BM109" si="91">+BB109/BV109</f>
        <v>319980.24</v>
      </c>
      <c r="BN109" s="67"/>
      <c r="BO109" s="67">
        <f t="shared" ref="BO109" si="92">+BO108+BD109</f>
        <v>2323159</v>
      </c>
      <c r="BP109" s="67"/>
      <c r="BQ109" s="479">
        <f t="shared" ref="BQ109" si="93">+BO109/BB109</f>
        <v>7.2603201997723354E-2</v>
      </c>
      <c r="BR109" s="67"/>
      <c r="BS109" s="86"/>
      <c r="BT109" s="184"/>
      <c r="BU109" s="1"/>
      <c r="BV109">
        <f t="shared" si="53"/>
        <v>100</v>
      </c>
    </row>
    <row r="110" spans="2:74" x14ac:dyDescent="0.3">
      <c r="B110" s="391">
        <f t="shared" si="52"/>
        <v>44010</v>
      </c>
      <c r="C110" s="61"/>
      <c r="D110" s="17">
        <v>40540</v>
      </c>
      <c r="E110" s="16"/>
      <c r="F110" s="16"/>
      <c r="G110" s="16"/>
      <c r="H110" s="16">
        <f t="shared" ref="H110" si="94">+H109+D110</f>
        <v>2637077</v>
      </c>
      <c r="I110" s="16"/>
      <c r="J110" s="38">
        <f t="shared" ref="J110" si="95">+D110/H109</f>
        <v>1.5613103144688483E-2</v>
      </c>
      <c r="K110" s="16"/>
      <c r="L110" s="16"/>
      <c r="M110" s="16"/>
      <c r="N110" s="16">
        <f t="shared" ref="N110" si="96">+H110/BV110</f>
        <v>26109.673267326732</v>
      </c>
      <c r="O110" s="41"/>
      <c r="P110" s="17">
        <f t="shared" ref="P110" si="97">SUM(D104:D110)</f>
        <v>277620</v>
      </c>
      <c r="Q110" s="16"/>
      <c r="R110" s="60">
        <f t="shared" ref="R110" si="98">+(P110-P103)/P103</f>
        <v>0.43869158975368844</v>
      </c>
      <c r="S110" s="16"/>
      <c r="T110" s="41"/>
      <c r="U110" s="392"/>
      <c r="V110" s="34">
        <v>285</v>
      </c>
      <c r="W110" s="33"/>
      <c r="X110" s="33"/>
      <c r="Y110" s="33"/>
      <c r="Z110" s="33">
        <f t="shared" ref="Z110" si="99">+Z109+V110</f>
        <v>129090</v>
      </c>
      <c r="AA110" s="33"/>
      <c r="AB110" s="46">
        <f t="shared" ref="AB110" si="100">+Z110/H110</f>
        <v>4.8951926697627712E-2</v>
      </c>
      <c r="AC110" s="33"/>
      <c r="AD110" s="33">
        <f t="shared" ref="AD110" si="101">+Z110/BV110</f>
        <v>1278.1188118811881</v>
      </c>
      <c r="AE110" s="50"/>
      <c r="AF110" s="33">
        <f t="shared" ref="AF110" si="102">SUM(V104:V110)</f>
        <v>4166</v>
      </c>
      <c r="AG110" s="33"/>
      <c r="AH110" s="232">
        <f t="shared" ref="AH110" si="103">+(AF110-AF103)/AF103</f>
        <v>-5.0159598723210214E-2</v>
      </c>
      <c r="AI110" s="50"/>
      <c r="AJ110" s="392"/>
      <c r="AK110" s="23">
        <f t="shared" ref="AK110" si="104">+AO110-AO109</f>
        <v>12019</v>
      </c>
      <c r="AL110" s="24"/>
      <c r="AM110" s="24"/>
      <c r="AN110" s="24">
        <v>178263</v>
      </c>
      <c r="AO110" s="24">
        <f>1093456</f>
        <v>1093456</v>
      </c>
      <c r="AP110" s="24"/>
      <c r="AQ110" s="505">
        <f t="shared" ref="AQ110" si="105">+AK110/AO109</f>
        <v>1.1113916020997988E-2</v>
      </c>
      <c r="AR110" s="25"/>
      <c r="AS110" s="25"/>
      <c r="AT110" s="24"/>
      <c r="AU110" s="342">
        <f t="shared" ref="AU110" si="106">+AO110/H110</f>
        <v>0.41464697466171824</v>
      </c>
      <c r="AV110" s="342"/>
      <c r="AW110" s="24">
        <f t="shared" ref="AW110" si="107">+AO110/BV110</f>
        <v>10826.29702970297</v>
      </c>
      <c r="AX110" s="352"/>
      <c r="AY110" s="392"/>
      <c r="AZ110" s="66">
        <f t="shared" ref="AZ110" si="108">+BB110-BB109</f>
        <v>594344</v>
      </c>
      <c r="BA110" s="67"/>
      <c r="BB110" s="67">
        <f>32592368</f>
        <v>32592368</v>
      </c>
      <c r="BC110" s="67"/>
      <c r="BD110" s="67">
        <f t="shared" ref="BD110" si="109">+D110</f>
        <v>40540</v>
      </c>
      <c r="BE110" s="67"/>
      <c r="BF110" s="157">
        <f t="shared" ref="BF110" si="110">+BD110/AZ110</f>
        <v>6.8209656360626175E-2</v>
      </c>
      <c r="BG110" s="67"/>
      <c r="BH110" s="184"/>
      <c r="BI110" s="67"/>
      <c r="BJ110" s="67">
        <f t="shared" ref="BJ110" si="111">SUM(AZ104:AZ110)</f>
        <v>4100378</v>
      </c>
      <c r="BK110" s="67"/>
      <c r="BL110" s="157">
        <f t="shared" ref="BL110" si="112">+P110/BJ110</f>
        <v>6.7705952963360932E-2</v>
      </c>
      <c r="BM110" s="66">
        <f t="shared" ref="BM110" si="113">+BB110/BV110</f>
        <v>322696.71287128713</v>
      </c>
      <c r="BN110" s="67"/>
      <c r="BO110" s="67">
        <f t="shared" ref="BO110" si="114">+BO109+BD110</f>
        <v>2363699</v>
      </c>
      <c r="BP110" s="67"/>
      <c r="BQ110" s="479">
        <f t="shared" ref="BQ110" si="115">+BO110/BB110</f>
        <v>7.2523082704515365E-2</v>
      </c>
      <c r="BR110" s="67"/>
      <c r="BS110" s="86"/>
      <c r="BT110" s="184"/>
      <c r="BU110" s="1"/>
      <c r="BV110">
        <f t="shared" si="53"/>
        <v>101</v>
      </c>
    </row>
    <row r="111" spans="2:74" x14ac:dyDescent="0.3">
      <c r="B111" s="172">
        <f t="shared" si="52"/>
        <v>44011</v>
      </c>
      <c r="C111" s="61"/>
      <c r="D111" s="17">
        <v>44734</v>
      </c>
      <c r="E111" s="16"/>
      <c r="F111" s="16"/>
      <c r="G111" s="16"/>
      <c r="H111" s="16">
        <f t="shared" ref="H111" si="116">+H110+D111</f>
        <v>2681811</v>
      </c>
      <c r="I111" s="16"/>
      <c r="J111" s="38">
        <f t="shared" ref="J111" si="117">+D111/H110</f>
        <v>1.696347888211076E-2</v>
      </c>
      <c r="K111" s="16"/>
      <c r="L111" s="16"/>
      <c r="M111" s="16"/>
      <c r="N111" s="16">
        <f t="shared" ref="N111" si="118">+H111/BV111</f>
        <v>26292.264705882353</v>
      </c>
      <c r="O111" s="41"/>
      <c r="P111" s="17"/>
      <c r="Q111" s="16"/>
      <c r="R111" s="60"/>
      <c r="S111" s="16"/>
      <c r="T111" s="41"/>
      <c r="U111" s="10"/>
      <c r="V111" s="34">
        <v>346</v>
      </c>
      <c r="W111" s="33"/>
      <c r="X111" s="33"/>
      <c r="Y111" s="33"/>
      <c r="Z111" s="33">
        <f t="shared" ref="Z111" si="119">+Z110+V111</f>
        <v>129436</v>
      </c>
      <c r="AA111" s="33"/>
      <c r="AB111" s="46">
        <f t="shared" ref="AB111" si="120">+Z111/H111</f>
        <v>4.8264400436868964E-2</v>
      </c>
      <c r="AC111" s="33"/>
      <c r="AD111" s="33">
        <f t="shared" ref="AD111" si="121">+Z111/BV111</f>
        <v>1268.9803921568628</v>
      </c>
      <c r="AE111" s="50"/>
      <c r="AF111" s="33"/>
      <c r="AG111" s="33"/>
      <c r="AH111" s="232"/>
      <c r="AI111" s="50"/>
      <c r="AJ111" s="10"/>
      <c r="AK111" s="23">
        <f t="shared" ref="AK111" si="122">+AO111-AO110</f>
        <v>23721</v>
      </c>
      <c r="AL111" s="24"/>
      <c r="AM111" s="24"/>
      <c r="AN111" s="24">
        <v>178263</v>
      </c>
      <c r="AO111" s="24">
        <v>1117177</v>
      </c>
      <c r="AP111" s="24"/>
      <c r="AQ111" s="505">
        <f t="shared" ref="AQ111" si="123">+AK111/AO110</f>
        <v>2.1693602668968848E-2</v>
      </c>
      <c r="AR111" s="25"/>
      <c r="AS111" s="25"/>
      <c r="AT111" s="24"/>
      <c r="AU111" s="342">
        <f t="shared" ref="AU111" si="124">+AO111/H111</f>
        <v>0.41657559015158041</v>
      </c>
      <c r="AV111" s="342"/>
      <c r="AW111" s="24">
        <f t="shared" ref="AW111" si="125">+AO111/BV111</f>
        <v>10952.715686274511</v>
      </c>
      <c r="AX111" s="352"/>
      <c r="AY111" s="10"/>
      <c r="AZ111" s="66">
        <f t="shared" ref="AZ111" si="126">+BB111-BB110</f>
        <v>597145</v>
      </c>
      <c r="BA111" s="67"/>
      <c r="BB111" s="67">
        <v>33189513</v>
      </c>
      <c r="BC111" s="67"/>
      <c r="BD111" s="67">
        <f t="shared" ref="BD111" si="127">+D111</f>
        <v>44734</v>
      </c>
      <c r="BE111" s="67"/>
      <c r="BF111" s="157">
        <f t="shared" ref="BF111" si="128">+BD111/AZ111</f>
        <v>7.4913128302171159E-2</v>
      </c>
      <c r="BG111" s="67"/>
      <c r="BH111" s="184"/>
      <c r="BI111" s="67"/>
      <c r="BJ111" s="67"/>
      <c r="BK111" s="67"/>
      <c r="BL111" s="157"/>
      <c r="BM111" s="66">
        <f t="shared" ref="BM111" si="129">+BB111/BV111</f>
        <v>325387.3823529412</v>
      </c>
      <c r="BN111" s="67"/>
      <c r="BO111" s="67">
        <f t="shared" ref="BO111" si="130">+BO110+BD111</f>
        <v>2408433</v>
      </c>
      <c r="BP111" s="67"/>
      <c r="BQ111" s="479">
        <f t="shared" ref="BQ111" si="131">+BO111/BB111</f>
        <v>7.2566084353211213E-2</v>
      </c>
      <c r="BR111" s="67"/>
      <c r="BS111" s="86"/>
      <c r="BT111" s="184"/>
      <c r="BU111" s="1"/>
      <c r="BV111">
        <f t="shared" si="53"/>
        <v>102</v>
      </c>
    </row>
    <row r="112" spans="2:74" x14ac:dyDescent="0.3">
      <c r="B112" s="172">
        <f t="shared" si="52"/>
        <v>44012</v>
      </c>
      <c r="C112" s="61"/>
      <c r="D112" s="17">
        <v>46042</v>
      </c>
      <c r="E112" s="16"/>
      <c r="F112" s="16"/>
      <c r="G112" s="16"/>
      <c r="H112" s="16">
        <f t="shared" ref="H112" si="132">+H111+D112</f>
        <v>2727853</v>
      </c>
      <c r="I112" s="16"/>
      <c r="J112" s="38">
        <f t="shared" ref="J112" si="133">+D112/H111</f>
        <v>1.7168249365820336E-2</v>
      </c>
      <c r="K112" s="16"/>
      <c r="L112" s="16"/>
      <c r="M112" s="16"/>
      <c r="N112" s="16">
        <f t="shared" ref="N112" si="134">+H112/BV112</f>
        <v>26484.009708737864</v>
      </c>
      <c r="O112" s="41"/>
      <c r="P112" s="17"/>
      <c r="Q112" s="16"/>
      <c r="R112" s="60"/>
      <c r="S112" s="16"/>
      <c r="T112" s="41"/>
      <c r="U112" s="10"/>
      <c r="V112" s="34">
        <v>764</v>
      </c>
      <c r="W112" s="33"/>
      <c r="X112" s="33"/>
      <c r="Y112" s="33"/>
      <c r="Z112" s="33">
        <f t="shared" ref="Z112" si="135">+Z111+V112</f>
        <v>130200</v>
      </c>
      <c r="AA112" s="33"/>
      <c r="AB112" s="46">
        <f t="shared" ref="AB112" si="136">+Z112/H112</f>
        <v>4.7729844680046908E-2</v>
      </c>
      <c r="AC112" s="33"/>
      <c r="AD112" s="33">
        <f t="shared" ref="AD112" si="137">+Z112/BV112</f>
        <v>1264.0776699029127</v>
      </c>
      <c r="AE112" s="50"/>
      <c r="AF112" s="33"/>
      <c r="AG112" s="33"/>
      <c r="AH112" s="232"/>
      <c r="AI112" s="50"/>
      <c r="AJ112" s="10"/>
      <c r="AK112" s="23">
        <f t="shared" ref="AK112" si="138">+AO112-AO111</f>
        <v>26157</v>
      </c>
      <c r="AL112" s="24"/>
      <c r="AM112" s="24"/>
      <c r="AN112" s="24">
        <v>178263</v>
      </c>
      <c r="AO112" s="24">
        <v>1143334</v>
      </c>
      <c r="AP112" s="24"/>
      <c r="AQ112" s="505">
        <f t="shared" ref="AQ112" si="139">+AK112/AO111</f>
        <v>2.3413478795213293E-2</v>
      </c>
      <c r="AR112" s="25"/>
      <c r="AS112" s="25"/>
      <c r="AT112" s="24"/>
      <c r="AU112" s="342">
        <f t="shared" ref="AU112" si="140">+AO112/H112</f>
        <v>0.41913328907386138</v>
      </c>
      <c r="AV112" s="342"/>
      <c r="AW112" s="24">
        <f t="shared" ref="AW112" si="141">+AO112/BV112</f>
        <v>11100.330097087379</v>
      </c>
      <c r="AX112" s="352"/>
      <c r="AY112" s="10"/>
      <c r="AZ112" s="66">
        <f t="shared" ref="AZ112" si="142">+BB112-BB111</f>
        <v>1008514</v>
      </c>
      <c r="BA112" s="67"/>
      <c r="BB112" s="67">
        <v>34198027</v>
      </c>
      <c r="BC112" s="67"/>
      <c r="BD112" s="67">
        <f t="shared" ref="BD112" si="143">+D112</f>
        <v>46042</v>
      </c>
      <c r="BE112" s="67"/>
      <c r="BF112" s="157">
        <f t="shared" ref="BF112" si="144">+BD112/AZ112</f>
        <v>4.5653307737919355E-2</v>
      </c>
      <c r="BG112" s="67"/>
      <c r="BH112" s="184"/>
      <c r="BI112" s="67"/>
      <c r="BJ112" s="67"/>
      <c r="BK112" s="67"/>
      <c r="BL112" s="157"/>
      <c r="BM112" s="66">
        <f t="shared" ref="BM112" si="145">+BB112/BV112</f>
        <v>332019.67961165047</v>
      </c>
      <c r="BN112" s="67"/>
      <c r="BO112" s="67">
        <f t="shared" ref="BO112" si="146">+BO111+BD112</f>
        <v>2454475</v>
      </c>
      <c r="BP112" s="67"/>
      <c r="BQ112" s="479">
        <f t="shared" ref="BQ112" si="147">+BO112/BB112</f>
        <v>7.1772415408643306E-2</v>
      </c>
      <c r="BR112" s="67"/>
      <c r="BS112" s="86"/>
      <c r="BT112" s="184"/>
      <c r="BU112" s="1"/>
      <c r="BV112">
        <f t="shared" si="53"/>
        <v>103</v>
      </c>
    </row>
    <row r="113" spans="2:74" x14ac:dyDescent="0.3">
      <c r="B113" s="172">
        <f t="shared" si="52"/>
        <v>44013</v>
      </c>
      <c r="C113" s="61"/>
      <c r="D113" s="17">
        <v>51097</v>
      </c>
      <c r="E113" s="16"/>
      <c r="F113" s="16"/>
      <c r="G113" s="16"/>
      <c r="H113" s="16">
        <f t="shared" ref="H113" si="148">+H112+D113</f>
        <v>2778950</v>
      </c>
      <c r="I113" s="16"/>
      <c r="J113" s="38">
        <f t="shared" ref="J113" si="149">+D113/H112</f>
        <v>1.8731581210571096E-2</v>
      </c>
      <c r="K113" s="16"/>
      <c r="L113" s="16"/>
      <c r="M113" s="16"/>
      <c r="N113" s="16">
        <f t="shared" ref="N113" si="150">+H113/BV113</f>
        <v>26720.673076923078</v>
      </c>
      <c r="O113" s="41"/>
      <c r="P113" s="17"/>
      <c r="Q113" s="16"/>
      <c r="R113" s="60"/>
      <c r="S113" s="16"/>
      <c r="T113" s="41"/>
      <c r="U113" s="10"/>
      <c r="V113" s="34">
        <v>676</v>
      </c>
      <c r="W113" s="33"/>
      <c r="X113" s="33"/>
      <c r="Y113" s="33"/>
      <c r="Z113" s="33">
        <f t="shared" ref="Z113" si="151">+Z112+V113</f>
        <v>130876</v>
      </c>
      <c r="AA113" s="33"/>
      <c r="AB113" s="46">
        <f t="shared" ref="AB113" si="152">+Z113/H113</f>
        <v>4.7095485705032476E-2</v>
      </c>
      <c r="AC113" s="33"/>
      <c r="AD113" s="33">
        <f t="shared" ref="AD113" si="153">+Z113/BV113</f>
        <v>1258.4230769230769</v>
      </c>
      <c r="AE113" s="50"/>
      <c r="AF113" s="33"/>
      <c r="AG113" s="33">
        <f>SUM(D83:D112)</f>
        <v>869627</v>
      </c>
      <c r="AH113" s="232"/>
      <c r="AI113" s="50"/>
      <c r="AJ113" s="10"/>
      <c r="AK113" s="23">
        <f t="shared" ref="AK113" si="154">+AO113-AO112</f>
        <v>20966</v>
      </c>
      <c r="AL113" s="24"/>
      <c r="AM113" s="24"/>
      <c r="AN113" s="24">
        <v>178263</v>
      </c>
      <c r="AO113" s="24">
        <v>1164300</v>
      </c>
      <c r="AP113" s="24"/>
      <c r="AQ113" s="505">
        <f t="shared" ref="AQ113" si="155">+AK113/AO112</f>
        <v>1.8337598636968724E-2</v>
      </c>
      <c r="AR113" s="25"/>
      <c r="AS113" s="25"/>
      <c r="AT113" s="24"/>
      <c r="AU113" s="342">
        <f t="shared" ref="AU113" si="156">+AO113/H113</f>
        <v>0.41897119415606615</v>
      </c>
      <c r="AV113" s="342"/>
      <c r="AW113" s="24">
        <f t="shared" ref="AW113" si="157">+AO113/BV113</f>
        <v>11195.192307692309</v>
      </c>
      <c r="AX113" s="352"/>
      <c r="AY113" s="10"/>
      <c r="AZ113" s="66">
        <f t="shared" ref="AZ113" si="158">+BB113-BB112</f>
        <v>657615</v>
      </c>
      <c r="BA113" s="67"/>
      <c r="BB113" s="67">
        <v>34855642</v>
      </c>
      <c r="BC113" s="67"/>
      <c r="BD113" s="67">
        <f t="shared" ref="BD113" si="159">+D113</f>
        <v>51097</v>
      </c>
      <c r="BE113" s="67"/>
      <c r="BF113" s="157">
        <f t="shared" ref="BF113" si="160">+BD113/AZ113</f>
        <v>7.7700478243349066E-2</v>
      </c>
      <c r="BG113" s="67"/>
      <c r="BH113" s="184"/>
      <c r="BI113" s="67"/>
      <c r="BJ113" s="67"/>
      <c r="BK113" s="67"/>
      <c r="BL113" s="157"/>
      <c r="BM113" s="66">
        <f t="shared" ref="BM113" si="161">+BB113/BV113</f>
        <v>335150.40384615387</v>
      </c>
      <c r="BN113" s="67"/>
      <c r="BO113" s="67">
        <f t="shared" ref="BO113" si="162">+BO112+BD113</f>
        <v>2505572</v>
      </c>
      <c r="BP113" s="67"/>
      <c r="BQ113" s="479">
        <f t="shared" ref="BQ113" si="163">+BO113/BB113</f>
        <v>7.1884259082073423E-2</v>
      </c>
      <c r="BR113" s="67"/>
      <c r="BS113" s="86"/>
      <c r="BT113" s="184"/>
      <c r="BU113" s="1"/>
      <c r="BV113">
        <f t="shared" si="53"/>
        <v>104</v>
      </c>
    </row>
    <row r="114" spans="2:74" x14ac:dyDescent="0.3">
      <c r="B114" s="172">
        <f t="shared" si="52"/>
        <v>44014</v>
      </c>
      <c r="C114" s="61"/>
      <c r="D114" s="17">
        <f>57232+2643</f>
        <v>59875</v>
      </c>
      <c r="E114" s="16"/>
      <c r="F114" s="16"/>
      <c r="G114" s="16"/>
      <c r="H114" s="16">
        <f>+H113+D114+2141</f>
        <v>2840966</v>
      </c>
      <c r="I114" s="506" t="s">
        <v>150</v>
      </c>
      <c r="J114" s="38">
        <f t="shared" ref="J114" si="164">+D114/H113</f>
        <v>2.1545907626981414E-2</v>
      </c>
      <c r="K114" s="16"/>
      <c r="L114" s="16"/>
      <c r="M114" s="16"/>
      <c r="N114" s="16">
        <f t="shared" ref="N114" si="165">+H114/BV114</f>
        <v>27056.819047619047</v>
      </c>
      <c r="O114" s="41"/>
      <c r="P114" s="17"/>
      <c r="Q114" s="16"/>
      <c r="R114" s="60"/>
      <c r="S114" s="16"/>
      <c r="T114" s="41"/>
      <c r="U114" s="10"/>
      <c r="V114" s="34">
        <v>604</v>
      </c>
      <c r="W114" s="33"/>
      <c r="X114" s="33"/>
      <c r="Y114" s="33"/>
      <c r="Z114" s="33">
        <f t="shared" ref="Z114" si="166">+Z113+V114</f>
        <v>131480</v>
      </c>
      <c r="AA114" s="33"/>
      <c r="AB114" s="46">
        <f t="shared" ref="AB114" si="167">+Z114/H114</f>
        <v>4.6280032918380579E-2</v>
      </c>
      <c r="AC114" s="33"/>
      <c r="AD114" s="33">
        <f t="shared" ref="AD114" si="168">+Z114/BV114</f>
        <v>1252.1904761904761</v>
      </c>
      <c r="AE114" s="50"/>
      <c r="AF114" s="33"/>
      <c r="AG114" s="33">
        <f>SUM(V83:V112)</f>
        <v>21252</v>
      </c>
      <c r="AH114" s="232"/>
      <c r="AI114" s="50"/>
      <c r="AJ114" s="10"/>
      <c r="AK114" s="23">
        <f t="shared" ref="AK114" si="169">+AO114-AO113</f>
        <v>20879</v>
      </c>
      <c r="AL114" s="24"/>
      <c r="AM114" s="24"/>
      <c r="AN114" s="24">
        <v>178263</v>
      </c>
      <c r="AO114" s="24">
        <v>1185179</v>
      </c>
      <c r="AP114" s="24"/>
      <c r="AQ114" s="505">
        <f t="shared" ref="AQ114" si="170">+AK114/AO113</f>
        <v>1.7932663402903032E-2</v>
      </c>
      <c r="AR114" s="25"/>
      <c r="AS114" s="25"/>
      <c r="AT114" s="24"/>
      <c r="AU114" s="342">
        <f t="shared" ref="AU114" si="171">+AO114/H114</f>
        <v>0.417174651157388</v>
      </c>
      <c r="AV114" s="342"/>
      <c r="AW114" s="24">
        <f t="shared" ref="AW114" si="172">+AO114/BV114</f>
        <v>11287.419047619047</v>
      </c>
      <c r="AX114" s="352"/>
      <c r="AY114" s="10"/>
      <c r="AZ114" s="66">
        <f t="shared" ref="AZ114" si="173">+BB114-BB113</f>
        <v>682358</v>
      </c>
      <c r="BA114" s="67"/>
      <c r="BB114" s="67">
        <v>35538000</v>
      </c>
      <c r="BC114" s="67"/>
      <c r="BD114" s="67">
        <f t="shared" ref="BD114" si="174">+D114</f>
        <v>59875</v>
      </c>
      <c r="BE114" s="67"/>
      <c r="BF114" s="157">
        <f t="shared" ref="BF114" si="175">+BD114/AZ114</f>
        <v>8.7747194288042341E-2</v>
      </c>
      <c r="BG114" s="67"/>
      <c r="BH114" s="184"/>
      <c r="BI114" s="67"/>
      <c r="BJ114" s="67"/>
      <c r="BK114" s="67"/>
      <c r="BL114" s="157"/>
      <c r="BM114" s="66">
        <f t="shared" ref="BM114" si="176">+BB114/BV114</f>
        <v>338457.14285714284</v>
      </c>
      <c r="BN114" s="67"/>
      <c r="BO114" s="67">
        <f t="shared" ref="BO114" si="177">+BO113+BD114</f>
        <v>2565447</v>
      </c>
      <c r="BP114" s="67"/>
      <c r="BQ114" s="479">
        <f t="shared" ref="BQ114" si="178">+BO114/BB114</f>
        <v>7.2188840114806682E-2</v>
      </c>
      <c r="BR114" s="67"/>
      <c r="BS114" s="86"/>
      <c r="BT114" s="184"/>
      <c r="BU114" s="1"/>
      <c r="BV114">
        <f t="shared" si="53"/>
        <v>105</v>
      </c>
    </row>
    <row r="115" spans="2:74" x14ac:dyDescent="0.3">
      <c r="B115" s="172">
        <f t="shared" si="52"/>
        <v>44015</v>
      </c>
      <c r="C115" s="61"/>
      <c r="D115" s="17">
        <f>54904+3187</f>
        <v>58091</v>
      </c>
      <c r="E115" s="16"/>
      <c r="F115" s="16"/>
      <c r="G115" s="16"/>
      <c r="H115" s="16">
        <f t="shared" ref="H115" si="179">+H114+D115</f>
        <v>2899057</v>
      </c>
      <c r="I115" s="506" t="s">
        <v>150</v>
      </c>
      <c r="J115" s="38">
        <f t="shared" ref="J115" si="180">+D115/H114</f>
        <v>2.0447622393228219E-2</v>
      </c>
      <c r="K115" s="16"/>
      <c r="L115" s="16"/>
      <c r="M115" s="16"/>
      <c r="N115" s="16">
        <f t="shared" ref="N115" si="181">+H115/BV115</f>
        <v>27349.594339622643</v>
      </c>
      <c r="O115" s="41"/>
      <c r="P115" s="17"/>
      <c r="Q115" s="16"/>
      <c r="R115" s="60"/>
      <c r="S115" s="16"/>
      <c r="T115" s="41"/>
      <c r="U115" s="10"/>
      <c r="V115" s="34">
        <v>616</v>
      </c>
      <c r="W115" s="33"/>
      <c r="X115" s="33"/>
      <c r="Y115" s="33"/>
      <c r="Z115" s="33">
        <f t="shared" ref="Z115" si="182">+Z114+V115</f>
        <v>132096</v>
      </c>
      <c r="AA115" s="33"/>
      <c r="AB115" s="46">
        <f t="shared" ref="AB115" si="183">+Z115/H115</f>
        <v>4.5565161361090865E-2</v>
      </c>
      <c r="AC115" s="33"/>
      <c r="AD115" s="33">
        <f t="shared" ref="AD115" si="184">+Z115/BV115</f>
        <v>1246.1886792452831</v>
      </c>
      <c r="AE115" s="50"/>
      <c r="AF115" s="33"/>
      <c r="AG115" s="232">
        <f>+AG114/AG113</f>
        <v>2.4438063675575852E-2</v>
      </c>
      <c r="AH115" s="232"/>
      <c r="AI115" s="50"/>
      <c r="AJ115" s="10"/>
      <c r="AK115" s="23">
        <f t="shared" ref="AK115" si="185">+AO115-AO114</f>
        <v>50309</v>
      </c>
      <c r="AL115" s="24"/>
      <c r="AM115" s="24"/>
      <c r="AN115" s="24">
        <v>178263</v>
      </c>
      <c r="AO115" s="24">
        <v>1235488</v>
      </c>
      <c r="AP115" s="24"/>
      <c r="AQ115" s="505">
        <f t="shared" ref="AQ115" si="186">+AK115/AO114</f>
        <v>4.2448440277797699E-2</v>
      </c>
      <c r="AR115" s="25"/>
      <c r="AS115" s="25"/>
      <c r="AT115" s="24"/>
      <c r="AU115" s="342">
        <f t="shared" ref="AU115" si="187">+AO115/H115</f>
        <v>0.42616892320502842</v>
      </c>
      <c r="AV115" s="342"/>
      <c r="AW115" s="24">
        <f t="shared" ref="AW115" si="188">+AO115/BV115</f>
        <v>11655.547169811322</v>
      </c>
      <c r="AX115" s="352"/>
      <c r="AY115" s="10"/>
      <c r="AZ115" s="66">
        <f t="shared" ref="AZ115" si="189">+BB115-BB114</f>
        <v>759195</v>
      </c>
      <c r="BA115" s="67"/>
      <c r="BB115" s="67">
        <v>36297195</v>
      </c>
      <c r="BC115" s="67"/>
      <c r="BD115" s="67">
        <f t="shared" ref="BD115" si="190">+D115</f>
        <v>58091</v>
      </c>
      <c r="BE115" s="67"/>
      <c r="BF115" s="157">
        <f t="shared" ref="BF115" si="191">+BD115/AZ115</f>
        <v>7.6516573475852709E-2</v>
      </c>
      <c r="BG115" s="67"/>
      <c r="BH115" s="184"/>
      <c r="BI115" s="67"/>
      <c r="BJ115" s="67"/>
      <c r="BK115" s="67"/>
      <c r="BL115" s="157"/>
      <c r="BM115" s="66">
        <f t="shared" ref="BM115" si="192">+BB115/BV115</f>
        <v>342426.36792452831</v>
      </c>
      <c r="BN115" s="67"/>
      <c r="BO115" s="67">
        <f t="shared" ref="BO115" si="193">+BO114+BD115</f>
        <v>2623538</v>
      </c>
      <c r="BP115" s="67"/>
      <c r="BQ115" s="479">
        <f t="shared" ref="BQ115" si="194">+BO115/BB115</f>
        <v>7.2279359327903983E-2</v>
      </c>
      <c r="BR115" s="67"/>
      <c r="BS115" s="86"/>
      <c r="BT115" s="184"/>
      <c r="BU115" s="1"/>
      <c r="BV115">
        <f t="shared" si="53"/>
        <v>106</v>
      </c>
    </row>
    <row r="116" spans="2:74" x14ac:dyDescent="0.3">
      <c r="B116" s="172">
        <f t="shared" si="52"/>
        <v>44016</v>
      </c>
      <c r="C116" s="61"/>
      <c r="D116" s="17">
        <f>45182+1402</f>
        <v>46584</v>
      </c>
      <c r="E116" s="16"/>
      <c r="F116" s="16"/>
      <c r="G116" s="16"/>
      <c r="H116" s="16">
        <f t="shared" ref="H116" si="195">+H115+D116</f>
        <v>2945641</v>
      </c>
      <c r="I116" s="506" t="s">
        <v>150</v>
      </c>
      <c r="J116" s="38">
        <f t="shared" ref="J116" si="196">+D116/H115</f>
        <v>1.6068673365166673E-2</v>
      </c>
      <c r="K116" s="16"/>
      <c r="L116" s="16"/>
      <c r="M116" s="16"/>
      <c r="N116" s="16">
        <f t="shared" ref="N116" si="197">+H116/BV116</f>
        <v>27529.355140186915</v>
      </c>
      <c r="O116" s="41"/>
      <c r="P116" s="17"/>
      <c r="Q116" s="16"/>
      <c r="R116" s="60"/>
      <c r="S116" s="16"/>
      <c r="T116" s="41"/>
      <c r="U116" s="10"/>
      <c r="V116" s="34">
        <v>254</v>
      </c>
      <c r="W116" s="33"/>
      <c r="X116" s="33"/>
      <c r="Y116" s="33"/>
      <c r="Z116" s="33">
        <f t="shared" ref="Z116" si="198">+Z115+V116</f>
        <v>132350</v>
      </c>
      <c r="AA116" s="33"/>
      <c r="AB116" s="46">
        <f t="shared" ref="AB116" si="199">+Z116/H116</f>
        <v>4.4930797744871152E-2</v>
      </c>
      <c r="AC116" s="33"/>
      <c r="AD116" s="33">
        <f t="shared" ref="AD116" si="200">+Z116/BV116</f>
        <v>1236.9158878504672</v>
      </c>
      <c r="AE116" s="50"/>
      <c r="AF116" s="33"/>
      <c r="AG116" s="33"/>
      <c r="AH116" s="232"/>
      <c r="AI116" s="50"/>
      <c r="AJ116" s="10"/>
      <c r="AK116" s="23">
        <f t="shared" ref="AK116" si="201">+AO116-AO115</f>
        <v>24917</v>
      </c>
      <c r="AL116" s="24"/>
      <c r="AM116" s="24"/>
      <c r="AN116" s="24">
        <v>178263</v>
      </c>
      <c r="AO116" s="24">
        <v>1260405</v>
      </c>
      <c r="AP116" s="24"/>
      <c r="AQ116" s="505">
        <f t="shared" ref="AQ116" si="202">+AK116/AO115</f>
        <v>2.0167739387189517E-2</v>
      </c>
      <c r="AR116" s="25"/>
      <c r="AS116" s="25"/>
      <c r="AT116" s="24"/>
      <c r="AU116" s="342">
        <f t="shared" ref="AU116" si="203">+AO116/H116</f>
        <v>0.42788819139874817</v>
      </c>
      <c r="AV116" s="342"/>
      <c r="AW116" s="24">
        <f t="shared" ref="AW116" si="204">+AO116/BV116</f>
        <v>11779.485981308411</v>
      </c>
      <c r="AX116" s="352"/>
      <c r="AY116" s="10"/>
      <c r="AZ116" s="66">
        <f t="shared" ref="AZ116" si="205">+BB116-BB115</f>
        <v>656438</v>
      </c>
      <c r="BA116" s="67"/>
      <c r="BB116" s="67">
        <v>36953633</v>
      </c>
      <c r="BC116" s="67"/>
      <c r="BD116" s="67">
        <f t="shared" ref="BD116" si="206">+D116</f>
        <v>46584</v>
      </c>
      <c r="BE116" s="67"/>
      <c r="BF116" s="157">
        <f t="shared" ref="BF116" si="207">+BD116/AZ116</f>
        <v>7.0964813127820145E-2</v>
      </c>
      <c r="BG116" s="67"/>
      <c r="BH116" s="184"/>
      <c r="BI116" s="67"/>
      <c r="BJ116" s="67"/>
      <c r="BK116" s="67"/>
      <c r="BL116" s="157"/>
      <c r="BM116" s="66">
        <f t="shared" ref="BM116" si="208">+BB116/BV116</f>
        <v>345361.05607476638</v>
      </c>
      <c r="BN116" s="67"/>
      <c r="BO116" s="67">
        <f t="shared" ref="BO116" si="209">+BO115+BD116</f>
        <v>2670122</v>
      </c>
      <c r="BP116" s="67"/>
      <c r="BQ116" s="479">
        <f t="shared" ref="BQ116" si="210">+BO116/BB116</f>
        <v>7.2256007954617077E-2</v>
      </c>
      <c r="BR116" s="67"/>
      <c r="BS116" s="86"/>
      <c r="BT116" s="184"/>
      <c r="BU116" s="1"/>
      <c r="BV116">
        <f t="shared" si="53"/>
        <v>107</v>
      </c>
    </row>
    <row r="117" spans="2:74" x14ac:dyDescent="0.3">
      <c r="B117" s="391">
        <f t="shared" si="52"/>
        <v>44017</v>
      </c>
      <c r="C117" s="61"/>
      <c r="D117" s="17">
        <v>44530</v>
      </c>
      <c r="E117" s="16"/>
      <c r="F117" s="16"/>
      <c r="G117" s="16"/>
      <c r="H117" s="16">
        <f t="shared" ref="H117" si="211">+H116+D117</f>
        <v>2990171</v>
      </c>
      <c r="I117" s="16"/>
      <c r="J117" s="38">
        <f t="shared" ref="J117" si="212">+D117/H116</f>
        <v>1.5117252917107006E-2</v>
      </c>
      <c r="K117" s="16"/>
      <c r="L117" s="16"/>
      <c r="M117" s="16"/>
      <c r="N117" s="16">
        <f t="shared" ref="N117" si="213">+H117/BV117</f>
        <v>27686.768518518518</v>
      </c>
      <c r="O117" s="41"/>
      <c r="P117" s="17">
        <f t="shared" ref="P117" si="214">SUM(D111:D117)</f>
        <v>350953</v>
      </c>
      <c r="Q117" s="16"/>
      <c r="R117" s="60">
        <f t="shared" ref="R117" si="215">+(P117-P110)/P110</f>
        <v>0.26414883653915422</v>
      </c>
      <c r="S117" s="16"/>
      <c r="T117" s="41"/>
      <c r="U117" s="392"/>
      <c r="V117" s="34">
        <v>251</v>
      </c>
      <c r="W117" s="33"/>
      <c r="X117" s="33"/>
      <c r="Y117" s="33"/>
      <c r="Z117" s="33">
        <f t="shared" ref="Z117" si="216">+Z116+V117</f>
        <v>132601</v>
      </c>
      <c r="AA117" s="33"/>
      <c r="AB117" s="46">
        <f t="shared" ref="AB117" si="217">+Z117/H117</f>
        <v>4.4345624380679231E-2</v>
      </c>
      <c r="AC117" s="33"/>
      <c r="AD117" s="33">
        <f t="shared" ref="AD117" si="218">+Z117/BV117</f>
        <v>1227.787037037037</v>
      </c>
      <c r="AE117" s="50"/>
      <c r="AF117" s="33">
        <f t="shared" ref="AF117" si="219">SUM(V111:V117)</f>
        <v>3511</v>
      </c>
      <c r="AG117" s="33"/>
      <c r="AH117" s="232">
        <f t="shared" ref="AH117" si="220">+(AF117-AF110)/AF110</f>
        <v>-0.15722515602496401</v>
      </c>
      <c r="AI117" s="50"/>
      <c r="AJ117" s="392"/>
      <c r="AK117" s="23">
        <f t="shared" ref="AK117" si="221">+AO117-AO116</f>
        <v>25154</v>
      </c>
      <c r="AL117" s="24"/>
      <c r="AM117" s="24"/>
      <c r="AN117" s="24">
        <v>178263</v>
      </c>
      <c r="AO117" s="24">
        <v>1285559</v>
      </c>
      <c r="AP117" s="24"/>
      <c r="AQ117" s="505">
        <f t="shared" ref="AQ117" si="222">+AK117/AO116</f>
        <v>1.9957077288649282E-2</v>
      </c>
      <c r="AR117" s="25"/>
      <c r="AS117" s="25"/>
      <c r="AT117" s="24"/>
      <c r="AU117" s="342">
        <f t="shared" ref="AU117" si="223">+AO117/H117</f>
        <v>0.42992825493926601</v>
      </c>
      <c r="AV117" s="342"/>
      <c r="AW117" s="24">
        <f t="shared" ref="AW117" si="224">+AO117/BV117</f>
        <v>11903.324074074075</v>
      </c>
      <c r="AX117" s="352"/>
      <c r="AY117" s="392"/>
      <c r="AZ117" s="66">
        <f t="shared" ref="AZ117" si="225">+BB117-BB116</f>
        <v>633176</v>
      </c>
      <c r="BA117" s="67"/>
      <c r="BB117" s="67">
        <v>37586809</v>
      </c>
      <c r="BC117" s="67"/>
      <c r="BD117" s="67">
        <f t="shared" ref="BD117" si="226">+D117</f>
        <v>44530</v>
      </c>
      <c r="BE117" s="67"/>
      <c r="BF117" s="157">
        <f t="shared" ref="BF117" si="227">+BD117/AZ117</f>
        <v>7.0327997270900985E-2</v>
      </c>
      <c r="BG117" s="67"/>
      <c r="BH117" s="184"/>
      <c r="BI117" s="67"/>
      <c r="BJ117" s="67">
        <f t="shared" ref="BJ117" si="228">SUM(AZ111:AZ117)</f>
        <v>4994441</v>
      </c>
      <c r="BK117" s="67"/>
      <c r="BL117" s="157">
        <f t="shared" ref="BL117" si="229">+P117/BJ117</f>
        <v>7.0268724768197288E-2</v>
      </c>
      <c r="BM117" s="66">
        <f t="shared" ref="BM117" si="230">+BB117/BV117</f>
        <v>348026.00925925927</v>
      </c>
      <c r="BN117" s="67"/>
      <c r="BO117" s="67">
        <f t="shared" ref="BO117" si="231">+BO116+BD117</f>
        <v>2714652</v>
      </c>
      <c r="BP117" s="67"/>
      <c r="BQ117" s="479">
        <f t="shared" ref="BQ117" si="232">+BO117/BB117</f>
        <v>7.2223529270601286E-2</v>
      </c>
      <c r="BR117" s="67"/>
      <c r="BS117" s="86"/>
      <c r="BT117" s="184"/>
      <c r="BU117" s="1"/>
      <c r="BV117" s="473">
        <f t="shared" si="53"/>
        <v>108</v>
      </c>
    </row>
    <row r="118" spans="2:74" x14ac:dyDescent="0.3">
      <c r="B118" s="172">
        <f t="shared" si="52"/>
        <v>44018</v>
      </c>
      <c r="C118" s="61"/>
      <c r="D118" s="17">
        <f>50586+3026</f>
        <v>53612</v>
      </c>
      <c r="E118" s="16"/>
      <c r="F118" s="16"/>
      <c r="G118" s="16"/>
      <c r="H118" s="16">
        <f t="shared" ref="H118" si="233">+H117+D118</f>
        <v>3043783</v>
      </c>
      <c r="I118" s="16"/>
      <c r="J118" s="38">
        <f t="shared" ref="J118" si="234">+D118/H117</f>
        <v>1.792940938829251E-2</v>
      </c>
      <c r="K118" s="16"/>
      <c r="L118" s="16"/>
      <c r="M118" s="16"/>
      <c r="N118" s="16">
        <f t="shared" ref="N118" si="235">+H118/BV118</f>
        <v>27924.614678899081</v>
      </c>
      <c r="O118" s="41"/>
      <c r="P118" s="17">
        <f t="shared" ref="P118" si="236">SUM(D112:D118)</f>
        <v>359831</v>
      </c>
      <c r="Q118" s="16"/>
      <c r="R118" s="60"/>
      <c r="S118" s="16"/>
      <c r="T118" s="41"/>
      <c r="U118" s="10"/>
      <c r="V118" s="34">
        <v>378</v>
      </c>
      <c r="W118" s="33"/>
      <c r="X118" s="33"/>
      <c r="Y118" s="33"/>
      <c r="Z118" s="33">
        <f t="shared" ref="Z118" si="237">+Z117+V118</f>
        <v>132979</v>
      </c>
      <c r="AA118" s="33"/>
      <c r="AB118" s="46">
        <f t="shared" ref="AB118" si="238">+Z118/H118</f>
        <v>4.3688725510327119E-2</v>
      </c>
      <c r="AC118" s="33"/>
      <c r="AD118" s="33">
        <f t="shared" ref="AD118" si="239">+Z118/BV118</f>
        <v>1219.9908256880733</v>
      </c>
      <c r="AE118" s="50"/>
      <c r="AF118" s="33"/>
      <c r="AG118" s="33"/>
      <c r="AH118" s="232"/>
      <c r="AI118" s="50"/>
      <c r="AJ118" s="10"/>
      <c r="AK118" s="23">
        <f t="shared" ref="AK118" si="240">+AO118-AO117</f>
        <v>39388</v>
      </c>
      <c r="AL118" s="24"/>
      <c r="AM118" s="24"/>
      <c r="AN118" s="24">
        <v>178263</v>
      </c>
      <c r="AO118" s="24">
        <v>1324947</v>
      </c>
      <c r="AP118" s="24"/>
      <c r="AQ118" s="505">
        <f t="shared" ref="AQ118" si="241">+AK118/AO117</f>
        <v>3.0638811598689752E-2</v>
      </c>
      <c r="AR118" s="25"/>
      <c r="AS118" s="25"/>
      <c r="AT118" s="24"/>
      <c r="AU118" s="342">
        <f t="shared" ref="AU118" si="242">+AO118/H118</f>
        <v>0.43529614299048258</v>
      </c>
      <c r="AV118" s="342"/>
      <c r="AW118" s="24">
        <f t="shared" ref="AW118" si="243">+AO118/BV118</f>
        <v>12155.477064220184</v>
      </c>
      <c r="AX118" s="352"/>
      <c r="AY118" s="10"/>
      <c r="AZ118" s="66">
        <f t="shared" ref="AZ118" si="244">+BB118-BB117</f>
        <v>630831</v>
      </c>
      <c r="BA118" s="67"/>
      <c r="BB118" s="67">
        <v>38217640</v>
      </c>
      <c r="BC118" s="67"/>
      <c r="BD118" s="67">
        <f t="shared" ref="BD118" si="245">+D118</f>
        <v>53612</v>
      </c>
      <c r="BE118" s="67"/>
      <c r="BF118" s="157">
        <f t="shared" ref="BF118" si="246">+BD118/AZ118</f>
        <v>8.4986311706304857E-2</v>
      </c>
      <c r="BG118" s="67"/>
      <c r="BH118" s="184"/>
      <c r="BI118" s="67"/>
      <c r="BJ118" s="67">
        <f t="shared" ref="BJ118" si="247">SUM(AZ112:AZ118)</f>
        <v>5028127</v>
      </c>
      <c r="BK118" s="67"/>
      <c r="BL118" s="157">
        <f t="shared" ref="BL118" si="248">+P118/BJ118</f>
        <v>7.1563625978420989E-2</v>
      </c>
      <c r="BM118" s="66">
        <f t="shared" ref="BM118" si="249">+BB118/BV118</f>
        <v>350620.55045871559</v>
      </c>
      <c r="BN118" s="67"/>
      <c r="BO118" s="67">
        <f t="shared" ref="BO118" si="250">+BO117+BD118</f>
        <v>2768264</v>
      </c>
      <c r="BP118" s="67"/>
      <c r="BQ118" s="479">
        <f t="shared" ref="BQ118" si="251">+BO118/BB118</f>
        <v>7.2434195308763175E-2</v>
      </c>
      <c r="BR118" s="67"/>
      <c r="BS118" s="86"/>
      <c r="BT118" s="184"/>
      <c r="BU118" s="1"/>
      <c r="BV118">
        <f t="shared" si="53"/>
        <v>109</v>
      </c>
    </row>
    <row r="119" spans="2:74" x14ac:dyDescent="0.3">
      <c r="B119" s="172">
        <f t="shared" si="52"/>
        <v>44019</v>
      </c>
      <c r="C119" s="61"/>
      <c r="D119" s="17">
        <v>55442</v>
      </c>
      <c r="E119" s="16"/>
      <c r="F119" s="16"/>
      <c r="G119" s="16"/>
      <c r="H119" s="16">
        <f t="shared" ref="H119" si="252">+H118+D119</f>
        <v>3099225</v>
      </c>
      <c r="I119" s="16"/>
      <c r="J119" s="38">
        <f t="shared" ref="J119" si="253">+D119/H118</f>
        <v>1.821483331761824E-2</v>
      </c>
      <c r="K119" s="16"/>
      <c r="L119" s="16"/>
      <c r="M119" s="16"/>
      <c r="N119" s="16">
        <f t="shared" ref="N119" si="254">+H119/BV119</f>
        <v>28174.772727272728</v>
      </c>
      <c r="O119" s="41"/>
      <c r="P119" s="17">
        <f t="shared" ref="P119" si="255">SUM(D113:D119)</f>
        <v>369231</v>
      </c>
      <c r="Q119" s="16"/>
      <c r="R119" s="60"/>
      <c r="S119" s="16"/>
      <c r="T119" s="41"/>
      <c r="U119" s="10"/>
      <c r="V119" s="34">
        <v>993</v>
      </c>
      <c r="W119" s="33"/>
      <c r="X119" s="33"/>
      <c r="Y119" s="33"/>
      <c r="Z119" s="33">
        <f t="shared" ref="Z119" si="256">+Z118+V119</f>
        <v>133972</v>
      </c>
      <c r="AA119" s="33"/>
      <c r="AB119" s="46">
        <f t="shared" ref="AB119" si="257">+Z119/H119</f>
        <v>4.3227581088820591E-2</v>
      </c>
      <c r="AC119" s="33"/>
      <c r="AD119" s="33">
        <f t="shared" ref="AD119" si="258">+Z119/BV119</f>
        <v>1217.9272727272728</v>
      </c>
      <c r="AE119" s="50"/>
      <c r="AF119" s="33"/>
      <c r="AG119" s="33"/>
      <c r="AH119" s="232"/>
      <c r="AI119" s="50"/>
      <c r="AJ119" s="10"/>
      <c r="AK119" s="23">
        <f t="shared" ref="AK119" si="259">+AO119-AO118</f>
        <v>29916</v>
      </c>
      <c r="AL119" s="24"/>
      <c r="AM119" s="24"/>
      <c r="AN119" s="24">
        <v>178263</v>
      </c>
      <c r="AO119" s="24">
        <v>1354863</v>
      </c>
      <c r="AP119" s="24"/>
      <c r="AQ119" s="505">
        <f t="shared" ref="AQ119" si="260">+AK119/AO118</f>
        <v>2.2579016368201896E-2</v>
      </c>
      <c r="AR119" s="25"/>
      <c r="AS119" s="25"/>
      <c r="AT119" s="24"/>
      <c r="AU119" s="342">
        <f t="shared" ref="AU119" si="261">+AO119/H119</f>
        <v>0.43716187111293953</v>
      </c>
      <c r="AV119" s="342"/>
      <c r="AW119" s="24">
        <f t="shared" ref="AW119" si="262">+AO119/BV119</f>
        <v>12316.936363636363</v>
      </c>
      <c r="AX119" s="352"/>
      <c r="AY119" s="10"/>
      <c r="AZ119" s="66">
        <f t="shared" ref="AZ119" si="263">+BB119-BB118</f>
        <v>583951</v>
      </c>
      <c r="BA119" s="67"/>
      <c r="BB119" s="67">
        <v>38801591</v>
      </c>
      <c r="BC119" s="67"/>
      <c r="BD119" s="67">
        <f t="shared" ref="BD119" si="264">+D119</f>
        <v>55442</v>
      </c>
      <c r="BE119" s="67"/>
      <c r="BF119" s="157">
        <f t="shared" ref="BF119" si="265">+BD119/AZ119</f>
        <v>9.4942897606134766E-2</v>
      </c>
      <c r="BG119" s="67"/>
      <c r="BH119" s="184"/>
      <c r="BI119" s="67"/>
      <c r="BJ119" s="67">
        <f t="shared" ref="BJ119" si="266">SUM(AZ113:AZ119)</f>
        <v>4603564</v>
      </c>
      <c r="BK119" s="67"/>
      <c r="BL119" s="157">
        <f t="shared" ref="BL119" si="267">+P119/BJ119</f>
        <v>8.0205466894779781E-2</v>
      </c>
      <c r="BM119" s="66">
        <f t="shared" ref="BM119" si="268">+BB119/BV119</f>
        <v>352741.73636363639</v>
      </c>
      <c r="BN119" s="67"/>
      <c r="BO119" s="67">
        <f t="shared" ref="BO119" si="269">+BO118+BD119</f>
        <v>2823706</v>
      </c>
      <c r="BP119" s="67"/>
      <c r="BQ119" s="479">
        <f t="shared" ref="BQ119" si="270">+BO119/BB119</f>
        <v>7.2772943769238735E-2</v>
      </c>
      <c r="BR119" s="67"/>
      <c r="BS119" s="86"/>
      <c r="BT119" s="184"/>
      <c r="BU119" s="1"/>
      <c r="BV119">
        <f t="shared" si="53"/>
        <v>110</v>
      </c>
    </row>
    <row r="120" spans="2:74" x14ac:dyDescent="0.3">
      <c r="B120" s="172">
        <f t="shared" si="52"/>
        <v>44020</v>
      </c>
      <c r="C120" s="61"/>
      <c r="D120" s="17">
        <v>61848</v>
      </c>
      <c r="E120" s="16"/>
      <c r="F120" s="16"/>
      <c r="G120" s="16"/>
      <c r="H120" s="16">
        <f t="shared" ref="H120" si="271">+H119+D120</f>
        <v>3161073</v>
      </c>
      <c r="I120" s="16"/>
      <c r="J120" s="38">
        <f t="shared" ref="J120" si="272">+D120/H119</f>
        <v>1.9955956731118264E-2</v>
      </c>
      <c r="K120" s="16"/>
      <c r="L120" s="16"/>
      <c r="M120" s="16"/>
      <c r="N120" s="16">
        <f t="shared" ref="N120" si="273">+H120/BV120</f>
        <v>28478.135135135137</v>
      </c>
      <c r="O120" s="41"/>
      <c r="P120" s="17">
        <f t="shared" ref="P120" si="274">SUM(D114:D120)</f>
        <v>379982</v>
      </c>
      <c r="Q120" s="16"/>
      <c r="R120" s="60"/>
      <c r="S120" s="16"/>
      <c r="T120" s="41"/>
      <c r="U120" s="10"/>
      <c r="V120" s="34">
        <v>890</v>
      </c>
      <c r="W120" s="33"/>
      <c r="X120" s="33"/>
      <c r="Y120" s="33"/>
      <c r="Z120" s="33">
        <f t="shared" ref="Z120" si="275">+Z119+V120</f>
        <v>134862</v>
      </c>
      <c r="AA120" s="33"/>
      <c r="AB120" s="46">
        <f t="shared" ref="AB120" si="276">+Z120/H120</f>
        <v>4.2663361459858724E-2</v>
      </c>
      <c r="AC120" s="33"/>
      <c r="AD120" s="33">
        <f t="shared" ref="AD120" si="277">+Z120/BV120</f>
        <v>1214.9729729729729</v>
      </c>
      <c r="AE120" s="50"/>
      <c r="AF120" s="33"/>
      <c r="AG120" s="33"/>
      <c r="AH120" s="232"/>
      <c r="AI120" s="50"/>
      <c r="AJ120" s="10"/>
      <c r="AK120" s="23">
        <f t="shared" ref="AK120" si="278">+AO120-AO119</f>
        <v>37816</v>
      </c>
      <c r="AL120" s="24"/>
      <c r="AM120" s="24"/>
      <c r="AN120" s="24">
        <v>178263</v>
      </c>
      <c r="AO120" s="24">
        <v>1392679</v>
      </c>
      <c r="AP120" s="24"/>
      <c r="AQ120" s="505">
        <f t="shared" ref="AQ120" si="279">+AK120/AO119</f>
        <v>2.7911309113910411E-2</v>
      </c>
      <c r="AR120" s="25"/>
      <c r="AS120" s="25"/>
      <c r="AT120" s="24"/>
      <c r="AU120" s="342">
        <f t="shared" ref="AU120" si="280">+AO120/H120</f>
        <v>0.44057160337644846</v>
      </c>
      <c r="AV120" s="342"/>
      <c r="AW120" s="24">
        <f t="shared" ref="AW120" si="281">+AO120/BV120</f>
        <v>12546.657657657657</v>
      </c>
      <c r="AX120" s="352"/>
      <c r="AY120" s="10"/>
      <c r="AZ120" s="66">
        <f t="shared" ref="AZ120" si="282">+BB120-BB119</f>
        <v>677846</v>
      </c>
      <c r="BA120" s="67"/>
      <c r="BB120" s="67">
        <v>39479437</v>
      </c>
      <c r="BC120" s="67"/>
      <c r="BD120" s="67">
        <f t="shared" ref="BD120" si="283">+D120</f>
        <v>61848</v>
      </c>
      <c r="BE120" s="67"/>
      <c r="BF120" s="157">
        <f t="shared" ref="BF120" si="284">+BD120/AZ120</f>
        <v>9.1241963513836483E-2</v>
      </c>
      <c r="BG120" s="67"/>
      <c r="BH120" s="184"/>
      <c r="BI120" s="67"/>
      <c r="BJ120" s="67">
        <f t="shared" ref="BJ120" si="285">SUM(AZ114:AZ120)</f>
        <v>4623795</v>
      </c>
      <c r="BK120" s="67"/>
      <c r="BL120" s="157">
        <f t="shared" ref="BL120" si="286">+P120/BJ120</f>
        <v>8.2179681408885985E-2</v>
      </c>
      <c r="BM120" s="66">
        <f t="shared" ref="BM120" si="287">+BB120/BV120</f>
        <v>355670.60360360361</v>
      </c>
      <c r="BN120" s="67"/>
      <c r="BO120" s="67">
        <f t="shared" ref="BO120" si="288">+BO119+BD120</f>
        <v>2885554</v>
      </c>
      <c r="BP120" s="67"/>
      <c r="BQ120" s="479">
        <f t="shared" ref="BQ120" si="289">+BO120/BB120</f>
        <v>7.3090049384442843E-2</v>
      </c>
      <c r="BR120" s="67"/>
      <c r="BS120" s="86"/>
      <c r="BT120" s="184"/>
      <c r="BU120" s="1"/>
      <c r="BV120">
        <f t="shared" si="53"/>
        <v>111</v>
      </c>
    </row>
    <row r="121" spans="2:74" x14ac:dyDescent="0.3">
      <c r="B121" s="172">
        <f t="shared" si="52"/>
        <v>44021</v>
      </c>
      <c r="C121" s="61"/>
      <c r="D121" s="17">
        <v>61067</v>
      </c>
      <c r="E121" s="16"/>
      <c r="F121" s="16"/>
      <c r="G121" s="16"/>
      <c r="H121" s="16">
        <f t="shared" ref="H121" si="290">+H120+D121</f>
        <v>3222140</v>
      </c>
      <c r="I121" s="16"/>
      <c r="J121" s="38">
        <f t="shared" ref="J121" si="291">+D121/H120</f>
        <v>1.9318440289104365E-2</v>
      </c>
      <c r="K121" s="16"/>
      <c r="L121" s="16"/>
      <c r="M121" s="16"/>
      <c r="N121" s="16">
        <f t="shared" ref="N121" si="292">+H121/BV121</f>
        <v>28769.107142857141</v>
      </c>
      <c r="O121" s="41"/>
      <c r="P121" s="17">
        <f t="shared" ref="P121" si="293">SUM(D115:D121)</f>
        <v>381174</v>
      </c>
      <c r="Q121" s="16"/>
      <c r="R121" s="60"/>
      <c r="S121" s="16"/>
      <c r="T121" s="41"/>
      <c r="U121" s="10"/>
      <c r="V121" s="34">
        <v>960</v>
      </c>
      <c r="W121" s="33"/>
      <c r="X121" s="33"/>
      <c r="Y121" s="33"/>
      <c r="Z121" s="33">
        <f t="shared" ref="Z121" si="294">+Z120+V121</f>
        <v>135822</v>
      </c>
      <c r="AA121" s="33"/>
      <c r="AB121" s="46">
        <f t="shared" ref="AB121" si="295">+Z121/H121</f>
        <v>4.2152730793820259E-2</v>
      </c>
      <c r="AC121" s="33"/>
      <c r="AD121" s="33">
        <f t="shared" ref="AD121" si="296">+Z121/BV121</f>
        <v>1212.6964285714287</v>
      </c>
      <c r="AE121" s="50"/>
      <c r="AF121" s="33"/>
      <c r="AG121" s="33"/>
      <c r="AH121" s="232"/>
      <c r="AI121" s="50"/>
      <c r="AJ121" s="10"/>
      <c r="AK121" s="23">
        <f t="shared" ref="AK121" si="297">+AO121-AO120</f>
        <v>33749</v>
      </c>
      <c r="AL121" s="24"/>
      <c r="AM121" s="24"/>
      <c r="AN121" s="24">
        <v>178263</v>
      </c>
      <c r="AO121" s="24">
        <v>1426428</v>
      </c>
      <c r="AP121" s="24"/>
      <c r="AQ121" s="505">
        <f t="shared" ref="AQ121" si="298">+AK121/AO120</f>
        <v>2.423315063988184E-2</v>
      </c>
      <c r="AR121" s="25"/>
      <c r="AS121" s="25"/>
      <c r="AT121" s="24"/>
      <c r="AU121" s="342">
        <f t="shared" ref="AU121" si="299">+AO121/H121</f>
        <v>0.44269584810095153</v>
      </c>
      <c r="AV121" s="342"/>
      <c r="AW121" s="24">
        <f t="shared" ref="AW121" si="300">+AO121/BV121</f>
        <v>12735.964285714286</v>
      </c>
      <c r="AX121" s="352"/>
      <c r="AY121" s="10"/>
      <c r="AZ121" s="66">
        <f t="shared" ref="AZ121" si="301">+BB121-BB120</f>
        <v>681700</v>
      </c>
      <c r="BA121" s="67"/>
      <c r="BB121" s="67">
        <v>40161137</v>
      </c>
      <c r="BC121" s="67"/>
      <c r="BD121" s="67">
        <f t="shared" ref="BD121" si="302">+D121</f>
        <v>61067</v>
      </c>
      <c r="BE121" s="67"/>
      <c r="BF121" s="157">
        <f t="shared" ref="BF121" si="303">+BD121/AZ121</f>
        <v>8.9580460613172944E-2</v>
      </c>
      <c r="BG121" s="67"/>
      <c r="BH121" s="184"/>
      <c r="BI121" s="67"/>
      <c r="BJ121" s="67">
        <f t="shared" ref="BJ121" si="304">SUM(AZ115:AZ121)</f>
        <v>4623137</v>
      </c>
      <c r="BK121" s="67"/>
      <c r="BL121" s="157">
        <f t="shared" ref="BL121" si="305">+P121/BJ121</f>
        <v>8.2449211433708328E-2</v>
      </c>
      <c r="BM121" s="66">
        <f t="shared" ref="BM121" si="306">+BB121/BV121</f>
        <v>358581.58035714284</v>
      </c>
      <c r="BN121" s="67"/>
      <c r="BO121" s="67">
        <f t="shared" ref="BO121" si="307">+BO120+BD121</f>
        <v>2946621</v>
      </c>
      <c r="BP121" s="67"/>
      <c r="BQ121" s="479">
        <f t="shared" ref="BQ121" si="308">+BO121/BB121</f>
        <v>7.336995962041612E-2</v>
      </c>
      <c r="BR121" s="67"/>
      <c r="BS121" s="86"/>
      <c r="BT121" s="184"/>
      <c r="BU121" s="1"/>
      <c r="BV121">
        <f t="shared" si="53"/>
        <v>112</v>
      </c>
    </row>
    <row r="122" spans="2:74" x14ac:dyDescent="0.3">
      <c r="B122" s="172">
        <f t="shared" si="52"/>
        <v>44022</v>
      </c>
      <c r="C122" s="61"/>
      <c r="D122" s="17">
        <v>71787</v>
      </c>
      <c r="E122" s="16"/>
      <c r="F122" s="16"/>
      <c r="G122" s="16"/>
      <c r="H122" s="16">
        <f t="shared" ref="H122" si="309">+H121+D122</f>
        <v>3293927</v>
      </c>
      <c r="I122" s="16"/>
      <c r="J122" s="38">
        <f t="shared" ref="J122" si="310">+D122/H121</f>
        <v>2.2279292644019191E-2</v>
      </c>
      <c r="K122" s="16"/>
      <c r="L122" s="16"/>
      <c r="M122" s="16"/>
      <c r="N122" s="16">
        <f t="shared" ref="N122" si="311">+H122/BV122</f>
        <v>29149.796460176993</v>
      </c>
      <c r="O122" s="41"/>
      <c r="P122" s="17">
        <f t="shared" ref="P122" si="312">SUM(D116:D122)</f>
        <v>394870</v>
      </c>
      <c r="Q122" s="16"/>
      <c r="R122" s="60"/>
      <c r="S122" s="16"/>
      <c r="T122" s="41"/>
      <c r="U122" s="10"/>
      <c r="V122" s="34">
        <v>849</v>
      </c>
      <c r="W122" s="33"/>
      <c r="X122" s="33"/>
      <c r="Y122" s="33"/>
      <c r="Z122" s="33">
        <f t="shared" ref="Z122" si="313">+Z121+V122</f>
        <v>136671</v>
      </c>
      <c r="AA122" s="33"/>
      <c r="AB122" s="46">
        <f t="shared" ref="AB122" si="314">+Z122/H122</f>
        <v>4.1491812052908278E-2</v>
      </c>
      <c r="AC122" s="33"/>
      <c r="AD122" s="33">
        <f t="shared" ref="AD122" si="315">+Z122/BV122</f>
        <v>1209.4778761061948</v>
      </c>
      <c r="AE122" s="50"/>
      <c r="AF122" s="33"/>
      <c r="AG122" s="33"/>
      <c r="AH122" s="232"/>
      <c r="AI122" s="50"/>
      <c r="AJ122" s="10"/>
      <c r="AK122" s="23">
        <f t="shared" ref="AK122" si="316">+AO122-AO121</f>
        <v>34067</v>
      </c>
      <c r="AL122" s="24"/>
      <c r="AM122" s="24"/>
      <c r="AN122" s="24">
        <v>178263</v>
      </c>
      <c r="AO122" s="24">
        <v>1460495</v>
      </c>
      <c r="AP122" s="24"/>
      <c r="AQ122" s="505">
        <f t="shared" ref="AQ122" si="317">+AK122/AO121</f>
        <v>2.3882733653573823E-2</v>
      </c>
      <c r="AR122" s="25"/>
      <c r="AS122" s="25"/>
      <c r="AT122" s="24"/>
      <c r="AU122" s="342">
        <f t="shared" ref="AU122" si="318">+AO122/H122</f>
        <v>0.44339021478010898</v>
      </c>
      <c r="AV122" s="342"/>
      <c r="AW122" s="24">
        <f t="shared" ref="AW122" si="319">+AO122/BV122</f>
        <v>12924.734513274336</v>
      </c>
      <c r="AX122" s="352"/>
      <c r="AY122" s="10"/>
      <c r="AZ122" s="66">
        <f t="shared" ref="AZ122" si="320">+BB122-BB121</f>
        <v>849076</v>
      </c>
      <c r="BA122" s="67"/>
      <c r="BB122" s="67">
        <v>41010213</v>
      </c>
      <c r="BC122" s="67"/>
      <c r="BD122" s="67">
        <f t="shared" ref="BD122" si="321">+D122</f>
        <v>71787</v>
      </c>
      <c r="BE122" s="67"/>
      <c r="BF122" s="157">
        <f t="shared" ref="BF122" si="322">+BD122/AZ122</f>
        <v>8.4547201899476607E-2</v>
      </c>
      <c r="BG122" s="67"/>
      <c r="BH122" s="184"/>
      <c r="BI122" s="67"/>
      <c r="BJ122" s="67">
        <f t="shared" ref="BJ122" si="323">SUM(AZ116:AZ122)</f>
        <v>4713018</v>
      </c>
      <c r="BK122" s="67"/>
      <c r="BL122" s="157">
        <f t="shared" ref="BL122" si="324">+P122/BJ122</f>
        <v>8.3782832995757714E-2</v>
      </c>
      <c r="BM122" s="66">
        <f t="shared" ref="BM122" si="325">+BB122/BV122</f>
        <v>362922.23893805308</v>
      </c>
      <c r="BN122" s="67"/>
      <c r="BO122" s="67">
        <f t="shared" ref="BO122" si="326">+BO121+BD122</f>
        <v>3018408</v>
      </c>
      <c r="BP122" s="67"/>
      <c r="BQ122" s="479">
        <f t="shared" ref="BQ122" si="327">+BO122/BB122</f>
        <v>7.3601373394476158E-2</v>
      </c>
      <c r="BR122" s="67"/>
      <c r="BS122" s="86"/>
      <c r="BT122" s="184"/>
      <c r="BU122" s="1"/>
      <c r="BV122">
        <f t="shared" si="53"/>
        <v>113</v>
      </c>
    </row>
    <row r="123" spans="2:74" x14ac:dyDescent="0.3">
      <c r="B123" s="172">
        <f t="shared" si="52"/>
        <v>44023</v>
      </c>
      <c r="C123" s="61"/>
      <c r="D123" s="17">
        <v>61719</v>
      </c>
      <c r="E123" s="16"/>
      <c r="F123" s="16"/>
      <c r="G123" s="16"/>
      <c r="H123" s="16">
        <f t="shared" ref="H123" si="328">+H122+D123</f>
        <v>3355646</v>
      </c>
      <c r="I123" s="16"/>
      <c r="J123" s="38">
        <f t="shared" ref="J123" si="329">+D123/H122</f>
        <v>1.8737209415994951E-2</v>
      </c>
      <c r="K123" s="16"/>
      <c r="L123" s="16"/>
      <c r="M123" s="16"/>
      <c r="N123" s="16">
        <f t="shared" ref="N123" si="330">+H123/BV123</f>
        <v>29435.491228070176</v>
      </c>
      <c r="O123" s="41"/>
      <c r="P123" s="17">
        <f t="shared" ref="P123" si="331">SUM(D117:D123)</f>
        <v>410005</v>
      </c>
      <c r="Q123" s="16"/>
      <c r="R123" s="60"/>
      <c r="S123" s="16"/>
      <c r="T123" s="41"/>
      <c r="U123" s="10"/>
      <c r="V123" s="34">
        <v>731</v>
      </c>
      <c r="W123" s="33"/>
      <c r="X123" s="33"/>
      <c r="Y123" s="33"/>
      <c r="Z123" s="33">
        <f t="shared" ref="Z123" si="332">+Z122+V123</f>
        <v>137402</v>
      </c>
      <c r="AA123" s="33"/>
      <c r="AB123" s="46">
        <f t="shared" ref="AB123" si="333">+Z123/H123</f>
        <v>4.0946512236392042E-2</v>
      </c>
      <c r="AC123" s="33"/>
      <c r="AD123" s="33">
        <f t="shared" ref="AD123" si="334">+Z123/BV123</f>
        <v>1205.280701754386</v>
      </c>
      <c r="AE123" s="50"/>
      <c r="AF123" s="33"/>
      <c r="AG123" s="33"/>
      <c r="AH123" s="232"/>
      <c r="AI123" s="50"/>
      <c r="AJ123" s="10"/>
      <c r="AK123" s="23">
        <f t="shared" ref="AK123" si="335">+AO123-AO122</f>
        <v>29951</v>
      </c>
      <c r="AL123" s="24"/>
      <c r="AM123" s="24"/>
      <c r="AN123" s="24">
        <v>178263</v>
      </c>
      <c r="AO123" s="24">
        <v>1490446</v>
      </c>
      <c r="AP123" s="24"/>
      <c r="AQ123" s="505">
        <f t="shared" ref="AQ123" si="336">+AK123/AO122</f>
        <v>2.0507430699865457E-2</v>
      </c>
      <c r="AR123" s="25"/>
      <c r="AS123" s="25"/>
      <c r="AT123" s="24"/>
      <c r="AU123" s="342">
        <f t="shared" ref="AU123" si="337">+AO123/H123</f>
        <v>0.44416067725856662</v>
      </c>
      <c r="AV123" s="342"/>
      <c r="AW123" s="24">
        <f t="shared" ref="AW123" si="338">+AO123/BV123</f>
        <v>13074.087719298246</v>
      </c>
      <c r="AX123" s="352"/>
      <c r="AY123" s="10"/>
      <c r="AZ123" s="66">
        <f t="shared" ref="AZ123" si="339">+BB123-BB122</f>
        <v>760123</v>
      </c>
      <c r="BA123" s="67"/>
      <c r="BB123" s="67">
        <v>41770336</v>
      </c>
      <c r="BC123" s="67"/>
      <c r="BD123" s="67">
        <f t="shared" ref="BD123" si="340">+D123</f>
        <v>61719</v>
      </c>
      <c r="BE123" s="67"/>
      <c r="BF123" s="157">
        <f t="shared" ref="BF123" si="341">+BD123/AZ123</f>
        <v>8.1196069583475305E-2</v>
      </c>
      <c r="BG123" s="67"/>
      <c r="BH123" s="184"/>
      <c r="BI123" s="67"/>
      <c r="BJ123" s="67">
        <f t="shared" ref="BJ123" si="342">SUM(AZ117:AZ123)</f>
        <v>4816703</v>
      </c>
      <c r="BK123" s="67"/>
      <c r="BL123" s="157">
        <f t="shared" ref="BL123" si="343">+P123/BJ123</f>
        <v>8.5121503235719542E-2</v>
      </c>
      <c r="BM123" s="66">
        <f t="shared" ref="BM123" si="344">+BB123/BV123</f>
        <v>366406.4561403509</v>
      </c>
      <c r="BN123" s="67"/>
      <c r="BO123" s="67">
        <f t="shared" ref="BO123" si="345">+BO122+BD123</f>
        <v>3080127</v>
      </c>
      <c r="BP123" s="67"/>
      <c r="BQ123" s="479">
        <f t="shared" ref="BQ123" si="346">+BO123/BB123</f>
        <v>7.3739579207598424E-2</v>
      </c>
      <c r="BR123" s="67"/>
      <c r="BS123" s="86"/>
      <c r="BT123" s="184"/>
      <c r="BU123" s="1"/>
      <c r="BV123">
        <f t="shared" si="53"/>
        <v>114</v>
      </c>
    </row>
    <row r="124" spans="2:74" x14ac:dyDescent="0.3">
      <c r="B124" s="391">
        <f t="shared" si="52"/>
        <v>44024</v>
      </c>
      <c r="C124" s="61"/>
      <c r="D124" s="17">
        <v>58349</v>
      </c>
      <c r="E124" s="16"/>
      <c r="F124" s="16"/>
      <c r="G124" s="16"/>
      <c r="H124" s="16">
        <f t="shared" ref="H124" si="347">+H123+D124</f>
        <v>3413995</v>
      </c>
      <c r="I124" s="16"/>
      <c r="J124" s="38">
        <f t="shared" ref="J124" si="348">+D124/H123</f>
        <v>1.7388306156251285E-2</v>
      </c>
      <c r="K124" s="16"/>
      <c r="L124" s="16"/>
      <c r="M124" s="16"/>
      <c r="N124" s="16">
        <f t="shared" ref="N124" si="349">+H124/BV124</f>
        <v>29686.91304347826</v>
      </c>
      <c r="O124" s="41"/>
      <c r="P124" s="17">
        <f t="shared" ref="P124" si="350">SUM(D118:D124)</f>
        <v>423824</v>
      </c>
      <c r="Q124" s="16"/>
      <c r="R124" s="60">
        <f t="shared" ref="R124" si="351">+(P124-P117)/P117</f>
        <v>0.20763748992030273</v>
      </c>
      <c r="S124" s="16"/>
      <c r="T124" s="41"/>
      <c r="U124" s="10"/>
      <c r="V124" s="34">
        <v>380</v>
      </c>
      <c r="W124" s="33"/>
      <c r="X124" s="33"/>
      <c r="Y124" s="33"/>
      <c r="Z124" s="33">
        <f t="shared" ref="Z124" si="352">+Z123+V124</f>
        <v>137782</v>
      </c>
      <c r="AA124" s="33"/>
      <c r="AB124" s="46">
        <f t="shared" ref="AB124" si="353">+Z124/H124</f>
        <v>4.035799700936879E-2</v>
      </c>
      <c r="AC124" s="33"/>
      <c r="AD124" s="33">
        <f t="shared" ref="AD124" si="354">+Z124/BV124</f>
        <v>1198.104347826087</v>
      </c>
      <c r="AE124" s="50"/>
      <c r="AF124" s="33">
        <f t="shared" ref="AF124" si="355">SUM(V118:V124)</f>
        <v>5181</v>
      </c>
      <c r="AG124" s="33">
        <f>SUM(D95:D125)</f>
        <v>1356158</v>
      </c>
      <c r="AH124" s="232">
        <f>+(AF124-AF117)/AF117</f>
        <v>0.47564796354315009</v>
      </c>
      <c r="AI124" s="50"/>
      <c r="AJ124" s="10"/>
      <c r="AK124" s="23">
        <f t="shared" ref="AK124" si="356">+AO124-AO123</f>
        <v>26638</v>
      </c>
      <c r="AL124" s="24"/>
      <c r="AM124" s="24"/>
      <c r="AN124" s="24">
        <v>178263</v>
      </c>
      <c r="AO124" s="24">
        <v>1517084</v>
      </c>
      <c r="AP124" s="24"/>
      <c r="AQ124" s="505">
        <f t="shared" ref="AQ124" si="357">+AK124/AO123</f>
        <v>1.7872502593183518E-2</v>
      </c>
      <c r="AR124" s="25"/>
      <c r="AS124" s="25"/>
      <c r="AT124" s="24"/>
      <c r="AU124" s="342">
        <f t="shared" ref="AU124" si="358">+AO124/H124</f>
        <v>0.44437206264215384</v>
      </c>
      <c r="AV124" s="342"/>
      <c r="AW124" s="24">
        <f t="shared" ref="AW124" si="359">+AO124/BV124</f>
        <v>13192.034782608696</v>
      </c>
      <c r="AX124" s="352"/>
      <c r="AY124" s="10"/>
      <c r="AZ124" s="66">
        <f t="shared" ref="AZ124" si="360">+BB124-BB123</f>
        <v>699271</v>
      </c>
      <c r="BA124" s="67"/>
      <c r="BB124" s="67">
        <v>42469607</v>
      </c>
      <c r="BC124" s="67"/>
      <c r="BD124" s="67">
        <f t="shared" ref="BD124" si="361">+D124</f>
        <v>58349</v>
      </c>
      <c r="BE124" s="67"/>
      <c r="BF124" s="157">
        <f t="shared" ref="BF124" si="362">+BD124/AZ124</f>
        <v>8.3442613807808416E-2</v>
      </c>
      <c r="BG124" s="67"/>
      <c r="BH124" s="184"/>
      <c r="BI124" s="67"/>
      <c r="BJ124" s="67">
        <f t="shared" ref="BJ124" si="363">SUM(AZ118:AZ124)</f>
        <v>4882798</v>
      </c>
      <c r="BK124" s="67"/>
      <c r="BL124" s="157">
        <f t="shared" ref="BL124" si="364">+P124/BJ124</f>
        <v>8.679941295953672E-2</v>
      </c>
      <c r="BM124" s="66">
        <f t="shared" ref="BM124" si="365">+BB124/BV124</f>
        <v>369300.93043478258</v>
      </c>
      <c r="BN124" s="67"/>
      <c r="BO124" s="67">
        <f t="shared" ref="BO124" si="366">+BO123+BD124</f>
        <v>3138476</v>
      </c>
      <c r="BP124" s="67"/>
      <c r="BQ124" s="479">
        <f t="shared" ref="BQ124" si="367">+BO124/BB124</f>
        <v>7.3899341710414221E-2</v>
      </c>
      <c r="BR124" s="67"/>
      <c r="BS124" s="86"/>
      <c r="BT124" s="184"/>
      <c r="BU124" s="1"/>
      <c r="BV124" s="473">
        <f t="shared" si="53"/>
        <v>115</v>
      </c>
    </row>
    <row r="125" spans="2:74" x14ac:dyDescent="0.3">
      <c r="B125" s="172">
        <f t="shared" si="52"/>
        <v>44025</v>
      </c>
      <c r="C125" s="61"/>
      <c r="D125" s="17">
        <v>65488</v>
      </c>
      <c r="E125" s="16"/>
      <c r="F125" s="16"/>
      <c r="G125" s="16"/>
      <c r="H125" s="16">
        <f t="shared" ref="H125" si="368">+H124+D125</f>
        <v>3479483</v>
      </c>
      <c r="I125" s="16"/>
      <c r="J125" s="480">
        <f t="shared" ref="J125" si="369">+D125/H124</f>
        <v>1.9182219071791261E-2</v>
      </c>
      <c r="K125" s="16"/>
      <c r="L125" s="16"/>
      <c r="M125" s="16"/>
      <c r="N125" s="16">
        <f t="shared" ref="N125" si="370">+H125/BV125</f>
        <v>29995.543103448275</v>
      </c>
      <c r="O125" s="41"/>
      <c r="P125" s="17">
        <f t="shared" ref="P125" si="371">SUM(D119:D125)</f>
        <v>435700</v>
      </c>
      <c r="Q125" s="16"/>
      <c r="R125" s="60">
        <f t="shared" ref="R125" si="372">+(P125-P118)/P118</f>
        <v>0.21084620280075925</v>
      </c>
      <c r="S125" s="16"/>
      <c r="T125" s="41"/>
      <c r="U125" s="10"/>
      <c r="V125" s="34">
        <v>465</v>
      </c>
      <c r="W125" s="33"/>
      <c r="X125" s="33"/>
      <c r="Y125" s="33"/>
      <c r="Z125" s="33">
        <f t="shared" ref="Z125" si="373">+Z124+V125</f>
        <v>138247</v>
      </c>
      <c r="AA125" s="33"/>
      <c r="AB125" s="46">
        <f t="shared" ref="AB125" si="374">+Z125/H125</f>
        <v>3.9732052146827561E-2</v>
      </c>
      <c r="AC125" s="33"/>
      <c r="AD125" s="33">
        <f t="shared" ref="AD125" si="375">+Z125/BV125</f>
        <v>1191.7844827586207</v>
      </c>
      <c r="AE125" s="50"/>
      <c r="AF125" s="33">
        <f t="shared" ref="AF125" si="376">SUM(V119:V125)</f>
        <v>5268</v>
      </c>
      <c r="AG125" s="33">
        <f>SUM(D96:D126)</f>
        <v>1330856</v>
      </c>
      <c r="AH125" s="232" t="e">
        <f>+(AF125-AF118)/AF118</f>
        <v>#DIV/0!</v>
      </c>
      <c r="AI125" s="50"/>
      <c r="AJ125" s="10"/>
      <c r="AK125" s="23">
        <f t="shared" ref="AK125" si="377">+AO125-AO124</f>
        <v>32385</v>
      </c>
      <c r="AL125" s="24"/>
      <c r="AM125" s="24"/>
      <c r="AN125" s="24">
        <v>178263</v>
      </c>
      <c r="AO125" s="24">
        <v>1549469</v>
      </c>
      <c r="AP125" s="24"/>
      <c r="AQ125" s="505">
        <f t="shared" ref="AQ125" si="378">+AK125/AO124</f>
        <v>2.1346873343862306E-2</v>
      </c>
      <c r="AR125" s="25"/>
      <c r="AS125" s="25"/>
      <c r="AT125" s="24"/>
      <c r="AU125" s="342">
        <f t="shared" ref="AU125" si="379">+AO125/H125</f>
        <v>0.44531587020255597</v>
      </c>
      <c r="AV125" s="342"/>
      <c r="AW125" s="24">
        <f t="shared" ref="AW125" si="380">+AO125/BV125</f>
        <v>13357.491379310344</v>
      </c>
      <c r="AX125" s="352"/>
      <c r="AY125" s="10"/>
      <c r="AZ125" s="66">
        <f t="shared" ref="AZ125" si="381">+BB125-BB124</f>
        <v>783226</v>
      </c>
      <c r="BA125" s="67"/>
      <c r="BB125" s="67">
        <v>43252833</v>
      </c>
      <c r="BC125" s="67"/>
      <c r="BD125" s="67">
        <f t="shared" ref="BD125" si="382">+D125</f>
        <v>65488</v>
      </c>
      <c r="BE125" s="67"/>
      <c r="BF125" s="157">
        <f t="shared" ref="BF125" si="383">+BD125/AZ125</f>
        <v>8.3613158909433549E-2</v>
      </c>
      <c r="BG125" s="67"/>
      <c r="BH125" s="184"/>
      <c r="BI125" s="67"/>
      <c r="BJ125" s="67">
        <f t="shared" ref="BJ125" si="384">SUM(AZ119:AZ125)</f>
        <v>5035193</v>
      </c>
      <c r="BK125" s="67"/>
      <c r="BL125" s="157">
        <f t="shared" ref="BL125" si="385">+P125/BJ125</f>
        <v>8.6530943302471228E-2</v>
      </c>
      <c r="BM125" s="66">
        <f t="shared" ref="BM125" si="386">+BB125/BV125</f>
        <v>372869.25</v>
      </c>
      <c r="BN125" s="67"/>
      <c r="BO125" s="67">
        <f t="shared" ref="BO125" si="387">+BO124+BD125</f>
        <v>3203964</v>
      </c>
      <c r="BP125" s="67"/>
      <c r="BQ125" s="479">
        <f t="shared" ref="BQ125" si="388">+BO125/BB125</f>
        <v>7.4075240343216359E-2</v>
      </c>
      <c r="BR125" s="67"/>
      <c r="BS125" s="86"/>
      <c r="BT125" s="184"/>
      <c r="BU125" s="1"/>
      <c r="BV125">
        <f t="shared" si="53"/>
        <v>116</v>
      </c>
    </row>
    <row r="126" spans="2:74" x14ac:dyDescent="0.3">
      <c r="B126" s="172">
        <f t="shared" si="52"/>
        <v>44026</v>
      </c>
      <c r="C126" s="61"/>
      <c r="D126" s="17"/>
      <c r="E126" s="16"/>
      <c r="F126" s="16"/>
      <c r="G126" s="16"/>
      <c r="H126" s="16"/>
      <c r="I126" s="16"/>
      <c r="J126" s="38"/>
      <c r="K126" s="16"/>
      <c r="L126" s="16"/>
      <c r="M126" s="16"/>
      <c r="N126" s="16"/>
      <c r="O126" s="41"/>
      <c r="P126" s="17"/>
      <c r="Q126" s="16"/>
      <c r="R126" s="60"/>
      <c r="S126" s="16"/>
      <c r="T126" s="41"/>
      <c r="U126" s="10"/>
      <c r="V126" s="34"/>
      <c r="W126" s="33"/>
      <c r="X126" s="33"/>
      <c r="Y126" s="33"/>
      <c r="Z126" s="33"/>
      <c r="AA126" s="33"/>
      <c r="AB126" s="46"/>
      <c r="AC126" s="33"/>
      <c r="AD126" s="33"/>
      <c r="AE126" s="50"/>
      <c r="AF126" s="33"/>
      <c r="AG126" s="232">
        <f>+AG125/AG124</f>
        <v>0.98134288187659546</v>
      </c>
      <c r="AH126" s="232"/>
      <c r="AI126" s="50"/>
      <c r="AJ126" s="10"/>
      <c r="AK126" s="23"/>
      <c r="AL126" s="24"/>
      <c r="AM126" s="24"/>
      <c r="AN126" s="24"/>
      <c r="AO126" s="24"/>
      <c r="AP126" s="24"/>
      <c r="AQ126" s="505"/>
      <c r="AR126" s="25"/>
      <c r="AS126" s="25"/>
      <c r="AT126" s="24"/>
      <c r="AU126" s="342"/>
      <c r="AV126" s="342"/>
      <c r="AW126" s="24"/>
      <c r="AX126" s="352"/>
      <c r="AY126" s="10"/>
      <c r="AZ126" s="66"/>
      <c r="BA126" s="67"/>
      <c r="BB126" s="67"/>
      <c r="BC126" s="67"/>
      <c r="BD126" s="67"/>
      <c r="BE126" s="67"/>
      <c r="BF126" s="157"/>
      <c r="BG126" s="67"/>
      <c r="BH126" s="184"/>
      <c r="BI126" s="67"/>
      <c r="BJ126" s="67"/>
      <c r="BK126" s="67"/>
      <c r="BL126" s="157"/>
      <c r="BM126" s="66"/>
      <c r="BN126" s="67"/>
      <c r="BO126" s="67"/>
      <c r="BP126" s="67"/>
      <c r="BQ126" s="479"/>
      <c r="BR126" s="67"/>
      <c r="BS126" s="86"/>
      <c r="BT126" s="184"/>
      <c r="BU126" s="1"/>
      <c r="BV126">
        <f t="shared" si="53"/>
        <v>117</v>
      </c>
    </row>
    <row r="127" spans="2:74" x14ac:dyDescent="0.3">
      <c r="B127" s="172">
        <f t="shared" si="52"/>
        <v>44027</v>
      </c>
      <c r="C127" s="61"/>
      <c r="D127" s="17"/>
      <c r="E127" s="16"/>
      <c r="F127" s="16"/>
      <c r="G127" s="16"/>
      <c r="H127" s="16"/>
      <c r="I127" s="16"/>
      <c r="J127" s="38"/>
      <c r="K127" s="16"/>
      <c r="L127" s="16"/>
      <c r="M127" s="16"/>
      <c r="N127" s="16"/>
      <c r="O127" s="41"/>
      <c r="P127" s="17"/>
      <c r="Q127" s="16"/>
      <c r="R127" s="60"/>
      <c r="S127" s="16"/>
      <c r="T127" s="41"/>
      <c r="U127" s="10"/>
      <c r="V127" s="34"/>
      <c r="W127" s="33"/>
      <c r="X127" s="33"/>
      <c r="Y127" s="33"/>
      <c r="Z127" s="33"/>
      <c r="AA127" s="33"/>
      <c r="AB127" s="46"/>
      <c r="AC127" s="33"/>
      <c r="AD127" s="33"/>
      <c r="AE127" s="50"/>
      <c r="AF127" s="33"/>
      <c r="AG127" s="33"/>
      <c r="AH127" s="232"/>
      <c r="AI127" s="50"/>
      <c r="AJ127" s="10"/>
      <c r="AK127" s="23"/>
      <c r="AL127" s="24"/>
      <c r="AM127" s="24"/>
      <c r="AN127" s="24"/>
      <c r="AO127" s="24"/>
      <c r="AP127" s="24"/>
      <c r="AQ127" s="505"/>
      <c r="AR127" s="25"/>
      <c r="AS127" s="25"/>
      <c r="AT127" s="24"/>
      <c r="AU127" s="342"/>
      <c r="AV127" s="342"/>
      <c r="AW127" s="24"/>
      <c r="AX127" s="352"/>
      <c r="AY127" s="10"/>
      <c r="AZ127" s="66"/>
      <c r="BA127" s="67"/>
      <c r="BB127" s="67"/>
      <c r="BC127" s="67"/>
      <c r="BD127" s="67"/>
      <c r="BE127" s="67"/>
      <c r="BF127" s="157"/>
      <c r="BG127" s="67"/>
      <c r="BH127" s="184"/>
      <c r="BI127" s="67"/>
      <c r="BJ127" s="67">
        <f>+BJ47</f>
        <v>1608915</v>
      </c>
      <c r="BK127" s="67"/>
      <c r="BL127" s="157"/>
      <c r="BM127" s="66"/>
      <c r="BN127" s="67"/>
      <c r="BO127" s="67"/>
      <c r="BP127" s="67"/>
      <c r="BQ127" s="479"/>
      <c r="BR127" s="67"/>
      <c r="BS127" s="86"/>
      <c r="BT127" s="184"/>
      <c r="BU127" s="1"/>
      <c r="BV127">
        <f t="shared" si="53"/>
        <v>118</v>
      </c>
    </row>
    <row r="128" spans="2:74" x14ac:dyDescent="0.3">
      <c r="B128" s="172">
        <f t="shared" si="52"/>
        <v>44028</v>
      </c>
      <c r="C128" s="61"/>
      <c r="D128" s="17"/>
      <c r="E128" s="16"/>
      <c r="F128" s="16"/>
      <c r="G128" s="16"/>
      <c r="H128" s="16"/>
      <c r="I128" s="16"/>
      <c r="J128" s="38"/>
      <c r="K128" s="16"/>
      <c r="L128" s="16"/>
      <c r="M128" s="16"/>
      <c r="N128" s="16"/>
      <c r="O128" s="41"/>
      <c r="P128" s="17"/>
      <c r="Q128" s="16"/>
      <c r="R128" s="60"/>
      <c r="S128" s="16"/>
      <c r="T128" s="41"/>
      <c r="U128" s="10"/>
      <c r="V128" s="34"/>
      <c r="W128" s="33"/>
      <c r="X128" s="33"/>
      <c r="Y128" s="33"/>
      <c r="Z128" s="33"/>
      <c r="AA128" s="33"/>
      <c r="AB128" s="46"/>
      <c r="AC128" s="33"/>
      <c r="AD128" s="33"/>
      <c r="AE128" s="50"/>
      <c r="AF128" s="33">
        <f>+AG51-AG125</f>
        <v>-1275169</v>
      </c>
      <c r="AG128" s="33">
        <f>+AF84-AG125</f>
        <v>-1288517</v>
      </c>
      <c r="AH128" s="232"/>
      <c r="AI128" s="50"/>
      <c r="AJ128" s="10"/>
      <c r="AK128" s="23"/>
      <c r="AL128" s="24"/>
      <c r="AM128" s="24"/>
      <c r="AN128" s="24"/>
      <c r="AO128" s="24"/>
      <c r="AP128" s="24"/>
      <c r="AQ128" s="505"/>
      <c r="AR128" s="25"/>
      <c r="AS128" s="25"/>
      <c r="AT128" s="24"/>
      <c r="AU128" s="342"/>
      <c r="AV128" s="342"/>
      <c r="AW128" s="24"/>
      <c r="AX128" s="352"/>
      <c r="AY128" s="10"/>
      <c r="AZ128" s="66"/>
      <c r="BA128" s="67"/>
      <c r="BB128" s="67"/>
      <c r="BC128" s="67"/>
      <c r="BD128" s="67"/>
      <c r="BE128" s="67"/>
      <c r="BF128" s="157"/>
      <c r="BG128" s="67"/>
      <c r="BH128" s="184"/>
      <c r="BI128" s="67"/>
      <c r="BJ128" s="67">
        <f>+BJ124-BJ127</f>
        <v>3273883</v>
      </c>
      <c r="BK128" s="67"/>
      <c r="BL128" s="157"/>
      <c r="BM128" s="66"/>
      <c r="BN128" s="67"/>
      <c r="BO128" s="67"/>
      <c r="BP128" s="67"/>
      <c r="BQ128" s="479"/>
      <c r="BR128" s="67"/>
      <c r="BS128" s="86"/>
      <c r="BT128" s="184"/>
      <c r="BU128" s="1"/>
      <c r="BV128">
        <f t="shared" si="53"/>
        <v>119</v>
      </c>
    </row>
    <row r="129" spans="2:84" x14ac:dyDescent="0.3">
      <c r="B129" s="172">
        <f t="shared" si="52"/>
        <v>44029</v>
      </c>
      <c r="C129" s="61"/>
      <c r="D129" s="17"/>
      <c r="E129" s="16"/>
      <c r="F129" s="16"/>
      <c r="G129" s="16"/>
      <c r="H129" s="16"/>
      <c r="I129" s="16"/>
      <c r="J129" s="480"/>
      <c r="K129" s="16"/>
      <c r="L129" s="16"/>
      <c r="M129" s="16"/>
      <c r="N129" s="16"/>
      <c r="O129" s="41"/>
      <c r="P129" s="17"/>
      <c r="Q129" s="16"/>
      <c r="R129" s="60"/>
      <c r="S129" s="16"/>
      <c r="T129" s="41"/>
      <c r="U129" s="10"/>
      <c r="V129" s="34"/>
      <c r="W129" s="33"/>
      <c r="X129" s="33"/>
      <c r="Y129" s="33"/>
      <c r="Z129" s="33"/>
      <c r="AA129" s="33"/>
      <c r="AB129" s="46"/>
      <c r="AC129" s="33"/>
      <c r="AD129" s="33"/>
      <c r="AE129" s="50"/>
      <c r="AF129" s="232">
        <f>+AF128/AG51</f>
        <v>-22.898863289457143</v>
      </c>
      <c r="AG129" s="232">
        <f>+AG128/AF84</f>
        <v>-30.433335695221899</v>
      </c>
      <c r="AH129" s="232"/>
      <c r="AI129" s="50"/>
      <c r="AJ129" s="10"/>
      <c r="AK129" s="23"/>
      <c r="AL129" s="24"/>
      <c r="AM129" s="24"/>
      <c r="AN129" s="24"/>
      <c r="AO129" s="24"/>
      <c r="AP129" s="24"/>
      <c r="AQ129" s="505"/>
      <c r="AR129" s="25"/>
      <c r="AS129" s="25"/>
      <c r="AT129" s="24"/>
      <c r="AU129" s="342"/>
      <c r="AV129" s="342"/>
      <c r="AW129" s="24"/>
      <c r="AX129" s="352"/>
      <c r="AY129" s="10"/>
      <c r="AZ129" s="66"/>
      <c r="BA129" s="67"/>
      <c r="BB129" s="67"/>
      <c r="BC129" s="67"/>
      <c r="BD129" s="67"/>
      <c r="BE129" s="67"/>
      <c r="BF129" s="157"/>
      <c r="BG129" s="67"/>
      <c r="BH129" s="184"/>
      <c r="BI129" s="67"/>
      <c r="BJ129" s="157">
        <f>+BJ128/BJ127</f>
        <v>2.0348390064111528</v>
      </c>
      <c r="BK129" s="67"/>
      <c r="BL129" s="157"/>
      <c r="BM129" s="66"/>
      <c r="BN129" s="67"/>
      <c r="BO129" s="67"/>
      <c r="BP129" s="67"/>
      <c r="BQ129" s="479"/>
      <c r="BR129" s="67"/>
      <c r="BS129" s="86"/>
      <c r="BT129" s="184"/>
      <c r="BU129" s="1"/>
      <c r="BV129">
        <f t="shared" si="53"/>
        <v>120</v>
      </c>
    </row>
    <row r="130" spans="2:84" x14ac:dyDescent="0.3">
      <c r="B130" s="172">
        <f t="shared" si="52"/>
        <v>44030</v>
      </c>
      <c r="C130" s="61"/>
      <c r="D130" s="17"/>
      <c r="E130" s="16"/>
      <c r="F130" s="16"/>
      <c r="G130" s="16"/>
      <c r="H130" s="16"/>
      <c r="I130" s="16"/>
      <c r="J130" s="38"/>
      <c r="K130" s="16"/>
      <c r="L130" s="16"/>
      <c r="M130" s="16"/>
      <c r="N130" s="16"/>
      <c r="O130" s="41"/>
      <c r="P130" s="454"/>
      <c r="Q130" s="16"/>
      <c r="R130" s="60"/>
      <c r="S130" s="16"/>
      <c r="T130" s="41"/>
      <c r="U130" s="10"/>
      <c r="V130" s="34"/>
      <c r="W130" s="33"/>
      <c r="X130" s="33"/>
      <c r="Y130" s="33"/>
      <c r="Z130" s="33"/>
      <c r="AA130" s="33"/>
      <c r="AB130" s="46"/>
      <c r="AC130" s="33"/>
      <c r="AD130" s="33"/>
      <c r="AE130" s="50"/>
      <c r="AF130" s="232"/>
      <c r="AG130" s="33"/>
      <c r="AH130" s="232"/>
      <c r="AI130" s="50"/>
      <c r="AJ130" s="10"/>
      <c r="AK130" s="23"/>
      <c r="AL130" s="24"/>
      <c r="AM130" s="24"/>
      <c r="AN130" s="24"/>
      <c r="AO130" s="24"/>
      <c r="AP130" s="24"/>
      <c r="AQ130" s="25"/>
      <c r="AR130" s="25"/>
      <c r="AS130" s="25"/>
      <c r="AT130" s="24"/>
      <c r="AU130" s="342"/>
      <c r="AV130" s="342"/>
      <c r="AW130" s="24"/>
      <c r="AX130" s="352"/>
      <c r="AY130" s="10"/>
      <c r="AZ130" s="66"/>
      <c r="BA130" s="67"/>
      <c r="BB130" s="67"/>
      <c r="BC130" s="67"/>
      <c r="BD130" s="67"/>
      <c r="BE130" s="67"/>
      <c r="BF130" s="157"/>
      <c r="BG130" s="67"/>
      <c r="BH130" s="184"/>
      <c r="BI130" s="67"/>
      <c r="BJ130" s="67">
        <f>3*BJ127</f>
        <v>4826745</v>
      </c>
      <c r="BK130" s="67"/>
      <c r="BL130" s="157"/>
      <c r="BM130" s="66"/>
      <c r="BN130" s="67"/>
      <c r="BO130" s="67"/>
      <c r="BP130" s="67"/>
      <c r="BQ130" s="479"/>
      <c r="BR130" s="67"/>
      <c r="BS130" s="86"/>
      <c r="BT130" s="184"/>
      <c r="BU130" s="1"/>
      <c r="BV130">
        <f t="shared" si="53"/>
        <v>121</v>
      </c>
    </row>
    <row r="131" spans="2:84" x14ac:dyDescent="0.3">
      <c r="B131" s="172">
        <f t="shared" si="52"/>
        <v>44031</v>
      </c>
      <c r="D131" s="18"/>
      <c r="E131" s="19"/>
      <c r="F131" s="19"/>
      <c r="G131" s="19"/>
      <c r="H131" s="19"/>
      <c r="I131" s="19"/>
      <c r="J131" s="39"/>
      <c r="K131" s="19"/>
      <c r="L131" s="19"/>
      <c r="M131" s="19"/>
      <c r="N131" s="19"/>
      <c r="O131" s="43"/>
      <c r="P131" s="18"/>
      <c r="Q131" s="19"/>
      <c r="R131" s="19"/>
      <c r="S131" s="19"/>
      <c r="T131" s="43"/>
      <c r="U131" s="1"/>
      <c r="V131" s="35"/>
      <c r="W131" s="36"/>
      <c r="X131" s="36"/>
      <c r="Y131" s="36"/>
      <c r="Z131" s="36"/>
      <c r="AA131" s="36"/>
      <c r="AB131" s="47"/>
      <c r="AC131" s="36"/>
      <c r="AD131" s="36"/>
      <c r="AE131" s="51"/>
      <c r="AF131" s="36"/>
      <c r="AG131" s="36"/>
      <c r="AH131" s="36"/>
      <c r="AI131" s="51"/>
      <c r="AJ131" s="1"/>
      <c r="AK131" s="26"/>
      <c r="AL131" s="27"/>
      <c r="AM131" s="27"/>
      <c r="AN131" s="27"/>
      <c r="AO131" s="27"/>
      <c r="AP131" s="27"/>
      <c r="AQ131" s="27"/>
      <c r="AR131" s="27"/>
      <c r="AS131" s="27"/>
      <c r="AT131" s="27"/>
      <c r="AU131" s="344"/>
      <c r="AV131" s="344"/>
      <c r="AW131" s="27"/>
      <c r="AX131" s="351"/>
      <c r="AY131" s="1"/>
      <c r="AZ131" s="68"/>
      <c r="BA131" s="69"/>
      <c r="BB131" s="69"/>
      <c r="BC131" s="69"/>
      <c r="BD131" s="69"/>
      <c r="BE131" s="69"/>
      <c r="BF131" s="69"/>
      <c r="BG131" s="69"/>
      <c r="BH131" s="185"/>
      <c r="BI131" s="69"/>
      <c r="BJ131" s="69"/>
      <c r="BK131" s="69"/>
      <c r="BL131" s="69"/>
      <c r="BM131" s="68"/>
      <c r="BN131" s="69"/>
      <c r="BO131" s="69"/>
      <c r="BP131" s="69"/>
      <c r="BQ131" s="71"/>
      <c r="BR131" s="69"/>
      <c r="BS131" s="69"/>
      <c r="BT131" s="185"/>
      <c r="BU131" s="1"/>
      <c r="BV131">
        <f t="shared" si="53"/>
        <v>122</v>
      </c>
    </row>
    <row r="132" spans="2:84" x14ac:dyDescent="0.3">
      <c r="B132" s="56"/>
      <c r="D132" s="1"/>
      <c r="E132" s="1"/>
      <c r="F132" s="1"/>
      <c r="G132" s="1"/>
      <c r="H132" s="59"/>
      <c r="I132" s="1"/>
      <c r="J132" s="59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59"/>
      <c r="W132" s="1"/>
      <c r="X132" s="1"/>
      <c r="Y132" s="1"/>
      <c r="Z132" s="1"/>
      <c r="AA132" s="1"/>
      <c r="AB132" s="59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59"/>
      <c r="BC132" s="1"/>
      <c r="BD132" s="59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</row>
    <row r="133" spans="2:84" x14ac:dyDescent="0.3">
      <c r="B133" s="180" t="s">
        <v>82</v>
      </c>
      <c r="D133" s="56">
        <f>+D125</f>
        <v>65488</v>
      </c>
      <c r="E133" s="56">
        <f>+E120</f>
        <v>0</v>
      </c>
      <c r="F133" s="56">
        <f>+F120</f>
        <v>0</v>
      </c>
      <c r="G133" s="56">
        <f>+G120</f>
        <v>0</v>
      </c>
      <c r="H133" s="56">
        <f t="shared" ref="H133:BO133" si="389">+H125</f>
        <v>3479483</v>
      </c>
      <c r="I133" s="56">
        <f t="shared" si="389"/>
        <v>0</v>
      </c>
      <c r="J133" s="56">
        <f t="shared" si="389"/>
        <v>1.9182219071791261E-2</v>
      </c>
      <c r="K133" s="56">
        <f t="shared" si="389"/>
        <v>0</v>
      </c>
      <c r="L133" s="56">
        <f t="shared" si="389"/>
        <v>0</v>
      </c>
      <c r="M133" s="56">
        <f t="shared" si="389"/>
        <v>0</v>
      </c>
      <c r="N133" s="56">
        <f t="shared" si="389"/>
        <v>29995.543103448275</v>
      </c>
      <c r="O133" s="56">
        <f t="shared" si="389"/>
        <v>0</v>
      </c>
      <c r="P133" s="56">
        <f t="shared" si="389"/>
        <v>435700</v>
      </c>
      <c r="Q133" s="56">
        <f t="shared" si="389"/>
        <v>0</v>
      </c>
      <c r="R133" s="56">
        <f t="shared" si="389"/>
        <v>0.21084620280075925</v>
      </c>
      <c r="S133" s="56">
        <f t="shared" si="389"/>
        <v>0</v>
      </c>
      <c r="T133" s="56">
        <f t="shared" si="389"/>
        <v>0</v>
      </c>
      <c r="U133" s="56">
        <f t="shared" si="389"/>
        <v>0</v>
      </c>
      <c r="V133" s="56">
        <f t="shared" si="389"/>
        <v>465</v>
      </c>
      <c r="W133" s="56">
        <f t="shared" si="389"/>
        <v>0</v>
      </c>
      <c r="X133" s="56">
        <f t="shared" si="389"/>
        <v>0</v>
      </c>
      <c r="Y133" s="56">
        <f t="shared" si="389"/>
        <v>0</v>
      </c>
      <c r="Z133" s="56">
        <f t="shared" si="389"/>
        <v>138247</v>
      </c>
      <c r="AA133" s="56">
        <f t="shared" si="389"/>
        <v>0</v>
      </c>
      <c r="AB133" s="56">
        <f t="shared" si="389"/>
        <v>3.9732052146827561E-2</v>
      </c>
      <c r="AC133" s="56">
        <f t="shared" si="389"/>
        <v>0</v>
      </c>
      <c r="AD133" s="56">
        <f t="shared" si="389"/>
        <v>1191.7844827586207</v>
      </c>
      <c r="AE133" s="56">
        <f t="shared" si="389"/>
        <v>0</v>
      </c>
      <c r="AF133" s="56">
        <f t="shared" si="389"/>
        <v>5268</v>
      </c>
      <c r="AG133" s="56">
        <f t="shared" si="389"/>
        <v>1330856</v>
      </c>
      <c r="AH133" s="56" t="e">
        <f t="shared" si="389"/>
        <v>#DIV/0!</v>
      </c>
      <c r="AI133" s="56">
        <f t="shared" si="389"/>
        <v>0</v>
      </c>
      <c r="AJ133" s="56">
        <f t="shared" si="389"/>
        <v>0</v>
      </c>
      <c r="AK133" s="56">
        <f t="shared" si="389"/>
        <v>32385</v>
      </c>
      <c r="AL133" s="56">
        <f t="shared" si="389"/>
        <v>0</v>
      </c>
      <c r="AM133" s="56">
        <f t="shared" si="389"/>
        <v>0</v>
      </c>
      <c r="AN133" s="56">
        <f t="shared" si="389"/>
        <v>178263</v>
      </c>
      <c r="AO133" s="56">
        <f t="shared" si="389"/>
        <v>1549469</v>
      </c>
      <c r="AP133" s="56">
        <f t="shared" si="389"/>
        <v>0</v>
      </c>
      <c r="AQ133" s="56">
        <f t="shared" si="389"/>
        <v>2.1346873343862306E-2</v>
      </c>
      <c r="AR133" s="56">
        <f t="shared" si="389"/>
        <v>0</v>
      </c>
      <c r="AS133" s="56">
        <f t="shared" si="389"/>
        <v>0</v>
      </c>
      <c r="AT133" s="56">
        <f t="shared" si="389"/>
        <v>0</v>
      </c>
      <c r="AU133" s="56">
        <f t="shared" si="389"/>
        <v>0.44531587020255597</v>
      </c>
      <c r="AV133" s="56">
        <f t="shared" si="389"/>
        <v>0</v>
      </c>
      <c r="AW133" s="56">
        <f t="shared" si="389"/>
        <v>13357.491379310344</v>
      </c>
      <c r="AX133" s="56">
        <f t="shared" si="389"/>
        <v>0</v>
      </c>
      <c r="AY133" s="56">
        <f t="shared" si="389"/>
        <v>0</v>
      </c>
      <c r="AZ133" s="56">
        <f t="shared" si="389"/>
        <v>783226</v>
      </c>
      <c r="BA133" s="56">
        <f t="shared" si="389"/>
        <v>0</v>
      </c>
      <c r="BB133" s="56">
        <f t="shared" si="389"/>
        <v>43252833</v>
      </c>
      <c r="BC133" s="56">
        <f t="shared" si="389"/>
        <v>0</v>
      </c>
      <c r="BD133" s="56">
        <f t="shared" si="389"/>
        <v>65488</v>
      </c>
      <c r="BE133" s="56">
        <f t="shared" si="389"/>
        <v>0</v>
      </c>
      <c r="BF133" s="56">
        <f t="shared" si="389"/>
        <v>8.3613158909433549E-2</v>
      </c>
      <c r="BG133" s="56">
        <f t="shared" si="389"/>
        <v>0</v>
      </c>
      <c r="BH133" s="56">
        <f t="shared" si="389"/>
        <v>0</v>
      </c>
      <c r="BI133" s="56">
        <f t="shared" si="389"/>
        <v>0</v>
      </c>
      <c r="BJ133" s="56">
        <f t="shared" si="389"/>
        <v>5035193</v>
      </c>
      <c r="BK133" s="56">
        <f t="shared" si="389"/>
        <v>0</v>
      </c>
      <c r="BL133" s="56">
        <f t="shared" si="389"/>
        <v>8.6530943302471228E-2</v>
      </c>
      <c r="BM133" s="56">
        <f t="shared" si="389"/>
        <v>372869.25</v>
      </c>
      <c r="BN133" s="56">
        <f t="shared" si="389"/>
        <v>0</v>
      </c>
      <c r="BO133" s="56">
        <f t="shared" si="389"/>
        <v>3203964</v>
      </c>
      <c r="BP133" s="10"/>
      <c r="BQ133" s="62"/>
      <c r="BR133" s="10"/>
      <c r="BS133" s="10"/>
      <c r="BT133" s="10"/>
      <c r="BU133" s="10"/>
      <c r="BV133" s="161"/>
      <c r="BW133" s="10"/>
      <c r="BX133" s="62"/>
      <c r="BY133" s="10"/>
      <c r="BZ133" s="161"/>
      <c r="CA133" s="61"/>
      <c r="CB133" s="61"/>
      <c r="CC133" s="61"/>
      <c r="CD133" s="61"/>
      <c r="CE133" s="61"/>
      <c r="CF133" s="158"/>
    </row>
    <row r="134" spans="2:84" x14ac:dyDescent="0.3">
      <c r="B134" t="s">
        <v>118</v>
      </c>
      <c r="D134" s="56">
        <f>+D124-D133</f>
        <v>-7139</v>
      </c>
      <c r="E134" s="56">
        <f>+E119-E120</f>
        <v>0</v>
      </c>
      <c r="F134" s="56">
        <f>+F119-F120</f>
        <v>0</v>
      </c>
      <c r="G134" s="56">
        <f>+G119-G120</f>
        <v>0</v>
      </c>
      <c r="H134" s="56">
        <f t="shared" ref="H134:BO134" si="390">+H124-H133</f>
        <v>-65488</v>
      </c>
      <c r="I134" s="56">
        <f t="shared" si="390"/>
        <v>0</v>
      </c>
      <c r="J134" s="56">
        <f t="shared" si="390"/>
        <v>-1.7939129155399754E-3</v>
      </c>
      <c r="K134" s="56">
        <f t="shared" si="390"/>
        <v>0</v>
      </c>
      <c r="L134" s="56">
        <f t="shared" si="390"/>
        <v>0</v>
      </c>
      <c r="M134" s="56">
        <f t="shared" si="390"/>
        <v>0</v>
      </c>
      <c r="N134" s="56">
        <f t="shared" si="390"/>
        <v>-308.63005997001528</v>
      </c>
      <c r="O134" s="56">
        <f t="shared" si="390"/>
        <v>0</v>
      </c>
      <c r="P134" s="56">
        <f t="shared" si="390"/>
        <v>-11876</v>
      </c>
      <c r="Q134" s="56">
        <f t="shared" si="390"/>
        <v>0</v>
      </c>
      <c r="R134" s="56">
        <f t="shared" si="390"/>
        <v>-3.2087128804565157E-3</v>
      </c>
      <c r="S134" s="56">
        <f t="shared" si="390"/>
        <v>0</v>
      </c>
      <c r="T134" s="56">
        <f t="shared" si="390"/>
        <v>0</v>
      </c>
      <c r="U134" s="56">
        <f t="shared" si="390"/>
        <v>0</v>
      </c>
      <c r="V134" s="56">
        <f t="shared" si="390"/>
        <v>-85</v>
      </c>
      <c r="W134" s="56">
        <f t="shared" si="390"/>
        <v>0</v>
      </c>
      <c r="X134" s="56">
        <f t="shared" si="390"/>
        <v>0</v>
      </c>
      <c r="Y134" s="56">
        <f t="shared" si="390"/>
        <v>0</v>
      </c>
      <c r="Z134" s="56">
        <f t="shared" si="390"/>
        <v>-465</v>
      </c>
      <c r="AA134" s="56">
        <f t="shared" si="390"/>
        <v>0</v>
      </c>
      <c r="AB134" s="56">
        <f t="shared" si="390"/>
        <v>6.2594486254122922E-4</v>
      </c>
      <c r="AC134" s="56">
        <f t="shared" si="390"/>
        <v>0</v>
      </c>
      <c r="AD134" s="56">
        <f t="shared" si="390"/>
        <v>6.3198650674662531</v>
      </c>
      <c r="AE134" s="56">
        <f t="shared" si="390"/>
        <v>0</v>
      </c>
      <c r="AF134" s="56">
        <f t="shared" si="390"/>
        <v>-87</v>
      </c>
      <c r="AG134" s="56">
        <f t="shared" si="390"/>
        <v>25302</v>
      </c>
      <c r="AH134" s="56" t="e">
        <f t="shared" si="390"/>
        <v>#DIV/0!</v>
      </c>
      <c r="AI134" s="56">
        <f t="shared" si="390"/>
        <v>0</v>
      </c>
      <c r="AJ134" s="56">
        <f t="shared" si="390"/>
        <v>0</v>
      </c>
      <c r="AK134" s="56">
        <f t="shared" si="390"/>
        <v>-5747</v>
      </c>
      <c r="AL134" s="56">
        <f t="shared" si="390"/>
        <v>0</v>
      </c>
      <c r="AM134" s="56">
        <f t="shared" si="390"/>
        <v>0</v>
      </c>
      <c r="AN134" s="56">
        <f t="shared" si="390"/>
        <v>0</v>
      </c>
      <c r="AO134" s="56">
        <f t="shared" si="390"/>
        <v>-32385</v>
      </c>
      <c r="AP134" s="56">
        <f t="shared" si="390"/>
        <v>0</v>
      </c>
      <c r="AQ134" s="56">
        <f t="shared" si="390"/>
        <v>-3.4743707506787874E-3</v>
      </c>
      <c r="AR134" s="56">
        <f t="shared" si="390"/>
        <v>0</v>
      </c>
      <c r="AS134" s="56">
        <f t="shared" si="390"/>
        <v>0</v>
      </c>
      <c r="AT134" s="56">
        <f t="shared" si="390"/>
        <v>0</v>
      </c>
      <c r="AU134" s="56">
        <f t="shared" si="390"/>
        <v>-9.4380756040213232E-4</v>
      </c>
      <c r="AV134" s="56">
        <f t="shared" si="390"/>
        <v>0</v>
      </c>
      <c r="AW134" s="56">
        <f t="shared" si="390"/>
        <v>-165.45659670164787</v>
      </c>
      <c r="AX134" s="56">
        <f t="shared" si="390"/>
        <v>0</v>
      </c>
      <c r="AY134" s="56">
        <f t="shared" si="390"/>
        <v>0</v>
      </c>
      <c r="AZ134" s="56">
        <f t="shared" si="390"/>
        <v>-83955</v>
      </c>
      <c r="BA134" s="56">
        <f t="shared" si="390"/>
        <v>0</v>
      </c>
      <c r="BB134" s="56">
        <f t="shared" si="390"/>
        <v>-783226</v>
      </c>
      <c r="BC134" s="56">
        <f t="shared" si="390"/>
        <v>0</v>
      </c>
      <c r="BD134" s="56">
        <f t="shared" si="390"/>
        <v>-7139</v>
      </c>
      <c r="BE134" s="56">
        <f t="shared" si="390"/>
        <v>0</v>
      </c>
      <c r="BF134" s="56">
        <f t="shared" si="390"/>
        <v>-1.7054510162513303E-4</v>
      </c>
      <c r="BG134" s="56">
        <f t="shared" si="390"/>
        <v>0</v>
      </c>
      <c r="BH134" s="56">
        <f t="shared" si="390"/>
        <v>0</v>
      </c>
      <c r="BI134" s="56">
        <f t="shared" si="390"/>
        <v>0</v>
      </c>
      <c r="BJ134" s="56">
        <f t="shared" si="390"/>
        <v>-152395</v>
      </c>
      <c r="BK134" s="56">
        <f t="shared" si="390"/>
        <v>0</v>
      </c>
      <c r="BL134" s="56">
        <f t="shared" si="390"/>
        <v>2.6846965706549264E-4</v>
      </c>
      <c r="BM134" s="56">
        <f t="shared" si="390"/>
        <v>-3568.3195652174181</v>
      </c>
      <c r="BN134" s="56">
        <f t="shared" si="390"/>
        <v>0</v>
      </c>
      <c r="BO134" s="56">
        <f t="shared" si="390"/>
        <v>-65488</v>
      </c>
      <c r="BP134" s="10"/>
      <c r="BQ134" s="10"/>
      <c r="BR134" s="10"/>
      <c r="BS134" s="10"/>
      <c r="BT134" s="10"/>
      <c r="BU134" s="10"/>
      <c r="BV134" s="62"/>
      <c r="BW134" s="10"/>
      <c r="BX134" s="10"/>
      <c r="BY134" s="10"/>
      <c r="BZ134" s="62"/>
      <c r="CA134" s="61"/>
      <c r="CB134" s="61"/>
      <c r="CC134" s="61"/>
      <c r="CD134" s="61"/>
      <c r="CE134" s="61"/>
      <c r="CF134" s="117"/>
    </row>
    <row r="135" spans="2:84" x14ac:dyDescent="0.3">
      <c r="N135" s="59"/>
      <c r="Z135" s="56"/>
      <c r="AB135" s="59"/>
      <c r="AD135" s="274"/>
      <c r="AZ135" s="59"/>
      <c r="BF135" s="59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61"/>
      <c r="CB135" s="117"/>
      <c r="CC135" s="117"/>
      <c r="CD135" s="117"/>
      <c r="CE135" s="117"/>
    </row>
    <row r="136" spans="2:84" x14ac:dyDescent="0.3">
      <c r="D136" s="56"/>
      <c r="H136" s="1"/>
      <c r="N136" s="59"/>
      <c r="V136" s="56"/>
      <c r="Z136" s="55"/>
      <c r="AZ136" s="59"/>
      <c r="BB136" s="56"/>
      <c r="BD136" s="59"/>
      <c r="BI136" s="61"/>
      <c r="BJ136" s="62">
        <f>+BJ134/BJ82</f>
        <v>-5.2139874935464521E-2</v>
      </c>
      <c r="BK136" s="61"/>
      <c r="BL136" s="61"/>
      <c r="BM136" s="61"/>
      <c r="BN136" s="61"/>
      <c r="BO136" s="61"/>
      <c r="BP136" s="61"/>
      <c r="BQ136" s="61"/>
      <c r="BR136" s="10"/>
      <c r="BS136" s="10"/>
    </row>
    <row r="137" spans="2:84" x14ac:dyDescent="0.3">
      <c r="H137" s="56"/>
      <c r="V137" s="56"/>
      <c r="Z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BG137" s="108"/>
      <c r="BH137" s="108"/>
      <c r="BI137" s="108"/>
      <c r="BJ137" s="108"/>
      <c r="BK137" s="108"/>
      <c r="BL137" s="108"/>
      <c r="BM137" s="108"/>
      <c r="BN137" s="108"/>
      <c r="BO137" s="108"/>
      <c r="BP137" s="108"/>
      <c r="BQ137" s="90"/>
      <c r="BR137" s="1"/>
      <c r="BS137" s="1"/>
    </row>
    <row r="138" spans="2:84" x14ac:dyDescent="0.3">
      <c r="D138" s="1"/>
      <c r="E138" s="123" t="s">
        <v>28</v>
      </c>
      <c r="F138" s="124"/>
      <c r="H138" s="124" t="s">
        <v>67</v>
      </c>
      <c r="I138" s="116"/>
      <c r="J138" s="116"/>
      <c r="K138" s="61"/>
      <c r="L138" s="10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BG138" s="108"/>
      <c r="BH138" s="108"/>
      <c r="BI138" s="108"/>
      <c r="BJ138" s="108"/>
      <c r="BK138" s="108"/>
      <c r="BL138" s="108"/>
      <c r="BM138" s="108"/>
      <c r="BN138" s="108"/>
      <c r="BO138" s="108"/>
      <c r="BP138" s="108"/>
      <c r="BQ138" s="90"/>
      <c r="BR138" s="1"/>
      <c r="BS138" s="1"/>
    </row>
    <row r="139" spans="2:84" x14ac:dyDescent="0.3">
      <c r="D139" s="1"/>
      <c r="E139" s="123" t="s">
        <v>40</v>
      </c>
      <c r="F139" s="124"/>
      <c r="H139" s="124" t="s">
        <v>42</v>
      </c>
      <c r="I139" s="10"/>
      <c r="J139" s="10"/>
      <c r="K139" s="61"/>
      <c r="L139" s="10"/>
      <c r="AC139" s="1"/>
      <c r="AD139" s="1"/>
      <c r="AE139" s="1"/>
      <c r="AF139" s="1"/>
      <c r="AG139" s="1"/>
      <c r="AH139" s="1"/>
      <c r="AI139" s="1"/>
      <c r="AJ139" s="1"/>
      <c r="AK139" s="1" t="s">
        <v>17</v>
      </c>
      <c r="AL139" s="1"/>
      <c r="AM139" s="1"/>
      <c r="AN139" s="1"/>
      <c r="BG139" s="109"/>
      <c r="BH139" s="109"/>
      <c r="BI139" s="109"/>
      <c r="BJ139" s="109"/>
      <c r="BK139" s="109"/>
      <c r="BL139" s="109"/>
      <c r="BM139" s="109"/>
      <c r="BN139" s="109"/>
      <c r="BO139" s="109"/>
      <c r="BP139" s="109"/>
      <c r="BQ139" s="90"/>
      <c r="BR139" s="1"/>
      <c r="BS139" s="1"/>
    </row>
    <row r="140" spans="2:84" x14ac:dyDescent="0.3">
      <c r="D140" s="1"/>
      <c r="E140" s="123" t="s">
        <v>47</v>
      </c>
      <c r="F140" s="124"/>
      <c r="H140" s="124" t="s">
        <v>57</v>
      </c>
      <c r="I140" s="10"/>
      <c r="J140" s="10"/>
      <c r="K140" s="61"/>
      <c r="L140" s="10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BG140" s="109"/>
      <c r="BH140" s="109"/>
      <c r="BI140" s="109"/>
      <c r="BJ140" s="109"/>
      <c r="BK140" s="109"/>
      <c r="BL140" s="109"/>
      <c r="BM140" s="109"/>
      <c r="BN140" s="109"/>
      <c r="BO140" s="109"/>
      <c r="BP140" s="109"/>
      <c r="BQ140" s="90"/>
      <c r="BR140" s="1"/>
      <c r="BS140" s="1"/>
    </row>
    <row r="141" spans="2:84" x14ac:dyDescent="0.3">
      <c r="D141" s="1"/>
      <c r="E141" s="123" t="s">
        <v>68</v>
      </c>
      <c r="F141" s="61"/>
      <c r="H141" s="93" t="s">
        <v>149</v>
      </c>
      <c r="I141" s="61"/>
      <c r="J141" s="61"/>
      <c r="K141" s="61"/>
      <c r="L141" s="6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BG141" s="109"/>
      <c r="BH141" s="109"/>
      <c r="BI141" s="109"/>
      <c r="BJ141" s="109"/>
      <c r="BK141" s="109"/>
      <c r="BL141" s="109"/>
      <c r="BM141" s="109"/>
      <c r="BN141" s="109"/>
      <c r="BO141" s="109"/>
      <c r="BP141" s="109"/>
      <c r="BQ141" s="90"/>
      <c r="BR141" s="1"/>
      <c r="BS141" s="1"/>
    </row>
    <row r="142" spans="2:84" x14ac:dyDescent="0.3">
      <c r="E142" s="123" t="s">
        <v>150</v>
      </c>
      <c r="H142" s="93" t="s">
        <v>151</v>
      </c>
      <c r="AC142" s="1"/>
      <c r="AD142" s="1"/>
      <c r="AE142" s="1"/>
      <c r="AF142" s="1"/>
      <c r="AG142" s="1"/>
      <c r="AH142" s="1"/>
      <c r="BC142" s="90"/>
      <c r="BD142" s="90"/>
      <c r="BE142" s="90"/>
      <c r="BF142" s="90"/>
      <c r="BG142" s="90"/>
      <c r="BH142" s="90"/>
      <c r="BI142" s="90"/>
      <c r="BJ142" s="90"/>
      <c r="BK142" s="90"/>
      <c r="BL142" s="90"/>
      <c r="BM142" s="90"/>
      <c r="BN142" s="90"/>
      <c r="BO142" s="90"/>
      <c r="BP142" s="90"/>
      <c r="BQ142" s="90"/>
      <c r="BR142" s="1"/>
      <c r="BS142" s="1"/>
    </row>
    <row r="143" spans="2:84" x14ac:dyDescent="0.3">
      <c r="AC143" s="1"/>
      <c r="AD143" s="1"/>
      <c r="AE143" s="1"/>
      <c r="AF143" s="1"/>
      <c r="AG143" s="1"/>
      <c r="AH143" s="1"/>
    </row>
    <row r="144" spans="2:84" ht="15" thickBot="1" x14ac:dyDescent="0.35">
      <c r="D144" s="56"/>
      <c r="AC144" s="1"/>
      <c r="AD144" s="1"/>
      <c r="AE144" s="1"/>
      <c r="AF144" s="1"/>
      <c r="AG144" s="1"/>
      <c r="AH144" s="664"/>
      <c r="AI144" s="665"/>
      <c r="AJ144" s="665"/>
      <c r="AK144" s="665"/>
      <c r="AL144" s="665"/>
      <c r="AM144" s="665"/>
      <c r="AN144" s="665"/>
      <c r="AO144" s="665"/>
      <c r="AP144" s="665"/>
      <c r="AQ144" s="665"/>
      <c r="AR144" s="665"/>
      <c r="AS144" s="665"/>
      <c r="AT144" s="665"/>
      <c r="AU144" s="665"/>
      <c r="AV144" s="665"/>
      <c r="AW144" s="665"/>
      <c r="AY144" s="118"/>
      <c r="AZ144" s="118"/>
      <c r="BA144" s="118"/>
      <c r="BB144" s="118"/>
    </row>
    <row r="145" spans="2:86" x14ac:dyDescent="0.3">
      <c r="D145" s="1">
        <v>4900</v>
      </c>
      <c r="J145" s="666">
        <f>+BQ125</f>
        <v>7.4075240343216359E-2</v>
      </c>
      <c r="U145" s="118"/>
      <c r="Z145" s="56"/>
      <c r="AC145" s="1"/>
      <c r="AD145" s="1"/>
      <c r="AE145" s="1"/>
      <c r="AF145" s="1"/>
      <c r="AG145" s="1"/>
      <c r="AH145" s="664"/>
      <c r="AI145" s="638"/>
      <c r="AJ145" s="639"/>
      <c r="AK145" s="639"/>
      <c r="AL145" s="639"/>
      <c r="AM145" s="639"/>
      <c r="AN145" s="639"/>
      <c r="AO145" s="639"/>
      <c r="AP145" s="639"/>
      <c r="AQ145" s="639"/>
      <c r="AR145" s="639"/>
      <c r="AS145" s="639"/>
      <c r="AT145" s="639"/>
      <c r="AU145" s="639"/>
      <c r="AV145" s="640"/>
      <c r="AW145" s="665"/>
      <c r="AY145" s="118"/>
      <c r="AZ145" s="118"/>
      <c r="BA145" s="118"/>
      <c r="BB145" s="118"/>
    </row>
    <row r="146" spans="2:86" x14ac:dyDescent="0.3">
      <c r="D146" s="1">
        <v>1000000</v>
      </c>
      <c r="J146" s="233">
        <f>+AB125</f>
        <v>3.9732052146827561E-2</v>
      </c>
      <c r="AC146" s="1"/>
      <c r="AD146" s="1"/>
      <c r="AE146" s="1"/>
      <c r="AF146" s="1"/>
      <c r="AG146" s="1"/>
      <c r="AH146" s="664"/>
      <c r="AI146" s="641"/>
      <c r="AJ146" s="649" t="s">
        <v>157</v>
      </c>
      <c r="AK146" s="649"/>
      <c r="AL146" s="649"/>
      <c r="AM146" s="649"/>
      <c r="AN146" s="649"/>
      <c r="AO146" s="649"/>
      <c r="AP146" s="649"/>
      <c r="AQ146" s="649"/>
      <c r="AR146" s="649"/>
      <c r="AS146" s="649"/>
      <c r="AT146" s="649"/>
      <c r="AU146" s="649"/>
      <c r="AV146" s="642"/>
      <c r="AW146" s="665"/>
      <c r="AY146" s="118"/>
      <c r="AZ146" s="118"/>
      <c r="BA146" s="118"/>
      <c r="BB146" s="118"/>
    </row>
    <row r="147" spans="2:86" ht="15.6" x14ac:dyDescent="0.3">
      <c r="J147" s="57">
        <f>+J145*J146</f>
        <v>2.9431613121054571E-3</v>
      </c>
      <c r="AC147" s="1"/>
      <c r="AD147" s="1"/>
      <c r="AE147" s="1"/>
      <c r="AF147" s="1"/>
      <c r="AG147" s="1"/>
      <c r="AH147" s="664"/>
      <c r="AI147" s="641"/>
      <c r="AJ147" s="649" t="s">
        <v>156</v>
      </c>
      <c r="AK147" s="649"/>
      <c r="AL147" s="649"/>
      <c r="AM147" s="649"/>
      <c r="AN147" s="650"/>
      <c r="AO147" s="651" t="s">
        <v>20</v>
      </c>
      <c r="AP147" s="650"/>
      <c r="AQ147" s="651" t="s">
        <v>4</v>
      </c>
      <c r="AR147" s="652"/>
      <c r="AS147" s="652"/>
      <c r="AT147" s="652"/>
      <c r="AU147" s="658" t="s">
        <v>10</v>
      </c>
      <c r="AV147" s="642"/>
      <c r="AW147" s="665"/>
      <c r="AY147" s="118"/>
      <c r="AZ147" s="118"/>
      <c r="BA147" s="118"/>
      <c r="BB147" s="118"/>
    </row>
    <row r="148" spans="2:86" x14ac:dyDescent="0.3">
      <c r="AC148" s="1"/>
      <c r="AD148" s="1"/>
      <c r="AE148" s="1"/>
      <c r="AF148" s="1"/>
      <c r="AG148" s="1"/>
      <c r="AH148" s="664"/>
      <c r="AI148" s="641"/>
      <c r="AJ148" s="653" t="s">
        <v>152</v>
      </c>
      <c r="AK148" s="653"/>
      <c r="AL148" s="653"/>
      <c r="AM148" s="653"/>
      <c r="AN148" s="650"/>
      <c r="AO148" s="654">
        <f>+AG50</f>
        <v>898992</v>
      </c>
      <c r="AP148" s="655"/>
      <c r="AQ148" s="654">
        <f>+AG51</f>
        <v>55687</v>
      </c>
      <c r="AR148" s="656"/>
      <c r="AS148" s="656"/>
      <c r="AT148" s="656"/>
      <c r="AU148" s="657">
        <f>+AQ148/AO148</f>
        <v>6.194382152455194E-2</v>
      </c>
      <c r="AV148" s="642"/>
      <c r="AW148" s="665"/>
      <c r="AY148" s="118"/>
      <c r="AZ148" s="118"/>
      <c r="BA148" s="118"/>
      <c r="BB148" s="118"/>
    </row>
    <row r="149" spans="2:86" x14ac:dyDescent="0.3">
      <c r="D149" s="278">
        <f>+D145/D146</f>
        <v>4.8999999999999998E-3</v>
      </c>
      <c r="AC149" s="1"/>
      <c r="AD149" s="1"/>
      <c r="AE149" s="1"/>
      <c r="AF149" s="1"/>
      <c r="AG149" s="1"/>
      <c r="AH149" s="664"/>
      <c r="AI149" s="641"/>
      <c r="AJ149" s="643" t="s">
        <v>153</v>
      </c>
      <c r="AK149" s="644"/>
      <c r="AL149" s="644"/>
      <c r="AM149" s="644"/>
      <c r="AN149" s="65"/>
      <c r="AO149" s="645">
        <f>+AF83</f>
        <v>742147</v>
      </c>
      <c r="AP149" s="65"/>
      <c r="AQ149" s="645">
        <f>+AF84</f>
        <v>42339</v>
      </c>
      <c r="AR149" s="65"/>
      <c r="AS149" s="65"/>
      <c r="AT149" s="65"/>
      <c r="AU149" s="157">
        <f>+AQ149/AO149</f>
        <v>5.7049344671608188E-2</v>
      </c>
      <c r="AV149" s="642"/>
      <c r="AW149" s="665"/>
      <c r="AY149" s="118"/>
      <c r="AZ149" s="118"/>
      <c r="BA149" s="118"/>
      <c r="BB149" s="118"/>
    </row>
    <row r="150" spans="2:86" x14ac:dyDescent="0.3">
      <c r="AC150" s="1"/>
      <c r="AD150" s="1"/>
      <c r="AE150" s="1"/>
      <c r="AF150" s="1"/>
      <c r="AG150" s="1"/>
      <c r="AH150" s="664"/>
      <c r="AI150" s="641"/>
      <c r="AJ150" s="644" t="s">
        <v>154</v>
      </c>
      <c r="AK150" s="644"/>
      <c r="AL150" s="644"/>
      <c r="AM150" s="644"/>
      <c r="AN150" s="65"/>
      <c r="AO150" s="645">
        <f>+AG113</f>
        <v>869627</v>
      </c>
      <c r="AP150" s="65"/>
      <c r="AQ150" s="645">
        <f>+AG114</f>
        <v>21252</v>
      </c>
      <c r="AR150" s="65"/>
      <c r="AS150" s="65"/>
      <c r="AT150" s="65"/>
      <c r="AU150" s="157">
        <f>+AQ150/AO150</f>
        <v>2.4438063675575852E-2</v>
      </c>
      <c r="AV150" s="642"/>
      <c r="AW150" s="665"/>
      <c r="AY150" s="118"/>
      <c r="AZ150" s="118"/>
      <c r="BA150" s="118"/>
      <c r="BB150" s="118"/>
    </row>
    <row r="151" spans="2:86" x14ac:dyDescent="0.3">
      <c r="D151" s="472">
        <v>32000</v>
      </c>
      <c r="AC151" s="1"/>
      <c r="AD151" s="1"/>
      <c r="AE151" s="1"/>
      <c r="AF151" s="1"/>
      <c r="AG151" s="1"/>
      <c r="AH151" s="664"/>
      <c r="AI151" s="641"/>
      <c r="AJ151" s="644" t="s">
        <v>158</v>
      </c>
      <c r="AK151" s="644"/>
      <c r="AL151" s="644"/>
      <c r="AM151" s="644"/>
      <c r="AN151" s="65"/>
      <c r="AO151" s="645">
        <f>+AG124</f>
        <v>1356158</v>
      </c>
      <c r="AP151" s="65"/>
      <c r="AQ151" s="645">
        <f>+AF125</f>
        <v>5268</v>
      </c>
      <c r="AR151" s="65"/>
      <c r="AS151" s="65"/>
      <c r="AT151" s="65"/>
      <c r="AU151" s="157">
        <f>+AQ151/AO151</f>
        <v>3.8845031331157581E-3</v>
      </c>
      <c r="AV151" s="642"/>
      <c r="AW151" s="665"/>
    </row>
    <row r="152" spans="2:86" x14ac:dyDescent="0.3">
      <c r="B152" s="471"/>
      <c r="D152" s="278">
        <f>+D151/D163</f>
        <v>9.6676737160120849E-5</v>
      </c>
      <c r="AC152" s="1"/>
      <c r="AD152" s="1"/>
      <c r="AE152" s="1"/>
      <c r="AF152" s="1"/>
      <c r="AG152" s="1"/>
      <c r="AH152" s="664"/>
      <c r="AI152" s="641"/>
      <c r="AJ152" s="644" t="s">
        <v>155</v>
      </c>
      <c r="AK152" s="644"/>
      <c r="AL152" s="644"/>
      <c r="AM152" s="644"/>
      <c r="AN152" s="65"/>
      <c r="AO152" s="645">
        <f>+Z127</f>
        <v>0</v>
      </c>
      <c r="AP152" s="65"/>
      <c r="AQ152" s="645">
        <f>+Z126</f>
        <v>0</v>
      </c>
      <c r="AR152" s="65"/>
      <c r="AS152" s="65"/>
      <c r="AT152" s="65"/>
      <c r="AU152" s="663" t="e">
        <f>+AQ152/AO152</f>
        <v>#DIV/0!</v>
      </c>
      <c r="AV152" s="642"/>
      <c r="AW152" s="665"/>
    </row>
    <row r="153" spans="2:86" ht="15" thickBot="1" x14ac:dyDescent="0.35">
      <c r="B153" s="471"/>
      <c r="D153" s="278"/>
      <c r="AC153" s="1"/>
      <c r="AD153" s="1"/>
      <c r="AE153" s="1"/>
      <c r="AF153" s="1"/>
      <c r="AG153" s="1"/>
      <c r="AH153" s="664"/>
      <c r="AI153" s="641"/>
      <c r="AJ153" s="659"/>
      <c r="AK153" s="659"/>
      <c r="AL153" s="659"/>
      <c r="AM153" s="659"/>
      <c r="AN153" s="660"/>
      <c r="AO153" s="661"/>
      <c r="AP153" s="660"/>
      <c r="AQ153" s="661"/>
      <c r="AR153" s="660"/>
      <c r="AS153" s="660"/>
      <c r="AT153" s="660"/>
      <c r="AU153" s="662"/>
      <c r="AV153" s="642"/>
      <c r="AW153" s="665"/>
    </row>
    <row r="154" spans="2:86" x14ac:dyDescent="0.3">
      <c r="B154" s="471"/>
      <c r="D154" s="278"/>
      <c r="AC154" s="1"/>
      <c r="AD154" s="1"/>
      <c r="AE154" s="1"/>
      <c r="AF154" s="1"/>
      <c r="AG154" s="1"/>
      <c r="AH154" s="664"/>
      <c r="AI154" s="641"/>
      <c r="AJ154" s="644" t="s">
        <v>152</v>
      </c>
      <c r="AK154" s="644"/>
      <c r="AL154" s="644"/>
      <c r="AM154" s="644"/>
      <c r="AN154" s="65"/>
      <c r="AO154" s="645"/>
      <c r="AP154" s="65"/>
      <c r="AQ154" s="645">
        <f>+AQ148</f>
        <v>55687</v>
      </c>
      <c r="AR154" s="65"/>
      <c r="AS154" s="65"/>
      <c r="AT154" s="65"/>
      <c r="AU154" s="157"/>
      <c r="AV154" s="642"/>
      <c r="AW154" s="665"/>
    </row>
    <row r="155" spans="2:86" x14ac:dyDescent="0.3">
      <c r="B155" s="471"/>
      <c r="D155" s="278"/>
      <c r="AC155" s="1"/>
      <c r="AD155" s="1"/>
      <c r="AE155" s="1"/>
      <c r="AF155" s="1"/>
      <c r="AG155" s="1"/>
      <c r="AH155" s="664"/>
      <c r="AI155" s="641"/>
      <c r="AJ155" s="644" t="s">
        <v>158</v>
      </c>
      <c r="AK155" s="644"/>
      <c r="AL155" s="644"/>
      <c r="AM155" s="64"/>
      <c r="AN155" s="65"/>
      <c r="AO155" s="645"/>
      <c r="AP155" s="65"/>
      <c r="AQ155" s="645">
        <f>+AF125</f>
        <v>5268</v>
      </c>
      <c r="AR155" s="65"/>
      <c r="AS155" s="65"/>
      <c r="AT155" s="65"/>
      <c r="AU155" s="157"/>
      <c r="AV155" s="642"/>
      <c r="AW155" s="665"/>
    </row>
    <row r="156" spans="2:86" x14ac:dyDescent="0.3">
      <c r="B156" s="471"/>
      <c r="D156" s="278"/>
      <c r="AC156" s="1"/>
      <c r="AD156" s="1"/>
      <c r="AE156" s="1"/>
      <c r="AF156" s="1"/>
      <c r="AG156" s="1"/>
      <c r="AH156" s="664"/>
      <c r="AI156" s="641"/>
      <c r="AJ156" s="64"/>
      <c r="AK156" s="64" t="s">
        <v>73</v>
      </c>
      <c r="AL156" s="64"/>
      <c r="AM156" s="64"/>
      <c r="AN156" s="65"/>
      <c r="AO156" s="645"/>
      <c r="AP156" s="65"/>
      <c r="AQ156" s="645">
        <f>+AQ154-AQ155</f>
        <v>50419</v>
      </c>
      <c r="AR156" s="65"/>
      <c r="AS156" s="65"/>
      <c r="AT156" s="65"/>
      <c r="AU156" s="663">
        <f>+AQ156/AQ154</f>
        <v>0.9053998240163772</v>
      </c>
      <c r="AV156" s="642"/>
      <c r="AW156" s="665"/>
    </row>
    <row r="157" spans="2:86" ht="15" thickBot="1" x14ac:dyDescent="0.35">
      <c r="D157" s="471"/>
      <c r="AC157" s="1"/>
      <c r="AD157" s="1"/>
      <c r="AE157" s="1"/>
      <c r="AF157" s="1"/>
      <c r="AG157" s="1"/>
      <c r="AH157" s="664"/>
      <c r="AI157" s="646"/>
      <c r="AJ157" s="647"/>
      <c r="AK157" s="647"/>
      <c r="AL157" s="647"/>
      <c r="AM157" s="647"/>
      <c r="AN157" s="647"/>
      <c r="AO157" s="647"/>
      <c r="AP157" s="647"/>
      <c r="AQ157" s="647"/>
      <c r="AR157" s="647"/>
      <c r="AS157" s="647"/>
      <c r="AT157" s="647"/>
      <c r="AU157" s="647"/>
      <c r="AV157" s="648"/>
      <c r="AW157" s="665"/>
      <c r="BC157" s="90"/>
      <c r="BD157" s="90"/>
      <c r="BE157" s="90"/>
      <c r="BF157" s="90"/>
      <c r="BG157" s="90"/>
      <c r="BH157" s="90"/>
      <c r="BI157" s="90"/>
      <c r="BJ157" s="90"/>
      <c r="BK157" s="90"/>
      <c r="BL157" s="90"/>
      <c r="BM157" s="90"/>
      <c r="BN157" s="90"/>
      <c r="BO157" s="90"/>
      <c r="BP157" s="90"/>
      <c r="BQ157" s="90"/>
      <c r="BR157" s="1"/>
      <c r="BS157" s="1"/>
      <c r="BT157" s="1"/>
      <c r="BU157" s="1"/>
      <c r="BV157" s="90"/>
      <c r="BW157" s="90"/>
      <c r="BX157" s="90"/>
      <c r="BY157" s="90"/>
      <c r="BZ157" s="90"/>
      <c r="CA157" s="90"/>
      <c r="CB157" s="90"/>
      <c r="CC157" s="90"/>
      <c r="CD157" s="90"/>
      <c r="CE157" s="90"/>
      <c r="CF157" s="90"/>
      <c r="CG157" s="90"/>
      <c r="CH157" s="90"/>
    </row>
    <row r="158" spans="2:86" x14ac:dyDescent="0.3">
      <c r="AC158" s="10"/>
      <c r="AD158" s="10"/>
      <c r="AE158" s="10"/>
      <c r="AF158" s="10"/>
      <c r="AG158" s="10"/>
      <c r="AH158" s="664"/>
      <c r="AI158" s="665"/>
      <c r="AJ158" s="665"/>
      <c r="AK158" s="665"/>
      <c r="AL158" s="665"/>
      <c r="AM158" s="665"/>
      <c r="AN158" s="665"/>
      <c r="AO158" s="665"/>
      <c r="AP158" s="665"/>
      <c r="AQ158" s="665"/>
      <c r="AR158" s="665"/>
      <c r="AS158" s="665"/>
      <c r="AT158" s="665"/>
      <c r="AU158" s="665"/>
      <c r="AV158" s="665"/>
      <c r="AW158" s="665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89"/>
      <c r="BW158" s="89"/>
      <c r="BX158" s="89"/>
      <c r="BY158" s="89"/>
      <c r="BZ158" s="121"/>
      <c r="CA158" s="1"/>
      <c r="CB158" s="1"/>
      <c r="CC158" s="1"/>
      <c r="CD158" s="1"/>
      <c r="CE158" s="1"/>
      <c r="CF158" s="1"/>
      <c r="CG158" s="1"/>
      <c r="CH158" s="1"/>
    </row>
    <row r="159" spans="2:86" x14ac:dyDescent="0.3">
      <c r="D159">
        <v>10</v>
      </c>
      <c r="AC159" s="10"/>
      <c r="AD159" s="10"/>
      <c r="AE159" s="10"/>
      <c r="AF159" s="10"/>
      <c r="AG159" s="10"/>
      <c r="AH159" s="10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89"/>
      <c r="BW159" s="89"/>
      <c r="BX159" s="89"/>
      <c r="BY159" s="89"/>
      <c r="BZ159" s="89"/>
      <c r="CA159" s="1"/>
      <c r="CB159" s="1"/>
      <c r="CC159" s="1"/>
      <c r="CD159" s="1"/>
      <c r="CE159" s="1"/>
      <c r="CF159" s="1"/>
      <c r="CG159" s="1"/>
      <c r="CH159" s="1"/>
    </row>
    <row r="160" spans="2:86" x14ac:dyDescent="0.3">
      <c r="D160" s="1">
        <v>1000000</v>
      </c>
      <c r="AC160" s="10"/>
      <c r="AD160" s="10"/>
      <c r="AE160" s="10"/>
      <c r="AF160" s="10"/>
      <c r="AG160" s="10"/>
      <c r="AH160" s="10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89"/>
      <c r="BW160" s="89"/>
      <c r="BX160" s="89"/>
      <c r="BY160" s="89"/>
      <c r="BZ160" s="89"/>
      <c r="CA160" s="1"/>
      <c r="CB160" s="1"/>
      <c r="CC160" s="1"/>
      <c r="CD160" s="1"/>
      <c r="CE160" s="1"/>
      <c r="CF160" s="1"/>
    </row>
    <row r="161" spans="2:84" x14ac:dyDescent="0.3">
      <c r="D161" s="57">
        <f>+D159/D160</f>
        <v>1.0000000000000001E-5</v>
      </c>
      <c r="AC161" s="10"/>
      <c r="AD161" s="10"/>
      <c r="AE161" s="10"/>
      <c r="AF161" s="10"/>
      <c r="AG161" s="10"/>
      <c r="AH161" s="10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89"/>
      <c r="BW161" s="89"/>
      <c r="BX161" s="89"/>
      <c r="BY161" s="89"/>
      <c r="BZ161" s="89"/>
      <c r="CA161" s="1"/>
      <c r="CB161" s="1"/>
      <c r="CC161" s="1"/>
      <c r="CD161" s="1"/>
      <c r="CE161" s="1"/>
      <c r="CF161" s="1"/>
    </row>
    <row r="162" spans="2:84" x14ac:dyDescent="0.3">
      <c r="AC162" s="10"/>
      <c r="AD162" s="10"/>
      <c r="AE162" s="10"/>
      <c r="AF162" s="10"/>
      <c r="AG162" s="10"/>
      <c r="AH162" s="10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89"/>
      <c r="BW162" s="89"/>
      <c r="BX162" s="122"/>
      <c r="BY162" s="89"/>
      <c r="BZ162" s="89"/>
    </row>
    <row r="163" spans="2:84" x14ac:dyDescent="0.3">
      <c r="D163" s="1">
        <v>331000000</v>
      </c>
      <c r="AC163" s="10"/>
      <c r="AD163" s="10"/>
      <c r="AE163" s="10"/>
      <c r="AF163" s="10"/>
      <c r="AG163" s="10"/>
      <c r="AH163" s="10"/>
      <c r="AI163" s="90"/>
      <c r="AJ163" s="90"/>
      <c r="AK163" s="155"/>
      <c r="AL163" s="155"/>
      <c r="AM163" s="155"/>
      <c r="AN163" s="155"/>
      <c r="AO163" s="155"/>
      <c r="AP163" s="155"/>
      <c r="AQ163" s="155"/>
      <c r="AR163" s="155"/>
      <c r="AS163" s="155"/>
      <c r="AT163" s="155"/>
      <c r="AU163" s="155"/>
      <c r="AV163" s="155"/>
      <c r="AW163" s="155"/>
      <c r="AX163" s="155"/>
      <c r="AY163" s="155"/>
      <c r="AZ163" s="155"/>
      <c r="BA163" s="90"/>
      <c r="BB163" s="90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89"/>
      <c r="BW163" s="89"/>
      <c r="BX163" s="89"/>
      <c r="BY163" s="89"/>
      <c r="BZ163" s="89"/>
    </row>
    <row r="164" spans="2:84" x14ac:dyDescent="0.3">
      <c r="AC164" s="10"/>
      <c r="AD164" s="10"/>
      <c r="AE164" s="10"/>
      <c r="AF164" s="10"/>
      <c r="AG164" s="10"/>
      <c r="AH164" s="10"/>
      <c r="AI164" s="90"/>
      <c r="AJ164" s="90"/>
      <c r="AK164" s="151"/>
      <c r="AL164" s="151"/>
      <c r="AM164" s="151"/>
      <c r="AN164" s="151"/>
      <c r="AO164" s="151"/>
      <c r="AP164" s="151"/>
      <c r="AQ164" s="151"/>
      <c r="AR164" s="90"/>
      <c r="AS164" s="90"/>
      <c r="AT164" s="90"/>
      <c r="AU164" s="110"/>
      <c r="AV164" s="110"/>
      <c r="AW164" s="110"/>
      <c r="AX164" s="110"/>
      <c r="AY164" s="90"/>
      <c r="AZ164" s="90"/>
      <c r="BA164" s="110"/>
      <c r="BB164" s="90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89"/>
      <c r="BW164" s="89"/>
      <c r="BX164" s="89"/>
      <c r="BY164" s="89"/>
      <c r="BZ164" s="89"/>
    </row>
    <row r="165" spans="2:84" x14ac:dyDescent="0.3">
      <c r="D165" s="469">
        <v>7.1999999999999995E-2</v>
      </c>
      <c r="AC165" s="10"/>
      <c r="AD165" s="10"/>
      <c r="AE165" s="10"/>
      <c r="AF165" s="10"/>
      <c r="AG165" s="10"/>
      <c r="AH165" s="10"/>
      <c r="AI165" s="90"/>
      <c r="AJ165" s="90"/>
      <c r="AK165" s="151"/>
      <c r="AL165" s="151"/>
      <c r="AM165" s="151"/>
      <c r="AN165" s="151"/>
      <c r="AO165" s="151"/>
      <c r="AP165" s="151"/>
      <c r="AQ165" s="151"/>
      <c r="AR165" s="151"/>
      <c r="AS165" s="110"/>
      <c r="AT165" s="90"/>
      <c r="AU165" s="110"/>
      <c r="AV165" s="110"/>
      <c r="AW165" s="110"/>
      <c r="AX165" s="110"/>
      <c r="AY165" s="90"/>
      <c r="AZ165" s="90"/>
      <c r="BA165" s="110"/>
      <c r="BB165" s="90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89"/>
      <c r="BW165" s="89"/>
      <c r="BX165" s="89"/>
      <c r="BY165" s="89"/>
      <c r="BZ165" s="89"/>
    </row>
    <row r="166" spans="2:84" x14ac:dyDescent="0.3">
      <c r="AC166" s="10"/>
      <c r="AD166" s="10"/>
      <c r="AE166" s="10"/>
      <c r="AF166" s="10"/>
      <c r="AG166" s="10"/>
      <c r="AH166" s="10"/>
      <c r="AI166" s="90"/>
      <c r="AJ166" s="90"/>
      <c r="AK166" s="90"/>
      <c r="AL166" s="90"/>
      <c r="AM166" s="152"/>
      <c r="AN166" s="152"/>
      <c r="AO166" s="152"/>
      <c r="AP166" s="152"/>
      <c r="AQ166" s="152"/>
      <c r="AR166" s="90"/>
      <c r="AS166" s="90"/>
      <c r="AT166" s="90"/>
      <c r="AU166" s="110"/>
      <c r="AV166" s="110"/>
      <c r="AW166" s="110"/>
      <c r="AX166" s="110"/>
      <c r="AY166" s="90"/>
      <c r="AZ166" s="90"/>
      <c r="BA166" s="110"/>
      <c r="BB166" s="90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89"/>
      <c r="BW166" s="89"/>
      <c r="BX166" s="89"/>
      <c r="BY166" s="89"/>
      <c r="BZ166" s="89"/>
    </row>
    <row r="167" spans="2:84" x14ac:dyDescent="0.3">
      <c r="D167" s="278">
        <v>4.2000000000000003E-2</v>
      </c>
      <c r="AC167" s="10"/>
      <c r="AD167" s="10"/>
      <c r="AE167" s="10"/>
      <c r="AF167" s="10"/>
      <c r="AG167" s="10"/>
      <c r="AH167" s="10"/>
      <c r="AI167" s="90"/>
      <c r="AJ167" s="90"/>
      <c r="AK167" s="151"/>
      <c r="AL167" s="151"/>
      <c r="AM167" s="151"/>
      <c r="AN167" s="151"/>
      <c r="AO167" s="151"/>
      <c r="AP167" s="151"/>
      <c r="AQ167" s="151"/>
      <c r="AR167" s="151"/>
      <c r="AS167" s="151"/>
      <c r="AT167" s="151"/>
      <c r="AU167" s="110"/>
      <c r="AV167" s="110"/>
      <c r="AW167" s="110"/>
      <c r="AX167" s="110"/>
      <c r="AY167" s="90"/>
      <c r="AZ167" s="90"/>
      <c r="BA167" s="110"/>
      <c r="BB167" s="90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</row>
    <row r="168" spans="2:84" x14ac:dyDescent="0.3">
      <c r="D168" s="1">
        <f>+D163*D165*D167</f>
        <v>1000944.0000000001</v>
      </c>
      <c r="AC168" s="10"/>
      <c r="AD168" s="10"/>
      <c r="AE168" s="10"/>
      <c r="AF168" s="10"/>
      <c r="AG168" s="10"/>
      <c r="AH168" s="10"/>
      <c r="AI168" s="90"/>
      <c r="AJ168" s="90"/>
      <c r="AK168" s="90"/>
      <c r="AL168" s="90"/>
      <c r="AM168" s="152"/>
      <c r="AN168" s="152"/>
      <c r="AO168" s="152"/>
      <c r="AP168" s="152"/>
      <c r="AQ168" s="152"/>
      <c r="AR168" s="152"/>
      <c r="AS168" s="152"/>
      <c r="AT168" s="90"/>
      <c r="AU168" s="110"/>
      <c r="AV168" s="110"/>
      <c r="AW168" s="110"/>
      <c r="AX168" s="110"/>
      <c r="AY168" s="90"/>
      <c r="AZ168" s="90"/>
      <c r="BA168" s="110"/>
      <c r="BB168" s="90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</row>
    <row r="169" spans="2:84" x14ac:dyDescent="0.3">
      <c r="AC169" s="10"/>
      <c r="AD169" s="10"/>
      <c r="AE169" s="10"/>
      <c r="AF169" s="10"/>
      <c r="AG169" s="10"/>
      <c r="AH169" s="10"/>
      <c r="AI169" s="90"/>
      <c r="AJ169" s="90"/>
      <c r="AK169" s="90"/>
      <c r="AL169" s="90"/>
      <c r="AM169" s="152"/>
      <c r="AN169" s="152"/>
      <c r="AO169" s="152"/>
      <c r="AP169" s="152"/>
      <c r="AQ169" s="152"/>
      <c r="AR169" s="152"/>
      <c r="AS169" s="152"/>
      <c r="AT169" s="90"/>
      <c r="AU169" s="110"/>
      <c r="AV169" s="110"/>
      <c r="AW169" s="110"/>
      <c r="AX169" s="110"/>
      <c r="AY169" s="90"/>
      <c r="AZ169" s="90"/>
      <c r="BA169" s="110"/>
      <c r="BB169" s="90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</row>
    <row r="170" spans="2:84" x14ac:dyDescent="0.3">
      <c r="AC170" s="10"/>
      <c r="AD170" s="10"/>
      <c r="AE170" s="10"/>
      <c r="AF170" s="10"/>
      <c r="AG170" s="10"/>
      <c r="AH170" s="10"/>
      <c r="AI170" s="90"/>
      <c r="AJ170" s="90"/>
      <c r="AK170" s="90"/>
      <c r="AL170" s="90"/>
      <c r="AM170" s="152"/>
      <c r="AN170" s="152"/>
      <c r="AO170" s="152"/>
      <c r="AP170" s="152"/>
      <c r="AQ170" s="152"/>
      <c r="AR170" s="152"/>
      <c r="AS170" s="152"/>
      <c r="AT170" s="90"/>
      <c r="AU170" s="110"/>
      <c r="AV170" s="110"/>
      <c r="AW170" s="110"/>
      <c r="AX170" s="110"/>
      <c r="AY170" s="90"/>
      <c r="AZ170" s="90"/>
      <c r="BA170" s="110"/>
      <c r="BB170" s="90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</row>
    <row r="171" spans="2:84" x14ac:dyDescent="0.3">
      <c r="AC171" s="10"/>
      <c r="AD171" s="10"/>
      <c r="AE171" s="10"/>
      <c r="AF171" s="10"/>
      <c r="AG171" s="10"/>
      <c r="AH171" s="10"/>
      <c r="AI171" s="90"/>
      <c r="AJ171" s="90"/>
      <c r="AK171" s="90"/>
      <c r="AL171" s="90"/>
      <c r="AM171" s="152"/>
      <c r="AN171" s="152"/>
      <c r="AO171" s="152"/>
      <c r="AP171" s="152"/>
      <c r="AQ171" s="152"/>
      <c r="AR171" s="152"/>
      <c r="AS171" s="152"/>
      <c r="AT171" s="90"/>
      <c r="AU171" s="110"/>
      <c r="AV171" s="110"/>
      <c r="AW171" s="110"/>
      <c r="AX171" s="110"/>
      <c r="AY171" s="90"/>
      <c r="AZ171" s="90"/>
      <c r="BA171" s="110"/>
      <c r="BB171" s="90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</row>
    <row r="172" spans="2:84" x14ac:dyDescent="0.3">
      <c r="AC172" s="10"/>
      <c r="AD172" s="10"/>
      <c r="AE172" s="10"/>
      <c r="AF172" s="10"/>
      <c r="AG172" s="10"/>
      <c r="AH172" s="10"/>
      <c r="AI172" s="90"/>
      <c r="AJ172" s="90"/>
      <c r="AK172" s="90"/>
      <c r="AL172" s="90"/>
      <c r="AM172" s="152"/>
      <c r="AN172" s="152"/>
      <c r="AO172" s="152"/>
      <c r="AP172" s="152"/>
      <c r="AQ172" s="152"/>
      <c r="AR172" s="152"/>
      <c r="AS172" s="152"/>
      <c r="AT172" s="90"/>
      <c r="AU172" s="110"/>
      <c r="AV172" s="110"/>
      <c r="AW172" s="110"/>
      <c r="AX172" s="110"/>
      <c r="AY172" s="90"/>
      <c r="AZ172" s="90"/>
      <c r="BA172" s="110"/>
      <c r="BB172" s="90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</row>
    <row r="173" spans="2:84" x14ac:dyDescent="0.3">
      <c r="AC173" s="10"/>
      <c r="AD173" s="10"/>
      <c r="AE173" s="10"/>
      <c r="AF173" s="10"/>
      <c r="AG173" s="10"/>
      <c r="AH173" s="10"/>
      <c r="AI173" s="90"/>
      <c r="AJ173" s="90"/>
      <c r="AK173" s="151"/>
      <c r="AL173" s="151"/>
      <c r="AM173" s="151"/>
      <c r="AN173" s="151"/>
      <c r="AO173" s="151"/>
      <c r="AP173" s="151"/>
      <c r="AQ173" s="151"/>
      <c r="AR173" s="151"/>
      <c r="AS173" s="151"/>
      <c r="AT173" s="151"/>
      <c r="AU173" s="90"/>
      <c r="AV173" s="90"/>
      <c r="AW173" s="90"/>
      <c r="AX173" s="90"/>
      <c r="AY173" s="90"/>
      <c r="AZ173" s="110"/>
      <c r="BA173" s="110"/>
      <c r="BB173" s="90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</row>
    <row r="174" spans="2:84" x14ac:dyDescent="0.3">
      <c r="AC174" s="10"/>
      <c r="AD174" s="10"/>
      <c r="AE174" s="10"/>
      <c r="AF174" s="10"/>
      <c r="AG174" s="10"/>
      <c r="AH174" s="10"/>
      <c r="AI174" s="90"/>
      <c r="AJ174" s="90"/>
      <c r="AK174" s="151"/>
      <c r="AL174" s="151"/>
      <c r="AM174" s="151"/>
      <c r="AN174" s="151"/>
      <c r="AO174" s="151"/>
      <c r="AP174" s="151"/>
      <c r="AQ174" s="151"/>
      <c r="AR174" s="151"/>
      <c r="AS174" s="151"/>
      <c r="AT174" s="151"/>
      <c r="AU174" s="151"/>
      <c r="AV174" s="151"/>
      <c r="AW174" s="151"/>
      <c r="AX174" s="151"/>
      <c r="AY174" s="90"/>
      <c r="AZ174" s="90"/>
      <c r="BA174" s="110"/>
      <c r="BB174" s="90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</row>
    <row r="175" spans="2:84" x14ac:dyDescent="0.3">
      <c r="AI175" s="110"/>
      <c r="AJ175" s="110"/>
      <c r="AK175" s="110"/>
      <c r="AL175" s="110"/>
      <c r="AM175" s="110"/>
      <c r="AN175" s="110"/>
      <c r="AO175" s="110"/>
      <c r="AP175" s="110"/>
      <c r="AQ175" s="110"/>
      <c r="AR175" s="110"/>
      <c r="AS175" s="90"/>
      <c r="AT175" s="110"/>
      <c r="AU175" s="153"/>
      <c r="AV175" s="153"/>
      <c r="AW175" s="153"/>
      <c r="AX175" s="153"/>
      <c r="AY175" s="110"/>
      <c r="AZ175" s="110"/>
      <c r="BA175" s="110"/>
      <c r="BB175" s="110"/>
    </row>
    <row r="176" spans="2:84" x14ac:dyDescent="0.3">
      <c r="B176" s="125"/>
      <c r="D176" s="55"/>
      <c r="AI176" s="110"/>
      <c r="AJ176" s="110"/>
      <c r="AK176" s="110"/>
      <c r="AL176" s="110"/>
      <c r="AM176" s="110"/>
      <c r="AN176" s="110"/>
      <c r="AO176" s="110"/>
      <c r="AP176" s="110"/>
      <c r="AQ176" s="110"/>
      <c r="AR176" s="110"/>
      <c r="AS176" s="110"/>
      <c r="AT176" s="110"/>
      <c r="AU176" s="90"/>
      <c r="AV176" s="90"/>
      <c r="AW176" s="90"/>
      <c r="AX176" s="90"/>
      <c r="AY176" s="110"/>
      <c r="AZ176" s="154"/>
      <c r="BA176" s="110"/>
      <c r="BB176" s="110"/>
    </row>
    <row r="177" spans="2:54" x14ac:dyDescent="0.3">
      <c r="B177" s="1"/>
      <c r="D177" s="55"/>
      <c r="W177" s="61"/>
      <c r="X177" s="61"/>
      <c r="Y177" s="110"/>
      <c r="Z177" s="110"/>
      <c r="AA177" s="110"/>
      <c r="AB177" s="110"/>
      <c r="AC177" s="110"/>
      <c r="AD177" s="110"/>
      <c r="AE177" s="110"/>
      <c r="AF177" s="110"/>
      <c r="AG177" s="110"/>
      <c r="AH177" s="110"/>
      <c r="AI177" s="110"/>
      <c r="AJ177" s="110"/>
      <c r="AK177" s="110"/>
      <c r="AL177" s="110"/>
      <c r="AM177" s="110"/>
      <c r="AN177" s="110"/>
      <c r="AO177" s="110"/>
      <c r="AP177" s="110"/>
      <c r="AQ177" s="110"/>
      <c r="AR177" s="110"/>
      <c r="AS177" s="110"/>
      <c r="AT177" s="110"/>
      <c r="AU177" s="110"/>
      <c r="AV177" s="110"/>
      <c r="AW177" s="110"/>
      <c r="AX177" s="110"/>
      <c r="AY177" s="110"/>
      <c r="AZ177" s="110"/>
      <c r="BA177" s="110"/>
      <c r="BB177" s="110"/>
    </row>
    <row r="178" spans="2:54" x14ac:dyDescent="0.3">
      <c r="B178" s="1"/>
      <c r="D178" s="55"/>
      <c r="W178" s="61"/>
      <c r="X178" s="61"/>
      <c r="Y178" s="110"/>
      <c r="Z178" s="110"/>
      <c r="AA178" s="110"/>
      <c r="AB178" s="110"/>
      <c r="AC178" s="110"/>
      <c r="AD178" s="110"/>
      <c r="AE178" s="110"/>
      <c r="AF178" s="110"/>
      <c r="AG178" s="110"/>
      <c r="AH178" s="110"/>
      <c r="AI178" s="110"/>
      <c r="AJ178" s="110"/>
      <c r="AK178" s="110"/>
      <c r="AL178" s="110"/>
      <c r="AM178" s="110"/>
      <c r="AN178" s="110"/>
      <c r="AO178" s="110"/>
      <c r="AP178" s="110"/>
      <c r="AQ178" s="110"/>
      <c r="AR178" s="110"/>
      <c r="AS178" s="110"/>
      <c r="AT178" s="110"/>
      <c r="AU178" s="110"/>
      <c r="AV178" s="110"/>
      <c r="AW178" s="110"/>
      <c r="AX178" s="110"/>
      <c r="AY178" s="110"/>
      <c r="AZ178" s="110"/>
      <c r="BA178" s="110"/>
      <c r="BB178" s="110"/>
    </row>
    <row r="179" spans="2:54" x14ac:dyDescent="0.3">
      <c r="B179" s="1"/>
      <c r="D179" s="55"/>
      <c r="W179" s="61"/>
      <c r="X179" s="61"/>
      <c r="Y179" s="110"/>
      <c r="Z179" s="110"/>
      <c r="AA179" s="110"/>
      <c r="AB179" s="110"/>
      <c r="AC179" s="110"/>
      <c r="AD179" s="110"/>
      <c r="AE179" s="110"/>
      <c r="AF179" s="110"/>
      <c r="AG179" s="110"/>
      <c r="AH179" s="110"/>
      <c r="AI179" s="110"/>
      <c r="AJ179" s="110"/>
      <c r="AK179" s="110"/>
      <c r="AL179" s="110"/>
      <c r="AM179" s="110"/>
      <c r="AN179" s="110"/>
      <c r="AO179" s="110"/>
      <c r="AP179" s="110"/>
      <c r="AQ179" s="110"/>
    </row>
    <row r="180" spans="2:54" x14ac:dyDescent="0.3">
      <c r="B180" s="1"/>
      <c r="D180" s="55"/>
      <c r="W180" s="61"/>
      <c r="X180" s="61"/>
      <c r="Y180" s="110"/>
      <c r="Z180" s="110"/>
      <c r="AA180" s="110"/>
      <c r="AB180" s="110"/>
      <c r="AC180" s="110"/>
      <c r="AD180" s="110"/>
      <c r="AE180" s="110"/>
      <c r="AF180" s="110"/>
      <c r="AG180" s="110"/>
      <c r="AH180" s="110"/>
      <c r="AI180" s="110"/>
      <c r="AJ180" s="110"/>
      <c r="AK180" s="110"/>
      <c r="AL180" s="110"/>
      <c r="AM180" s="110"/>
      <c r="AN180" s="110"/>
      <c r="AO180" s="110"/>
      <c r="AP180" s="110"/>
      <c r="AQ180" s="110"/>
    </row>
    <row r="181" spans="2:54" x14ac:dyDescent="0.3">
      <c r="B181" s="55"/>
      <c r="D181" s="55"/>
      <c r="W181" s="61"/>
      <c r="X181" s="61"/>
      <c r="Y181" s="110"/>
      <c r="Z181" s="110"/>
      <c r="AA181" s="110"/>
      <c r="AB181" s="110"/>
      <c r="AC181" s="110"/>
      <c r="AD181" s="110"/>
      <c r="AE181" s="110"/>
      <c r="AF181" s="110"/>
      <c r="AG181" s="110"/>
      <c r="AH181" s="110"/>
      <c r="AI181" s="110"/>
      <c r="AJ181" s="110"/>
      <c r="AK181" s="110"/>
      <c r="AL181" s="110"/>
      <c r="AM181" s="110"/>
      <c r="AN181" s="110"/>
      <c r="AO181" s="110"/>
      <c r="AP181" s="110"/>
      <c r="AQ181" s="110"/>
    </row>
    <row r="182" spans="2:54" x14ac:dyDescent="0.3">
      <c r="B182" s="57"/>
      <c r="D182" s="55"/>
      <c r="W182" s="61"/>
      <c r="X182" s="61"/>
      <c r="Y182" s="110"/>
      <c r="Z182" s="110"/>
      <c r="AA182" s="110"/>
      <c r="AB182" s="110"/>
      <c r="AC182" s="110"/>
      <c r="AD182" s="110"/>
      <c r="AE182" s="110"/>
      <c r="AF182" s="110"/>
      <c r="AG182" s="110"/>
      <c r="AH182" s="110"/>
      <c r="AI182" s="110"/>
      <c r="AJ182" s="110"/>
      <c r="AK182" s="110"/>
      <c r="AL182" s="110"/>
      <c r="AM182" s="110"/>
      <c r="AN182" s="110"/>
      <c r="AO182" s="110"/>
      <c r="AP182" s="110"/>
      <c r="AQ182" s="110"/>
    </row>
    <row r="183" spans="2:54" x14ac:dyDescent="0.3">
      <c r="B183" s="1"/>
      <c r="D183" s="55"/>
      <c r="W183" s="61"/>
      <c r="X183" s="61"/>
      <c r="Y183" s="110"/>
      <c r="Z183" s="110"/>
      <c r="AA183" s="110"/>
      <c r="AB183" s="110"/>
      <c r="AC183" s="110"/>
      <c r="AD183" s="110"/>
      <c r="AE183" s="110"/>
      <c r="AF183" s="110"/>
      <c r="AG183" s="110"/>
      <c r="AH183" s="110"/>
      <c r="AI183" s="110"/>
      <c r="AJ183" s="110"/>
      <c r="AK183" s="110"/>
      <c r="AL183" s="110"/>
      <c r="AM183" s="110"/>
      <c r="AN183" s="110"/>
      <c r="AO183" s="110"/>
      <c r="AP183" s="110"/>
      <c r="AQ183" s="110"/>
    </row>
    <row r="184" spans="2:54" x14ac:dyDescent="0.3">
      <c r="B184" s="1"/>
      <c r="D184" s="55"/>
      <c r="Y184" s="118"/>
      <c r="Z184" s="118"/>
      <c r="AA184" s="118"/>
      <c r="AB184" s="118"/>
      <c r="AC184" s="118"/>
      <c r="AD184" s="118"/>
      <c r="AE184" s="118"/>
      <c r="AF184" s="118"/>
      <c r="AG184" s="118"/>
      <c r="AH184" s="118"/>
      <c r="AI184" s="118"/>
      <c r="AJ184" s="118"/>
      <c r="AK184" s="118"/>
      <c r="AL184" s="118"/>
      <c r="AM184" s="118"/>
      <c r="AN184" s="118"/>
      <c r="AO184" s="118"/>
      <c r="AP184" s="118"/>
      <c r="AQ184" s="118"/>
    </row>
    <row r="185" spans="2:54" x14ac:dyDescent="0.3">
      <c r="B185" s="1"/>
      <c r="D185" s="55"/>
    </row>
    <row r="186" spans="2:54" x14ac:dyDescent="0.3">
      <c r="B186" s="1"/>
      <c r="D186" s="55"/>
    </row>
    <row r="187" spans="2:54" x14ac:dyDescent="0.3">
      <c r="B187" s="57" t="e">
        <f>+B186/B185</f>
        <v>#DIV/0!</v>
      </c>
      <c r="D187" s="55"/>
    </row>
    <row r="188" spans="2:54" x14ac:dyDescent="0.3">
      <c r="B188" s="1"/>
      <c r="D188" s="55"/>
    </row>
    <row r="189" spans="2:54" x14ac:dyDescent="0.3">
      <c r="B189" s="1"/>
      <c r="D189" s="55"/>
    </row>
    <row r="190" spans="2:54" x14ac:dyDescent="0.3">
      <c r="B190" s="1">
        <f>+B186*50</f>
        <v>0</v>
      </c>
      <c r="D190" s="55"/>
    </row>
    <row r="191" spans="2:54" x14ac:dyDescent="0.3">
      <c r="B191" s="1"/>
      <c r="D191" s="55"/>
    </row>
    <row r="192" spans="2:54" x14ac:dyDescent="0.3">
      <c r="B192" s="1"/>
      <c r="D192" s="55"/>
    </row>
    <row r="193" spans="2:4" x14ac:dyDescent="0.3">
      <c r="B193" s="1"/>
      <c r="D193" s="55"/>
    </row>
    <row r="194" spans="2:4" x14ac:dyDescent="0.3">
      <c r="B194" s="1"/>
      <c r="D194" s="55"/>
    </row>
    <row r="195" spans="2:4" x14ac:dyDescent="0.3">
      <c r="B195" s="1"/>
      <c r="D195" s="55"/>
    </row>
    <row r="196" spans="2:4" x14ac:dyDescent="0.3">
      <c r="B196" s="1"/>
      <c r="D196" s="55"/>
    </row>
    <row r="197" spans="2:4" x14ac:dyDescent="0.3">
      <c r="B197" s="1"/>
      <c r="D197" s="55"/>
    </row>
    <row r="198" spans="2:4" x14ac:dyDescent="0.3">
      <c r="B198" s="1"/>
      <c r="D198" s="55"/>
    </row>
    <row r="199" spans="2:4" x14ac:dyDescent="0.3">
      <c r="B199" s="1"/>
      <c r="D199" s="55"/>
    </row>
    <row r="200" spans="2:4" x14ac:dyDescent="0.3">
      <c r="B200" s="1"/>
    </row>
    <row r="201" spans="2:4" x14ac:dyDescent="0.3">
      <c r="B201" s="1"/>
    </row>
    <row r="202" spans="2:4" x14ac:dyDescent="0.3">
      <c r="B202" s="1"/>
    </row>
    <row r="203" spans="2:4" x14ac:dyDescent="0.3">
      <c r="B203" s="1"/>
    </row>
    <row r="204" spans="2:4" x14ac:dyDescent="0.3">
      <c r="B204" s="1"/>
    </row>
    <row r="205" spans="2:4" x14ac:dyDescent="0.3">
      <c r="B205" s="1"/>
    </row>
    <row r="206" spans="2:4" x14ac:dyDescent="0.3">
      <c r="B206" s="1"/>
    </row>
    <row r="207" spans="2:4" x14ac:dyDescent="0.3">
      <c r="B207" s="1"/>
    </row>
  </sheetData>
  <mergeCells count="28">
    <mergeCell ref="AJ154:AM154"/>
    <mergeCell ref="AJ155:AL155"/>
    <mergeCell ref="AJ152:AM152"/>
    <mergeCell ref="AJ147:AM147"/>
    <mergeCell ref="AJ146:AU146"/>
    <mergeCell ref="AJ148:AM148"/>
    <mergeCell ref="AJ149:AM149"/>
    <mergeCell ref="AJ150:AM150"/>
    <mergeCell ref="AJ151:AM151"/>
    <mergeCell ref="B1:D1"/>
    <mergeCell ref="B2:D2"/>
    <mergeCell ref="J4:AB4"/>
    <mergeCell ref="D7:J7"/>
    <mergeCell ref="B3:C3"/>
    <mergeCell ref="F6:L6"/>
    <mergeCell ref="X6:AI6"/>
    <mergeCell ref="V7:AI7"/>
    <mergeCell ref="P6:T6"/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50"/>
  <sheetViews>
    <sheetView topLeftCell="A99" workbookViewId="0">
      <selection activeCell="AO25" sqref="AO25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7" t="s">
        <v>5</v>
      </c>
      <c r="D1" s="167"/>
      <c r="E1" s="167"/>
    </row>
    <row r="2" spans="3:40" ht="15.6" x14ac:dyDescent="0.3">
      <c r="C2" s="167" t="s">
        <v>6</v>
      </c>
      <c r="D2" s="167"/>
      <c r="E2" s="167"/>
    </row>
    <row r="3" spans="3:40" x14ac:dyDescent="0.3">
      <c r="C3" s="168" t="s">
        <v>13</v>
      </c>
      <c r="D3" s="168"/>
    </row>
    <row r="4" spans="3:40" x14ac:dyDescent="0.3">
      <c r="D4" s="168"/>
      <c r="E4" s="168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78</v>
      </c>
      <c r="E7" s="539" t="s">
        <v>7</v>
      </c>
      <c r="F7" s="540"/>
      <c r="G7" s="544">
        <v>0.7</v>
      </c>
      <c r="H7" s="544"/>
      <c r="I7" s="544"/>
      <c r="J7" s="544"/>
      <c r="K7" s="544"/>
      <c r="L7" s="544"/>
      <c r="M7" s="544"/>
      <c r="N7" s="544"/>
      <c r="O7" s="544"/>
      <c r="P7" s="544"/>
      <c r="Q7" s="544"/>
      <c r="R7" s="544"/>
      <c r="S7" s="544"/>
      <c r="T7" s="544"/>
      <c r="U7" s="545"/>
    </row>
    <row r="8" spans="3:40" x14ac:dyDescent="0.3">
      <c r="E8" s="541" t="s">
        <v>123</v>
      </c>
      <c r="F8" s="542"/>
      <c r="G8" s="542"/>
      <c r="H8" s="542"/>
      <c r="I8" s="542"/>
      <c r="J8" s="542"/>
      <c r="K8" s="542"/>
      <c r="L8" s="542"/>
      <c r="M8" s="542"/>
      <c r="N8" s="542"/>
      <c r="O8" s="542"/>
      <c r="P8" s="542"/>
      <c r="Q8" s="542"/>
      <c r="R8" s="542"/>
      <c r="S8" s="542"/>
      <c r="T8" s="542"/>
      <c r="U8" s="543"/>
    </row>
    <row r="9" spans="3:40" x14ac:dyDescent="0.3">
      <c r="E9" s="559" t="s">
        <v>37</v>
      </c>
      <c r="F9" s="560"/>
      <c r="G9" s="560"/>
      <c r="H9" s="560"/>
      <c r="I9" s="560"/>
      <c r="J9" s="560"/>
      <c r="K9" s="560"/>
      <c r="L9" s="560"/>
      <c r="M9" s="560"/>
      <c r="N9" s="560"/>
      <c r="O9" s="560"/>
      <c r="P9" s="561"/>
      <c r="Q9" s="557" t="s">
        <v>116</v>
      </c>
      <c r="R9" s="5"/>
      <c r="S9" s="554" t="s">
        <v>4</v>
      </c>
      <c r="T9" s="555"/>
      <c r="U9" s="556"/>
      <c r="W9" s="58" t="s">
        <v>18</v>
      </c>
    </row>
    <row r="10" spans="3:40" x14ac:dyDescent="0.3">
      <c r="E10" s="283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3" t="s">
        <v>79</v>
      </c>
      <c r="N10" s="119"/>
      <c r="O10" s="120" t="s">
        <v>15</v>
      </c>
      <c r="P10" s="372"/>
      <c r="Q10" s="558"/>
      <c r="R10" s="6"/>
      <c r="S10" s="4" t="s">
        <v>4</v>
      </c>
      <c r="T10" s="6"/>
      <c r="U10" s="284" t="s">
        <v>80</v>
      </c>
    </row>
    <row r="11" spans="3:40" x14ac:dyDescent="0.3">
      <c r="C11" s="171">
        <v>43910</v>
      </c>
      <c r="E11" s="285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3"/>
      <c r="R11" s="6"/>
      <c r="S11" s="6"/>
      <c r="T11" s="6"/>
      <c r="U11" s="286"/>
      <c r="W11">
        <v>1</v>
      </c>
      <c r="AL11" s="110"/>
      <c r="AM11" s="110"/>
      <c r="AN11" s="110"/>
    </row>
    <row r="12" spans="3:40" ht="15" thickBot="1" x14ac:dyDescent="0.35">
      <c r="C12" s="171">
        <f>+C11+1</f>
        <v>43911</v>
      </c>
      <c r="E12" s="285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3"/>
      <c r="R12" s="6"/>
      <c r="S12" s="6"/>
      <c r="T12" s="6"/>
      <c r="U12" s="286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1">
        <f>+C12+1</f>
        <v>43912</v>
      </c>
      <c r="E13" s="285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3"/>
      <c r="R13" s="6"/>
      <c r="S13" s="6"/>
      <c r="T13" s="6"/>
      <c r="U13" s="286"/>
      <c r="W13">
        <f t="shared" si="0"/>
        <v>3</v>
      </c>
      <c r="Z13" s="1"/>
      <c r="AA13" s="1"/>
      <c r="AB13" s="1"/>
      <c r="AC13" s="203" t="s">
        <v>60</v>
      </c>
      <c r="AD13" s="204"/>
      <c r="AE13" s="204"/>
      <c r="AF13" s="204"/>
      <c r="AG13" s="204"/>
      <c r="AH13" s="204"/>
      <c r="AI13" s="204"/>
      <c r="AJ13" s="204"/>
      <c r="AK13" s="205"/>
      <c r="AL13" s="155"/>
      <c r="AM13" s="155"/>
      <c r="AN13" s="110"/>
    </row>
    <row r="14" spans="3:40" ht="15" thickBot="1" x14ac:dyDescent="0.35">
      <c r="C14" s="171">
        <f t="shared" ref="C14:C97" si="1">+C13+1</f>
        <v>43913</v>
      </c>
      <c r="E14" s="285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3"/>
      <c r="R14" s="6"/>
      <c r="S14" s="6"/>
      <c r="T14" s="6"/>
      <c r="U14" s="286"/>
      <c r="W14">
        <f t="shared" si="0"/>
        <v>4</v>
      </c>
      <c r="Z14" s="1"/>
      <c r="AA14" s="1"/>
      <c r="AB14" s="1"/>
      <c r="AC14" s="206"/>
      <c r="AD14" s="551" t="s">
        <v>48</v>
      </c>
      <c r="AE14" s="552"/>
      <c r="AF14" s="553"/>
      <c r="AG14" s="207"/>
      <c r="AH14" s="549" t="s">
        <v>32</v>
      </c>
      <c r="AI14" s="208"/>
      <c r="AJ14" s="208"/>
      <c r="AK14" s="209"/>
      <c r="AL14" s="110"/>
      <c r="AM14" s="110"/>
      <c r="AN14" s="110"/>
    </row>
    <row r="15" spans="3:40" ht="15" thickBot="1" x14ac:dyDescent="0.35">
      <c r="C15" s="171">
        <f t="shared" si="1"/>
        <v>43914</v>
      </c>
      <c r="E15" s="285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3"/>
      <c r="R15" s="6"/>
      <c r="S15" s="6"/>
      <c r="T15" s="6"/>
      <c r="U15" s="286"/>
      <c r="W15">
        <f t="shared" si="0"/>
        <v>5</v>
      </c>
      <c r="Z15" s="1"/>
      <c r="AA15" s="1"/>
      <c r="AB15" s="1"/>
      <c r="AC15" s="190"/>
      <c r="AD15" s="169"/>
      <c r="AE15" s="169"/>
      <c r="AF15" s="210" t="s">
        <v>20</v>
      </c>
      <c r="AG15" s="211"/>
      <c r="AH15" s="550"/>
      <c r="AI15" s="212"/>
      <c r="AJ15" s="213" t="s">
        <v>4</v>
      </c>
      <c r="AK15" s="214"/>
      <c r="AL15" s="110"/>
      <c r="AM15" s="110"/>
      <c r="AN15" s="110"/>
    </row>
    <row r="16" spans="3:40" x14ac:dyDescent="0.3">
      <c r="C16" s="171">
        <f t="shared" si="1"/>
        <v>43915</v>
      </c>
      <c r="E16" s="285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3"/>
      <c r="R16" s="6"/>
      <c r="S16" s="6"/>
      <c r="T16" s="6"/>
      <c r="U16" s="286"/>
      <c r="W16">
        <f t="shared" si="0"/>
        <v>6</v>
      </c>
      <c r="Z16" s="1"/>
      <c r="AA16" s="1"/>
      <c r="AB16" s="1"/>
      <c r="AC16" s="190"/>
      <c r="AD16" s="202" t="s">
        <v>39</v>
      </c>
      <c r="AE16" s="169"/>
      <c r="AF16" s="202">
        <f>+K138</f>
        <v>623225</v>
      </c>
      <c r="AG16" s="201"/>
      <c r="AH16" s="215">
        <f>+AJ31</f>
        <v>1931.0161335524563</v>
      </c>
      <c r="AI16" s="215"/>
      <c r="AJ16" s="216">
        <f>+S138</f>
        <v>52216</v>
      </c>
      <c r="AK16" s="217"/>
      <c r="AL16" s="110"/>
      <c r="AM16" s="110"/>
      <c r="AN16" s="110"/>
    </row>
    <row r="17" spans="3:41" x14ac:dyDescent="0.3">
      <c r="C17" s="171">
        <f t="shared" si="1"/>
        <v>43916</v>
      </c>
      <c r="E17" s="285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3"/>
      <c r="R17" s="6"/>
      <c r="S17" s="6"/>
      <c r="T17" s="6"/>
      <c r="U17" s="286"/>
      <c r="W17">
        <f t="shared" si="0"/>
        <v>7</v>
      </c>
      <c r="Z17" s="61"/>
      <c r="AA17" s="61"/>
      <c r="AB17" s="10"/>
      <c r="AC17" s="190"/>
      <c r="AD17" s="218" t="s">
        <v>58</v>
      </c>
      <c r="AE17" s="169"/>
      <c r="AF17" s="162">
        <v>111827</v>
      </c>
      <c r="AG17" s="202"/>
      <c r="AH17" s="163">
        <v>1622</v>
      </c>
      <c r="AI17" s="215"/>
      <c r="AJ17" s="162">
        <v>8330</v>
      </c>
      <c r="AK17" s="219"/>
      <c r="AL17" s="110"/>
      <c r="AM17" s="90"/>
      <c r="AN17" s="90"/>
    </row>
    <row r="18" spans="3:41" x14ac:dyDescent="0.3">
      <c r="C18" s="171">
        <f t="shared" si="1"/>
        <v>43917</v>
      </c>
      <c r="E18" s="285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4"/>
      <c r="R18" s="44"/>
      <c r="S18" s="6"/>
      <c r="T18" s="6"/>
      <c r="U18" s="287"/>
      <c r="W18">
        <f t="shared" si="0"/>
        <v>8</v>
      </c>
      <c r="Z18" s="1"/>
      <c r="AA18" s="1"/>
      <c r="AB18" s="1"/>
      <c r="AC18" s="190"/>
      <c r="AD18" s="202" t="s">
        <v>90</v>
      </c>
      <c r="AE18" s="169"/>
      <c r="AF18" s="162">
        <v>110330</v>
      </c>
      <c r="AG18" s="202"/>
      <c r="AH18" s="163">
        <v>784</v>
      </c>
      <c r="AI18" s="215"/>
      <c r="AJ18" s="162">
        <v>6911</v>
      </c>
      <c r="AK18" s="219"/>
      <c r="AL18" s="110"/>
      <c r="AM18" s="90"/>
      <c r="AN18" s="90"/>
    </row>
    <row r="19" spans="3:41" ht="15" thickBot="1" x14ac:dyDescent="0.35">
      <c r="C19" s="171">
        <f t="shared" si="1"/>
        <v>43918</v>
      </c>
      <c r="E19" s="285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6">
        <f>+K19-K18</f>
        <v>9747</v>
      </c>
      <c r="R19" s="44"/>
      <c r="S19" s="7">
        <f>728+140</f>
        <v>868</v>
      </c>
      <c r="T19" s="6"/>
      <c r="U19" s="287">
        <f>+S19/K19</f>
        <v>1.3681788089908893E-2</v>
      </c>
      <c r="W19">
        <f t="shared" si="0"/>
        <v>9</v>
      </c>
      <c r="Z19" s="1"/>
      <c r="AA19" s="1"/>
      <c r="AB19" s="10"/>
      <c r="AC19" s="190"/>
      <c r="AD19" s="169"/>
      <c r="AE19" s="169"/>
      <c r="AF19" s="220">
        <f>SUM(AF16:AF18)</f>
        <v>845382</v>
      </c>
      <c r="AG19" s="202"/>
      <c r="AH19" s="202"/>
      <c r="AI19" s="202"/>
      <c r="AJ19" s="220">
        <f>SUM(AJ16:AJ18)</f>
        <v>67457</v>
      </c>
      <c r="AK19" s="219"/>
      <c r="AL19" s="110"/>
      <c r="AM19" s="90"/>
      <c r="AN19" s="90"/>
    </row>
    <row r="20" spans="3:41" ht="15" thickTop="1" x14ac:dyDescent="0.3">
      <c r="C20" s="171">
        <f t="shared" si="1"/>
        <v>43919</v>
      </c>
      <c r="E20" s="285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6">
        <f t="shared" ref="Q20:Q61" si="4">+K20-K19</f>
        <v>9457</v>
      </c>
      <c r="R20" s="44"/>
      <c r="S20" s="7">
        <f>965+161</f>
        <v>1126</v>
      </c>
      <c r="T20" s="6"/>
      <c r="U20" s="287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0"/>
      <c r="AD20" s="169"/>
      <c r="AE20" s="169"/>
      <c r="AF20" s="202"/>
      <c r="AG20" s="202"/>
      <c r="AH20" s="202"/>
      <c r="AI20" s="202"/>
      <c r="AJ20" s="202"/>
      <c r="AK20" s="219"/>
      <c r="AL20" s="110"/>
      <c r="AM20" s="90"/>
      <c r="AN20" s="90"/>
    </row>
    <row r="21" spans="3:41" ht="15" thickBot="1" x14ac:dyDescent="0.35">
      <c r="C21" s="171">
        <f t="shared" si="1"/>
        <v>43920</v>
      </c>
      <c r="E21" s="285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6">
        <f t="shared" si="4"/>
        <v>10204</v>
      </c>
      <c r="R21" s="44"/>
      <c r="S21" s="7">
        <f>1218+198</f>
        <v>1416</v>
      </c>
      <c r="T21" s="6"/>
      <c r="U21" s="287">
        <f t="shared" si="5"/>
        <v>1.7039096061514023E-2</v>
      </c>
      <c r="W21">
        <f t="shared" si="0"/>
        <v>11</v>
      </c>
      <c r="Z21" s="1"/>
      <c r="AA21" s="1"/>
      <c r="AB21" s="1"/>
      <c r="AC21" s="190"/>
      <c r="AD21" s="221" t="s">
        <v>29</v>
      </c>
      <c r="AE21" s="169"/>
      <c r="AF21" s="222">
        <f>+AF19/'Main Table'!H133</f>
        <v>0.24296195727928546</v>
      </c>
      <c r="AG21" s="202"/>
      <c r="AH21" s="202"/>
      <c r="AI21" s="202"/>
      <c r="AJ21" s="222">
        <f>+AJ19/'Main Table'!Z133</f>
        <v>0.48794548887136791</v>
      </c>
      <c r="AK21" s="219"/>
      <c r="AL21" s="110"/>
      <c r="AM21" s="96"/>
      <c r="AN21" s="90"/>
    </row>
    <row r="22" spans="3:41" ht="15.6" thickTop="1" thickBot="1" x14ac:dyDescent="0.35">
      <c r="C22" s="171">
        <f t="shared" si="1"/>
        <v>43921</v>
      </c>
      <c r="E22" s="285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6">
        <f t="shared" si="4"/>
        <v>11388</v>
      </c>
      <c r="R22" s="6"/>
      <c r="S22" s="7">
        <f>1550+267</f>
        <v>1817</v>
      </c>
      <c r="T22" s="6"/>
      <c r="U22" s="287">
        <f t="shared" si="5"/>
        <v>1.9229344593665005E-2</v>
      </c>
      <c r="W22">
        <f t="shared" si="0"/>
        <v>12</v>
      </c>
      <c r="Z22" s="1"/>
      <c r="AA22" s="1"/>
      <c r="AB22" s="1"/>
      <c r="AC22" s="195"/>
      <c r="AD22" s="223"/>
      <c r="AE22" s="196"/>
      <c r="AF22" s="224"/>
      <c r="AG22" s="225"/>
      <c r="AH22" s="225"/>
      <c r="AI22" s="225"/>
      <c r="AJ22" s="224"/>
      <c r="AK22" s="226"/>
      <c r="AL22" s="110"/>
      <c r="AM22" s="90"/>
      <c r="AN22" s="90"/>
    </row>
    <row r="23" spans="3:41" x14ac:dyDescent="0.3">
      <c r="C23" s="171">
        <f t="shared" si="1"/>
        <v>43922</v>
      </c>
      <c r="E23" s="285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6">
        <f t="shared" si="4"/>
        <v>11476</v>
      </c>
      <c r="R23" s="6"/>
      <c r="S23" s="7">
        <f>1941+355</f>
        <v>2296</v>
      </c>
      <c r="T23" s="6"/>
      <c r="U23" s="287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1">
        <f t="shared" si="1"/>
        <v>43923</v>
      </c>
      <c r="E24" s="285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6">
        <f t="shared" si="4"/>
        <v>12129</v>
      </c>
      <c r="R24" s="6"/>
      <c r="S24" s="7">
        <f>2373+537</f>
        <v>2910</v>
      </c>
      <c r="T24" s="6"/>
      <c r="U24" s="287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1">
        <f t="shared" si="1"/>
        <v>43924</v>
      </c>
      <c r="E25" s="285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6">
        <f t="shared" si="4"/>
        <v>14859</v>
      </c>
      <c r="R25" s="6"/>
      <c r="S25" s="7">
        <f>2935+646</f>
        <v>3581</v>
      </c>
      <c r="T25" s="6"/>
      <c r="U25" s="287">
        <f t="shared" si="5"/>
        <v>2.6933925012222179E-2</v>
      </c>
      <c r="W25">
        <f t="shared" si="0"/>
        <v>15</v>
      </c>
      <c r="Z25" s="1"/>
      <c r="AA25" s="551" t="s">
        <v>133</v>
      </c>
      <c r="AB25" s="552"/>
      <c r="AC25" s="552"/>
      <c r="AD25" s="552"/>
      <c r="AE25" s="552"/>
      <c r="AF25" s="552"/>
      <c r="AG25" s="552"/>
      <c r="AH25" s="552"/>
      <c r="AI25" s="552"/>
      <c r="AJ25" s="552"/>
      <c r="AK25" s="553"/>
      <c r="AL25" s="155"/>
      <c r="AM25" s="155"/>
      <c r="AN25" s="90"/>
      <c r="AO25" s="118"/>
    </row>
    <row r="26" spans="3:41" x14ac:dyDescent="0.3">
      <c r="C26" s="171">
        <f t="shared" si="1"/>
        <v>43925</v>
      </c>
      <c r="E26" s="285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6">
        <f t="shared" si="4"/>
        <v>15002</v>
      </c>
      <c r="R26" s="6"/>
      <c r="S26" s="7">
        <f>3565+846</f>
        <v>4411</v>
      </c>
      <c r="T26" s="6"/>
      <c r="U26" s="287">
        <f t="shared" si="5"/>
        <v>2.9812715856634021E-2</v>
      </c>
      <c r="W26">
        <f t="shared" si="0"/>
        <v>16</v>
      </c>
      <c r="Z26" s="1"/>
      <c r="AA26" s="186"/>
      <c r="AB26" s="187" t="s">
        <v>53</v>
      </c>
      <c r="AC26" s="188"/>
      <c r="AD26" s="187" t="s">
        <v>20</v>
      </c>
      <c r="AE26" s="188"/>
      <c r="AF26" s="187" t="s">
        <v>54</v>
      </c>
      <c r="AG26" s="188"/>
      <c r="AH26" s="187" t="s">
        <v>56</v>
      </c>
      <c r="AI26" s="188"/>
      <c r="AJ26" s="187" t="s">
        <v>55</v>
      </c>
      <c r="AK26" s="189"/>
      <c r="AL26" s="118"/>
      <c r="AM26" s="118"/>
      <c r="AN26" s="96"/>
      <c r="AO26" s="118"/>
    </row>
    <row r="27" spans="3:41" x14ac:dyDescent="0.3">
      <c r="C27" s="171">
        <f t="shared" si="1"/>
        <v>43926</v>
      </c>
      <c r="E27" s="285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6">
        <f t="shared" si="4"/>
        <v>12708</v>
      </c>
      <c r="R27" s="6"/>
      <c r="S27" s="7">
        <f>4150+914</f>
        <v>5064</v>
      </c>
      <c r="T27" s="6"/>
      <c r="U27" s="287">
        <f t="shared" si="5"/>
        <v>3.1518999159742322E-2</v>
      </c>
      <c r="W27">
        <f t="shared" si="0"/>
        <v>17</v>
      </c>
      <c r="Z27" s="1"/>
      <c r="AA27" s="190"/>
      <c r="AB27" s="169" t="s">
        <v>50</v>
      </c>
      <c r="AC27" s="169"/>
      <c r="AD27" s="169">
        <f>+E138</f>
        <v>401029</v>
      </c>
      <c r="AE27" s="169"/>
      <c r="AF27" s="200">
        <v>2068</v>
      </c>
      <c r="AG27" s="169"/>
      <c r="AH27" s="191">
        <f>+AD27/AD$31</f>
        <v>0.54557908828218959</v>
      </c>
      <c r="AI27" s="191"/>
      <c r="AJ27" s="169">
        <f>+AF27*AH27</f>
        <v>1128.2575545675681</v>
      </c>
      <c r="AK27" s="192"/>
      <c r="AL27" s="118"/>
      <c r="AM27" s="90"/>
      <c r="AN27" s="90"/>
      <c r="AO27" s="118"/>
    </row>
    <row r="28" spans="3:41" x14ac:dyDescent="0.3">
      <c r="C28" s="171">
        <f t="shared" si="1"/>
        <v>43927</v>
      </c>
      <c r="E28" s="285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6">
        <f t="shared" si="4"/>
        <v>11985</v>
      </c>
      <c r="R28" s="6"/>
      <c r="S28" s="7">
        <f>4758+1003</f>
        <v>5761</v>
      </c>
      <c r="T28" s="6"/>
      <c r="U28" s="287">
        <f t="shared" si="5"/>
        <v>3.3368085722560094E-2</v>
      </c>
      <c r="W28">
        <f t="shared" si="0"/>
        <v>18</v>
      </c>
      <c r="Z28" s="1"/>
      <c r="AA28" s="190"/>
      <c r="AB28" s="169" t="s">
        <v>51</v>
      </c>
      <c r="AC28" s="169"/>
      <c r="AD28" s="169">
        <f>+G138</f>
        <v>174959</v>
      </c>
      <c r="AE28" s="169"/>
      <c r="AF28" s="200">
        <v>1976</v>
      </c>
      <c r="AG28" s="169"/>
      <c r="AH28" s="191">
        <f>+AD28/AD$31</f>
        <v>0.23802261608702513</v>
      </c>
      <c r="AI28" s="191"/>
      <c r="AJ28" s="169">
        <f>+AF28*AH28</f>
        <v>470.33268938796164</v>
      </c>
      <c r="AK28" s="192"/>
      <c r="AL28" s="118"/>
      <c r="AM28" s="90"/>
      <c r="AN28" s="90"/>
      <c r="AO28" s="118"/>
    </row>
    <row r="29" spans="3:41" x14ac:dyDescent="0.3">
      <c r="C29" s="171">
        <f t="shared" si="1"/>
        <v>43928</v>
      </c>
      <c r="E29" s="285">
        <v>139876</v>
      </c>
      <c r="F29" s="7"/>
      <c r="G29" s="7">
        <f>44416</f>
        <v>44416</v>
      </c>
      <c r="H29" s="7"/>
      <c r="I29" s="7"/>
      <c r="J29" s="288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6">
        <f t="shared" si="4"/>
        <v>11642</v>
      </c>
      <c r="R29" s="6"/>
      <c r="S29" s="7">
        <f>5489+1232+277</f>
        <v>6998</v>
      </c>
      <c r="T29" s="6"/>
      <c r="U29" s="287">
        <f t="shared" si="5"/>
        <v>3.7972348229982855E-2</v>
      </c>
      <c r="W29">
        <f t="shared" si="0"/>
        <v>19</v>
      </c>
      <c r="Z29" s="1"/>
      <c r="AA29" s="190"/>
      <c r="AB29" s="169" t="s">
        <v>52</v>
      </c>
      <c r="AC29" s="169"/>
      <c r="AD29" s="169">
        <f>+I138</f>
        <v>47237</v>
      </c>
      <c r="AE29" s="169"/>
      <c r="AF29" s="200">
        <v>1333</v>
      </c>
      <c r="AG29" s="169"/>
      <c r="AH29" s="191">
        <f>+AD29/AD$31</f>
        <v>6.4263480678917947E-2</v>
      </c>
      <c r="AI29" s="191"/>
      <c r="AJ29" s="169">
        <f>+AF29*AH29</f>
        <v>85.663219744997619</v>
      </c>
      <c r="AK29" s="192"/>
      <c r="AL29" s="118"/>
      <c r="AM29" s="90"/>
      <c r="AN29" s="90"/>
      <c r="AO29" s="118"/>
    </row>
    <row r="30" spans="3:41" x14ac:dyDescent="0.3">
      <c r="C30" s="171">
        <f t="shared" si="1"/>
        <v>43929</v>
      </c>
      <c r="E30" s="285">
        <v>151069</v>
      </c>
      <c r="F30" s="7"/>
      <c r="G30" s="7">
        <f>47437</f>
        <v>47437</v>
      </c>
      <c r="H30" s="7"/>
      <c r="I30" s="7">
        <v>8781</v>
      </c>
      <c r="J30" s="288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6">
        <f t="shared" si="4"/>
        <v>22995</v>
      </c>
      <c r="R30" s="6"/>
      <c r="S30" s="7">
        <f>6268+1504+335</f>
        <v>8107</v>
      </c>
      <c r="T30" s="6"/>
      <c r="U30" s="287">
        <f t="shared" si="5"/>
        <v>3.9110026195564605E-2</v>
      </c>
      <c r="W30">
        <f t="shared" si="0"/>
        <v>20</v>
      </c>
      <c r="Z30" s="1"/>
      <c r="AA30" s="186"/>
      <c r="AB30" s="169" t="s">
        <v>105</v>
      </c>
      <c r="AC30" s="281"/>
      <c r="AD30" s="169">
        <f>+AF17</f>
        <v>111827</v>
      </c>
      <c r="AE30" s="281"/>
      <c r="AF30" s="169">
        <f>+AH17</f>
        <v>1622</v>
      </c>
      <c r="AG30" s="281"/>
      <c r="AH30" s="191">
        <f>+AD30/AD$31</f>
        <v>0.15213481495186734</v>
      </c>
      <c r="AI30" s="281"/>
      <c r="AJ30" s="169">
        <f>+AF30*AH30</f>
        <v>246.76266985192882</v>
      </c>
      <c r="AK30" s="192"/>
      <c r="AL30" s="118"/>
      <c r="AM30" s="90"/>
      <c r="AN30" s="90"/>
      <c r="AO30" s="118"/>
    </row>
    <row r="31" spans="3:41" ht="15" thickBot="1" x14ac:dyDescent="0.35">
      <c r="C31" s="171">
        <f t="shared" si="1"/>
        <v>43930</v>
      </c>
      <c r="E31" s="285">
        <v>161790</v>
      </c>
      <c r="F31" s="7"/>
      <c r="G31" s="7">
        <f>51027</f>
        <v>51027</v>
      </c>
      <c r="H31" s="7"/>
      <c r="I31" s="7">
        <v>9784</v>
      </c>
      <c r="J31" s="288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6">
        <f t="shared" si="4"/>
        <v>15314</v>
      </c>
      <c r="R31" s="6"/>
      <c r="S31" s="7">
        <f>7067+1209+380</f>
        <v>8656</v>
      </c>
      <c r="T31" s="6"/>
      <c r="U31" s="287">
        <f t="shared" si="5"/>
        <v>3.8885719291467696E-2</v>
      </c>
      <c r="W31">
        <f t="shared" si="0"/>
        <v>21</v>
      </c>
      <c r="Z31" s="1"/>
      <c r="AA31" s="190"/>
      <c r="AB31" s="169"/>
      <c r="AC31" s="169"/>
      <c r="AD31" s="193">
        <f>SUM(AD27:AD30)</f>
        <v>735052</v>
      </c>
      <c r="AE31" s="169"/>
      <c r="AF31" s="169"/>
      <c r="AG31" s="169"/>
      <c r="AH31" s="194">
        <f>SUM(AH27:AH30)</f>
        <v>1</v>
      </c>
      <c r="AI31" s="191"/>
      <c r="AJ31" s="193">
        <f>SUM(AJ27:AJ30)</f>
        <v>1931.0161335524563</v>
      </c>
      <c r="AK31" s="192"/>
      <c r="AL31" s="118"/>
      <c r="AM31" s="90"/>
      <c r="AN31" s="90"/>
      <c r="AO31" s="118"/>
    </row>
    <row r="32" spans="3:41" ht="15.6" thickTop="1" thickBot="1" x14ac:dyDescent="0.35">
      <c r="C32" s="171">
        <f t="shared" si="1"/>
        <v>43931</v>
      </c>
      <c r="E32" s="285">
        <v>174481</v>
      </c>
      <c r="F32" s="7"/>
      <c r="G32" s="7">
        <f>54588</f>
        <v>54588</v>
      </c>
      <c r="H32" s="7"/>
      <c r="I32" s="7">
        <v>10538</v>
      </c>
      <c r="J32" s="288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6">
        <f t="shared" si="4"/>
        <v>17006</v>
      </c>
      <c r="R32" s="6"/>
      <c r="S32" s="7">
        <f>7884+1932+448</f>
        <v>10264</v>
      </c>
      <c r="T32" s="6"/>
      <c r="U32" s="287">
        <f t="shared" si="5"/>
        <v>4.2836811946228619E-2</v>
      </c>
      <c r="W32">
        <f t="shared" si="0"/>
        <v>22</v>
      </c>
      <c r="Z32" s="1"/>
      <c r="AA32" s="195"/>
      <c r="AB32" s="196"/>
      <c r="AC32" s="196"/>
      <c r="AD32" s="196"/>
      <c r="AE32" s="196"/>
      <c r="AF32" s="196"/>
      <c r="AG32" s="196"/>
      <c r="AH32" s="197"/>
      <c r="AI32" s="197"/>
      <c r="AJ32" s="198"/>
      <c r="AK32" s="199"/>
      <c r="AL32" s="118"/>
      <c r="AM32" s="90"/>
      <c r="AN32" s="90"/>
      <c r="AO32" s="118"/>
    </row>
    <row r="33" spans="3:40" x14ac:dyDescent="0.3">
      <c r="C33" s="171">
        <f t="shared" si="1"/>
        <v>43932</v>
      </c>
      <c r="E33" s="285">
        <v>181825</v>
      </c>
      <c r="F33" s="7"/>
      <c r="G33" s="7">
        <f>58151</f>
        <v>58151</v>
      </c>
      <c r="H33" s="7"/>
      <c r="I33" s="7">
        <v>11510</v>
      </c>
      <c r="J33" s="288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6">
        <f t="shared" si="4"/>
        <v>11879</v>
      </c>
      <c r="R33" s="6"/>
      <c r="S33" s="7">
        <f>8650+2183+494</f>
        <v>11327</v>
      </c>
      <c r="T33" s="6"/>
      <c r="U33" s="287">
        <f t="shared" si="5"/>
        <v>4.5040280572278379E-2</v>
      </c>
      <c r="W33">
        <f t="shared" si="0"/>
        <v>23</v>
      </c>
    </row>
    <row r="34" spans="3:40" x14ac:dyDescent="0.3">
      <c r="C34" s="171">
        <f t="shared" si="1"/>
        <v>43933</v>
      </c>
      <c r="E34" s="285">
        <v>189033</v>
      </c>
      <c r="F34" s="7"/>
      <c r="G34" s="7">
        <f>61850</f>
        <v>61850</v>
      </c>
      <c r="H34" s="7"/>
      <c r="I34" s="7">
        <v>12035</v>
      </c>
      <c r="J34" s="288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6">
        <f t="shared" si="4"/>
        <v>11432</v>
      </c>
      <c r="R34" s="6"/>
      <c r="S34" s="7">
        <f>9385+2350+554</f>
        <v>12289</v>
      </c>
      <c r="T34" s="6"/>
      <c r="U34" s="287">
        <f t="shared" si="5"/>
        <v>4.674080892141276E-2</v>
      </c>
      <c r="W34">
        <f t="shared" si="0"/>
        <v>24</v>
      </c>
    </row>
    <row r="35" spans="3:40" ht="15" thickBot="1" x14ac:dyDescent="0.35">
      <c r="C35" s="171">
        <f t="shared" si="1"/>
        <v>43934</v>
      </c>
      <c r="E35" s="285">
        <v>195749</v>
      </c>
      <c r="F35" s="7"/>
      <c r="G35" s="7">
        <f>64584</f>
        <v>64584</v>
      </c>
      <c r="H35" s="7"/>
      <c r="I35" s="7">
        <v>13381</v>
      </c>
      <c r="J35" s="288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6">
        <f t="shared" si="4"/>
        <v>10796</v>
      </c>
      <c r="R35" s="6"/>
      <c r="S35" s="7">
        <f>10058+2443+602</f>
        <v>13103</v>
      </c>
      <c r="T35" s="6"/>
      <c r="U35" s="287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1">
        <f t="shared" si="1"/>
        <v>43935</v>
      </c>
      <c r="E36" s="285">
        <v>203020</v>
      </c>
      <c r="F36" s="7"/>
      <c r="G36" s="7">
        <f>68824</f>
        <v>68824</v>
      </c>
      <c r="H36" s="7"/>
      <c r="I36" s="7">
        <v>13989</v>
      </c>
      <c r="J36" s="288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6">
        <f t="shared" si="4"/>
        <v>12119</v>
      </c>
      <c r="R36" s="6"/>
      <c r="S36" s="7">
        <f>10842+2805+671+3778</f>
        <v>18096</v>
      </c>
      <c r="T36" s="6"/>
      <c r="U36" s="287">
        <f t="shared" si="5"/>
        <v>6.3309694821801543E-2</v>
      </c>
      <c r="W36">
        <f t="shared" si="0"/>
        <v>26</v>
      </c>
      <c r="Z36" s="1"/>
      <c r="AA36" s="546" t="s">
        <v>31</v>
      </c>
      <c r="AB36" s="547"/>
      <c r="AC36" s="547"/>
      <c r="AD36" s="547"/>
      <c r="AE36" s="547"/>
      <c r="AF36" s="547"/>
      <c r="AG36" s="547"/>
      <c r="AH36" s="547"/>
      <c r="AI36" s="548"/>
      <c r="AJ36" s="155"/>
      <c r="AK36" s="155"/>
      <c r="AL36" s="155"/>
      <c r="AM36" s="95"/>
      <c r="AN36" s="95"/>
    </row>
    <row r="37" spans="3:40" x14ac:dyDescent="0.3">
      <c r="C37" s="171">
        <f t="shared" si="1"/>
        <v>43936</v>
      </c>
      <c r="E37" s="285">
        <v>214639</v>
      </c>
      <c r="F37" s="7"/>
      <c r="G37" s="7">
        <f>71030</f>
        <v>71030</v>
      </c>
      <c r="H37" s="7"/>
      <c r="I37" s="7">
        <v>14755</v>
      </c>
      <c r="J37" s="288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6">
        <f t="shared" si="4"/>
        <v>14591</v>
      </c>
      <c r="R37" s="6"/>
      <c r="S37" s="7">
        <f>11620+3156+868-145</f>
        <v>15499</v>
      </c>
      <c r="T37" s="6"/>
      <c r="U37" s="287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7" t="s">
        <v>30</v>
      </c>
      <c r="AG37" s="165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1">
        <f t="shared" si="1"/>
        <v>43937</v>
      </c>
      <c r="E38" s="285">
        <v>223691</v>
      </c>
      <c r="F38" s="7"/>
      <c r="G38" s="7">
        <f>75317</f>
        <v>75317</v>
      </c>
      <c r="H38" s="7"/>
      <c r="I38" s="7">
        <v>15884</v>
      </c>
      <c r="J38" s="288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6">
        <f t="shared" si="4"/>
        <v>14468</v>
      </c>
      <c r="R38" s="6"/>
      <c r="S38" s="7">
        <f>14832+3518+446</f>
        <v>18796</v>
      </c>
      <c r="T38" s="6"/>
      <c r="U38" s="287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6">
        <v>20100000</v>
      </c>
      <c r="AG38" s="165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1">
        <f t="shared" si="1"/>
        <v>43938</v>
      </c>
      <c r="E39" s="285">
        <v>230597</v>
      </c>
      <c r="F39" s="7"/>
      <c r="G39" s="7">
        <f>78467</f>
        <v>78467</v>
      </c>
      <c r="H39" s="7"/>
      <c r="I39" s="7">
        <v>16809</v>
      </c>
      <c r="J39" s="288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6">
        <f t="shared" si="4"/>
        <v>10981</v>
      </c>
      <c r="R39" s="6"/>
      <c r="S39" s="7">
        <f>17131+3840+1036</f>
        <v>22007</v>
      </c>
      <c r="T39" s="6"/>
      <c r="U39" s="287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5">
        <v>4900000</v>
      </c>
      <c r="AG39" s="165"/>
      <c r="AH39" s="100">
        <f>+AF39/AF$43</f>
        <v>1.4848484848484849E-2</v>
      </c>
      <c r="AI39" s="178"/>
      <c r="AJ39" s="176"/>
      <c r="AK39" s="176"/>
      <c r="AL39" s="110"/>
      <c r="AM39" s="108"/>
      <c r="AN39" s="108"/>
    </row>
    <row r="40" spans="3:40" x14ac:dyDescent="0.3">
      <c r="C40" s="333">
        <f t="shared" si="1"/>
        <v>43939</v>
      </c>
      <c r="D40" s="110"/>
      <c r="E40" s="285">
        <v>238767</v>
      </c>
      <c r="F40" s="7"/>
      <c r="G40" s="7">
        <f>81420</f>
        <v>81420</v>
      </c>
      <c r="H40" s="7"/>
      <c r="I40" s="7">
        <v>17550</v>
      </c>
      <c r="J40" s="288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6">
        <f t="shared" si="4"/>
        <v>11864</v>
      </c>
      <c r="R40" s="6"/>
      <c r="S40" s="7">
        <f>17671+4070+1086</f>
        <v>22827</v>
      </c>
      <c r="T40" s="6"/>
      <c r="U40" s="287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91</v>
      </c>
      <c r="AC40" s="102"/>
      <c r="AD40" s="102"/>
      <c r="AE40" s="102"/>
      <c r="AF40" s="165">
        <v>6000000</v>
      </c>
      <c r="AG40" s="165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1">
        <f t="shared" si="1"/>
        <v>43940</v>
      </c>
      <c r="E41" s="285">
        <v>242570</v>
      </c>
      <c r="F41" s="7"/>
      <c r="G41" s="7">
        <f>85301</f>
        <v>85301</v>
      </c>
      <c r="H41" s="7"/>
      <c r="I41" s="7">
        <v>17550</v>
      </c>
      <c r="J41" s="288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6">
        <f t="shared" si="4"/>
        <v>7684</v>
      </c>
      <c r="R41" s="6"/>
      <c r="S41" s="7">
        <f>17428+4362+1086</f>
        <v>22876</v>
      </c>
      <c r="T41" s="6"/>
      <c r="U41" s="287">
        <f t="shared" si="5"/>
        <v>6.6226430935003952E-2</v>
      </c>
      <c r="W41">
        <f t="shared" si="0"/>
        <v>31</v>
      </c>
      <c r="Z41" s="75"/>
      <c r="AA41" s="91"/>
      <c r="AB41" s="165" t="s">
        <v>33</v>
      </c>
      <c r="AC41" s="165"/>
      <c r="AD41" s="165"/>
      <c r="AE41" s="165"/>
      <c r="AF41" s="164">
        <f>SUM(AF38:AG40)</f>
        <v>31000000</v>
      </c>
      <c r="AG41" s="165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1">
        <f t="shared" si="1"/>
        <v>43941</v>
      </c>
      <c r="E42" s="285">
        <v>253060</v>
      </c>
      <c r="F42" s="7"/>
      <c r="G42" s="7">
        <f>88722</f>
        <v>88722</v>
      </c>
      <c r="H42" s="7"/>
      <c r="I42" s="7">
        <v>19815</v>
      </c>
      <c r="J42" s="288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6">
        <f t="shared" si="4"/>
        <v>16176</v>
      </c>
      <c r="R42" s="6"/>
      <c r="S42" s="7">
        <f>18611+4496+1331</f>
        <v>24438</v>
      </c>
      <c r="T42" s="6"/>
      <c r="U42" s="287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2">
        <f t="shared" si="1"/>
        <v>43942</v>
      </c>
      <c r="E43" s="285">
        <v>258361</v>
      </c>
      <c r="F43" s="7"/>
      <c r="G43" s="7">
        <f>92387</f>
        <v>92387</v>
      </c>
      <c r="H43" s="7"/>
      <c r="I43" s="7">
        <v>20360</v>
      </c>
      <c r="J43" s="288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6">
        <f t="shared" si="4"/>
        <v>9511</v>
      </c>
      <c r="R43" s="6"/>
      <c r="S43" s="7">
        <f>18821+4520+1423</f>
        <v>24764</v>
      </c>
      <c r="T43" s="6"/>
      <c r="U43" s="287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4">
        <v>330000000</v>
      </c>
      <c r="AG43" s="165"/>
      <c r="AH43" s="174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2">
        <f t="shared" si="1"/>
        <v>43943</v>
      </c>
      <c r="E44" s="285">
        <v>263292</v>
      </c>
      <c r="F44" s="7"/>
      <c r="G44" s="7">
        <f>95418</f>
        <v>95418</v>
      </c>
      <c r="H44" s="7"/>
      <c r="I44" s="7">
        <v>22469</v>
      </c>
      <c r="J44" s="288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6">
        <f t="shared" si="4"/>
        <v>10071</v>
      </c>
      <c r="R44" s="6"/>
      <c r="S44" s="7">
        <f>19413+5129+1544</f>
        <v>26086</v>
      </c>
      <c r="T44" s="6"/>
      <c r="U44" s="287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9"/>
      <c r="AI44" s="112"/>
      <c r="AJ44" s="109"/>
      <c r="AK44" s="109"/>
      <c r="AL44" s="109"/>
      <c r="AM44" s="109"/>
      <c r="AN44" s="109"/>
    </row>
    <row r="45" spans="3:40" x14ac:dyDescent="0.3">
      <c r="C45" s="172">
        <f t="shared" si="1"/>
        <v>43944</v>
      </c>
      <c r="E45" s="285">
        <v>271145</v>
      </c>
      <c r="F45" s="7"/>
      <c r="G45" s="7">
        <f>99989</f>
        <v>99989</v>
      </c>
      <c r="H45" s="7"/>
      <c r="I45" s="7">
        <v>23128</v>
      </c>
      <c r="J45" s="288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6">
        <f t="shared" si="4"/>
        <v>13083</v>
      </c>
      <c r="R45" s="6"/>
      <c r="S45" s="7">
        <f>20971+5426+1637</f>
        <v>28034</v>
      </c>
      <c r="T45" s="6"/>
      <c r="U45" s="287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2">
        <f t="shared" si="1"/>
        <v>43945</v>
      </c>
      <c r="E46" s="285">
        <v>271590</v>
      </c>
      <c r="F46" s="7"/>
      <c r="G46" s="7">
        <f>100025</f>
        <v>100025</v>
      </c>
      <c r="H46" s="7"/>
      <c r="I46" s="7">
        <v>23936</v>
      </c>
      <c r="J46" s="288"/>
      <c r="K46" s="7">
        <f t="shared" si="6"/>
        <v>395551</v>
      </c>
      <c r="L46" s="6"/>
      <c r="M46" s="475">
        <f t="shared" si="7"/>
        <v>3.2693995363489254E-3</v>
      </c>
      <c r="N46" s="29"/>
      <c r="O46" s="29"/>
      <c r="P46" s="29"/>
      <c r="Q46" s="376">
        <f t="shared" si="4"/>
        <v>1289</v>
      </c>
      <c r="R46" s="6"/>
      <c r="S46" s="7">
        <f>21349+5426+1767</f>
        <v>28542</v>
      </c>
      <c r="T46" s="6"/>
      <c r="U46" s="287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2">
        <f t="shared" si="1"/>
        <v>43946</v>
      </c>
      <c r="E47" s="285">
        <v>282143</v>
      </c>
      <c r="F47" s="7"/>
      <c r="G47" s="7">
        <f>105498</f>
        <v>105498</v>
      </c>
      <c r="H47" s="7"/>
      <c r="I47" s="7">
        <v>24583</v>
      </c>
      <c r="J47" s="288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6">
        <f t="shared" si="4"/>
        <v>16673</v>
      </c>
      <c r="R47" s="6"/>
      <c r="S47" s="7">
        <f>22009+5914+1865</f>
        <v>29788</v>
      </c>
      <c r="T47" s="6"/>
      <c r="U47" s="287">
        <f t="shared" si="5"/>
        <v>7.2261682968483149E-2</v>
      </c>
      <c r="W47">
        <f t="shared" si="0"/>
        <v>37</v>
      </c>
    </row>
    <row r="48" spans="3:40" x14ac:dyDescent="0.3">
      <c r="C48" s="172">
        <f t="shared" si="1"/>
        <v>43947</v>
      </c>
      <c r="E48" s="285">
        <v>288045</v>
      </c>
      <c r="F48" s="7"/>
      <c r="G48" s="7">
        <f>109038</f>
        <v>109038</v>
      </c>
      <c r="H48" s="7"/>
      <c r="I48" s="7">
        <v>25269</v>
      </c>
      <c r="J48" s="288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6">
        <f t="shared" si="4"/>
        <v>10128</v>
      </c>
      <c r="R48" s="6"/>
      <c r="S48" s="7">
        <f>22269+5938+1924</f>
        <v>30131</v>
      </c>
      <c r="T48" s="6"/>
      <c r="U48" s="287">
        <f t="shared" si="5"/>
        <v>7.134096677652764E-2</v>
      </c>
      <c r="W48">
        <f t="shared" si="0"/>
        <v>38</v>
      </c>
      <c r="AF48" s="56"/>
    </row>
    <row r="49" spans="3:36" x14ac:dyDescent="0.3">
      <c r="C49" s="172">
        <f t="shared" si="1"/>
        <v>43948</v>
      </c>
      <c r="E49" s="285">
        <v>291996</v>
      </c>
      <c r="F49" s="7"/>
      <c r="G49" s="7">
        <f>111188</f>
        <v>111188</v>
      </c>
      <c r="H49" s="7"/>
      <c r="I49" s="7">
        <v>25269</v>
      </c>
      <c r="J49" s="288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6">
        <f t="shared" si="4"/>
        <v>6101</v>
      </c>
      <c r="R49" s="6"/>
      <c r="S49" s="7">
        <f>22668+6044+1924</f>
        <v>30636</v>
      </c>
      <c r="T49" s="6"/>
      <c r="U49" s="287">
        <f t="shared" si="5"/>
        <v>7.1503758872034973E-2</v>
      </c>
      <c r="W49">
        <f t="shared" si="0"/>
        <v>39</v>
      </c>
      <c r="AD49" s="1">
        <f>+'Main Table'!Z133</f>
        <v>138247</v>
      </c>
      <c r="AJ49" s="56">
        <f>+AJ19</f>
        <v>67457</v>
      </c>
    </row>
    <row r="50" spans="3:36" x14ac:dyDescent="0.3">
      <c r="C50" s="172">
        <f t="shared" si="1"/>
        <v>43949</v>
      </c>
      <c r="E50" s="285">
        <v>295106</v>
      </c>
      <c r="F50" s="7"/>
      <c r="G50" s="7">
        <f>113856</f>
        <v>113856</v>
      </c>
      <c r="H50" s="7"/>
      <c r="I50" s="7">
        <v>26312</v>
      </c>
      <c r="J50" s="288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6">
        <f t="shared" si="4"/>
        <v>6821</v>
      </c>
      <c r="R50" s="6"/>
      <c r="S50" s="7">
        <f>22912+6442+2087</f>
        <v>31441</v>
      </c>
      <c r="T50" s="6"/>
      <c r="U50" s="287">
        <f t="shared" si="5"/>
        <v>7.223266264467898E-2</v>
      </c>
      <c r="W50">
        <f t="shared" si="0"/>
        <v>40</v>
      </c>
      <c r="AD50" s="56">
        <f>+AJ19</f>
        <v>67457</v>
      </c>
      <c r="AF50" s="274"/>
    </row>
    <row r="51" spans="3:36" x14ac:dyDescent="0.3">
      <c r="C51" s="171">
        <f t="shared" si="1"/>
        <v>43950</v>
      </c>
      <c r="E51" s="285">
        <v>299691</v>
      </c>
      <c r="F51" s="7"/>
      <c r="G51" s="7">
        <f>116365</f>
        <v>116365</v>
      </c>
      <c r="H51" s="7"/>
      <c r="I51" s="7">
        <v>26751</v>
      </c>
      <c r="J51" s="288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6">
        <f t="shared" si="4"/>
        <v>7533</v>
      </c>
      <c r="R51" s="6"/>
      <c r="S51" s="7">
        <f>23477+6711+2169</f>
        <v>32357</v>
      </c>
      <c r="T51" s="6"/>
      <c r="U51" s="287">
        <f t="shared" si="5"/>
        <v>7.3072467237419461E-2</v>
      </c>
      <c r="W51">
        <f t="shared" si="0"/>
        <v>41</v>
      </c>
      <c r="AD51" s="56">
        <f>+AD49-AD50</f>
        <v>70790</v>
      </c>
    </row>
    <row r="52" spans="3:36" x14ac:dyDescent="0.3">
      <c r="C52" s="171">
        <f t="shared" si="1"/>
        <v>43951</v>
      </c>
      <c r="E52" s="285">
        <v>304372</v>
      </c>
      <c r="F52" s="7"/>
      <c r="G52" s="7">
        <v>118652</v>
      </c>
      <c r="H52" s="7"/>
      <c r="I52" s="7">
        <v>27700</v>
      </c>
      <c r="J52" s="288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6">
        <f t="shared" si="4"/>
        <v>7917</v>
      </c>
      <c r="R52" s="6"/>
      <c r="S52" s="7">
        <f>23545+7228+2257</f>
        <v>33030</v>
      </c>
      <c r="T52" s="6"/>
      <c r="U52" s="287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1">
        <f t="shared" si="1"/>
        <v>43952</v>
      </c>
      <c r="E53" s="285">
        <v>308314</v>
      </c>
      <c r="F53" s="7"/>
      <c r="G53" s="7">
        <v>121190</v>
      </c>
      <c r="H53" s="7"/>
      <c r="I53" s="7">
        <v>28855</v>
      </c>
      <c r="J53" s="288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6">
        <f t="shared" si="4"/>
        <v>7635</v>
      </c>
      <c r="R53" s="6"/>
      <c r="S53" s="7">
        <f>23981+7538+2341</f>
        <v>33860</v>
      </c>
      <c r="T53" s="6"/>
      <c r="U53" s="287">
        <f t="shared" ref="U53:U65" si="10">+S53/K53</f>
        <v>7.3872226791663304E-2</v>
      </c>
      <c r="W53">
        <f t="shared" si="0"/>
        <v>43</v>
      </c>
      <c r="AD53" s="1">
        <f>+AD51*AD52</f>
        <v>29731.8</v>
      </c>
    </row>
    <row r="54" spans="3:36" x14ac:dyDescent="0.3">
      <c r="C54" s="171">
        <f t="shared" si="1"/>
        <v>43953</v>
      </c>
      <c r="E54" s="285">
        <v>312977</v>
      </c>
      <c r="F54" s="7"/>
      <c r="G54" s="7">
        <v>123717</v>
      </c>
      <c r="H54" s="7"/>
      <c r="I54" s="7">
        <v>29346</v>
      </c>
      <c r="J54" s="288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6">
        <f t="shared" si="4"/>
        <v>7681</v>
      </c>
      <c r="R54" s="6"/>
      <c r="S54" s="7">
        <f>24198+7742+2437</f>
        <v>34377</v>
      </c>
      <c r="T54" s="6"/>
      <c r="U54" s="287">
        <f t="shared" si="10"/>
        <v>7.3764054587589042E-2</v>
      </c>
      <c r="W54">
        <f t="shared" si="0"/>
        <v>44</v>
      </c>
    </row>
    <row r="55" spans="3:36" x14ac:dyDescent="0.3">
      <c r="C55" s="171">
        <f t="shared" si="1"/>
        <v>43954</v>
      </c>
      <c r="E55" s="285">
        <v>316415</v>
      </c>
      <c r="F55" s="7"/>
      <c r="G55" s="7">
        <v>126744</v>
      </c>
      <c r="H55" s="7"/>
      <c r="I55" s="7">
        <v>29087</v>
      </c>
      <c r="J55" s="288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6">
        <f t="shared" si="4"/>
        <v>6206</v>
      </c>
      <c r="R55" s="6"/>
      <c r="S55" s="7">
        <f>24708+7871+2436</f>
        <v>35015</v>
      </c>
      <c r="T55" s="6"/>
      <c r="U55" s="287">
        <f t="shared" si="10"/>
        <v>7.4145678311727359E-2</v>
      </c>
      <c r="W55">
        <f t="shared" si="0"/>
        <v>45</v>
      </c>
      <c r="AD55" s="56">
        <f>+AD51-AD53</f>
        <v>41058.199999999997</v>
      </c>
    </row>
    <row r="56" spans="3:36" x14ac:dyDescent="0.3">
      <c r="C56" s="172">
        <f t="shared" si="1"/>
        <v>43955</v>
      </c>
      <c r="E56" s="285">
        <v>318953</v>
      </c>
      <c r="F56" s="7"/>
      <c r="G56" s="7">
        <v>128269</v>
      </c>
      <c r="H56" s="7"/>
      <c r="I56" s="7">
        <v>29973</v>
      </c>
      <c r="J56" s="288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6">
        <f t="shared" si="4"/>
        <v>4949</v>
      </c>
      <c r="R56" s="6"/>
      <c r="S56" s="7">
        <f>24999+7910+2556</f>
        <v>35465</v>
      </c>
      <c r="T56" s="6"/>
      <c r="U56" s="287">
        <f t="shared" si="10"/>
        <v>7.4319722545290706E-2</v>
      </c>
      <c r="W56">
        <f t="shared" si="0"/>
        <v>46</v>
      </c>
    </row>
    <row r="57" spans="3:36" x14ac:dyDescent="0.3">
      <c r="C57" s="172">
        <f t="shared" si="1"/>
        <v>43956</v>
      </c>
      <c r="E57" s="285">
        <v>321192</v>
      </c>
      <c r="F57" s="7"/>
      <c r="G57" s="7">
        <v>130593</v>
      </c>
      <c r="H57" s="7"/>
      <c r="I57" s="7">
        <v>30621</v>
      </c>
      <c r="J57" s="288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6">
        <f t="shared" si="4"/>
        <v>5211</v>
      </c>
      <c r="R57" s="6"/>
      <c r="S57" s="7">
        <f>25124+8244+2633</f>
        <v>36001</v>
      </c>
      <c r="T57" s="6"/>
      <c r="U57" s="287">
        <f t="shared" si="10"/>
        <v>7.4628010431047706E-2</v>
      </c>
      <c r="W57">
        <f t="shared" si="0"/>
        <v>47</v>
      </c>
      <c r="AD57" s="274">
        <f>+AD55/AD49</f>
        <v>0.29699161645460659</v>
      </c>
    </row>
    <row r="58" spans="3:36" x14ac:dyDescent="0.3">
      <c r="C58" s="172">
        <f t="shared" si="1"/>
        <v>43957</v>
      </c>
      <c r="E58" s="285">
        <v>323978</v>
      </c>
      <c r="F58" s="7"/>
      <c r="G58" s="7">
        <v>131890</v>
      </c>
      <c r="H58" s="7"/>
      <c r="I58" s="7">
        <v>30995</v>
      </c>
      <c r="J58" s="288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6">
        <f t="shared" si="4"/>
        <v>4457</v>
      </c>
      <c r="R58" s="6"/>
      <c r="S58" s="7">
        <f>25346+8549+2718</f>
        <v>36613</v>
      </c>
      <c r="T58" s="6"/>
      <c r="U58" s="287">
        <f t="shared" si="10"/>
        <v>7.5201853498828214E-2</v>
      </c>
      <c r="W58">
        <f t="shared" si="0"/>
        <v>48</v>
      </c>
    </row>
    <row r="59" spans="3:36" x14ac:dyDescent="0.3">
      <c r="C59" s="172">
        <f t="shared" si="1"/>
        <v>43958</v>
      </c>
      <c r="E59" s="285">
        <v>327469</v>
      </c>
      <c r="F59" s="7"/>
      <c r="G59" s="7">
        <v>133991</v>
      </c>
      <c r="H59" s="7"/>
      <c r="I59" s="7">
        <v>31784</v>
      </c>
      <c r="J59" s="288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6">
        <f t="shared" si="4"/>
        <v>6381</v>
      </c>
      <c r="R59" s="6"/>
      <c r="S59" s="7">
        <f>26144+8807+2797</f>
        <v>37748</v>
      </c>
      <c r="T59" s="6"/>
      <c r="U59" s="287">
        <f t="shared" si="10"/>
        <v>7.6530074364817416E-2</v>
      </c>
      <c r="W59">
        <f t="shared" si="0"/>
        <v>49</v>
      </c>
    </row>
    <row r="60" spans="3:36" x14ac:dyDescent="0.3">
      <c r="C60" s="172">
        <f t="shared" si="1"/>
        <v>43959</v>
      </c>
      <c r="E60" s="285">
        <v>330407</v>
      </c>
      <c r="F60" s="7"/>
      <c r="G60" s="7">
        <v>135840</v>
      </c>
      <c r="H60" s="7"/>
      <c r="I60" s="7">
        <v>32411</v>
      </c>
      <c r="J60" s="288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6">
        <f t="shared" si="4"/>
        <v>5414</v>
      </c>
      <c r="R60" s="6"/>
      <c r="S60" s="7">
        <f>26243+8960+2874</f>
        <v>38077</v>
      </c>
      <c r="T60" s="6"/>
      <c r="U60" s="287">
        <f t="shared" si="10"/>
        <v>7.6358947414861489E-2</v>
      </c>
      <c r="W60">
        <f t="shared" si="0"/>
        <v>50</v>
      </c>
    </row>
    <row r="61" spans="3:36" x14ac:dyDescent="0.3">
      <c r="C61" s="172">
        <f t="shared" si="1"/>
        <v>43960</v>
      </c>
      <c r="E61" s="285">
        <v>333122</v>
      </c>
      <c r="F61" s="7"/>
      <c r="G61" s="7">
        <v>137397</v>
      </c>
      <c r="H61" s="7"/>
      <c r="I61" s="7">
        <v>32984</v>
      </c>
      <c r="J61" s="288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6">
        <f t="shared" si="4"/>
        <v>4845</v>
      </c>
      <c r="R61" s="6"/>
      <c r="S61" s="7">
        <f>26563+9116+2932</f>
        <v>38611</v>
      </c>
      <c r="T61" s="6"/>
      <c r="U61" s="287">
        <f t="shared" si="10"/>
        <v>7.6684746664865952E-2</v>
      </c>
      <c r="W61">
        <f t="shared" si="0"/>
        <v>51</v>
      </c>
    </row>
    <row r="62" spans="3:36" x14ac:dyDescent="0.3">
      <c r="C62" s="172">
        <f t="shared" si="1"/>
        <v>43961</v>
      </c>
      <c r="E62" s="285">
        <v>335395</v>
      </c>
      <c r="F62" s="7"/>
      <c r="G62" s="7">
        <v>138754</v>
      </c>
      <c r="H62" s="7"/>
      <c r="I62" s="7">
        <v>33554</v>
      </c>
      <c r="J62" s="288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6">
        <f t="shared" ref="Q62:Q97" si="11">+K62-K61</f>
        <v>4200</v>
      </c>
      <c r="R62" s="6"/>
      <c r="S62" s="7">
        <f>26641+9256+2967</f>
        <v>38864</v>
      </c>
      <c r="T62" s="6"/>
      <c r="U62" s="287">
        <f t="shared" si="10"/>
        <v>7.6548690868480193E-2</v>
      </c>
      <c r="W62">
        <f t="shared" si="0"/>
        <v>52</v>
      </c>
    </row>
    <row r="63" spans="3:36" x14ac:dyDescent="0.3">
      <c r="C63" s="172">
        <f t="shared" si="1"/>
        <v>43962</v>
      </c>
      <c r="E63" s="285">
        <v>337055</v>
      </c>
      <c r="F63" s="7"/>
      <c r="G63" s="7">
        <v>140206</v>
      </c>
      <c r="H63" s="7"/>
      <c r="I63" s="7">
        <v>33765</v>
      </c>
      <c r="J63" s="288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6">
        <f t="shared" si="11"/>
        <v>3323</v>
      </c>
      <c r="R63" s="6"/>
      <c r="S63" s="7">
        <f>26721+9340+3008</f>
        <v>39069</v>
      </c>
      <c r="T63" s="6"/>
      <c r="U63" s="287">
        <f t="shared" si="10"/>
        <v>7.6452078759202069E-2</v>
      </c>
      <c r="W63">
        <f t="shared" si="0"/>
        <v>53</v>
      </c>
    </row>
    <row r="64" spans="3:36" x14ac:dyDescent="0.3">
      <c r="C64" s="171">
        <f t="shared" si="1"/>
        <v>43963</v>
      </c>
      <c r="E64" s="285">
        <v>338485</v>
      </c>
      <c r="F64" s="7"/>
      <c r="G64" s="7">
        <v>140917</v>
      </c>
      <c r="H64" s="7"/>
      <c r="I64" s="7">
        <v>34333</v>
      </c>
      <c r="J64" s="288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6">
        <f t="shared" si="11"/>
        <v>2709</v>
      </c>
      <c r="R64" s="6"/>
      <c r="S64" s="7">
        <f>27284+9531+3041</f>
        <v>39856</v>
      </c>
      <c r="T64" s="6"/>
      <c r="U64" s="287">
        <f t="shared" si="10"/>
        <v>7.7580853942207553E-2</v>
      </c>
      <c r="W64">
        <f t="shared" si="0"/>
        <v>54</v>
      </c>
    </row>
    <row r="65" spans="3:23" x14ac:dyDescent="0.3">
      <c r="C65" s="171">
        <f t="shared" si="1"/>
        <v>43964</v>
      </c>
      <c r="E65" s="285">
        <v>340661</v>
      </c>
      <c r="F65" s="7"/>
      <c r="G65" s="7">
        <v>141560</v>
      </c>
      <c r="H65" s="7"/>
      <c r="I65" s="7">
        <v>34895</v>
      </c>
      <c r="J65" s="288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6">
        <f t="shared" si="11"/>
        <v>3381</v>
      </c>
      <c r="R65" s="6"/>
      <c r="S65" s="7">
        <f>27477+9714+3125</f>
        <v>40316</v>
      </c>
      <c r="T65" s="6"/>
      <c r="U65" s="287">
        <f t="shared" si="10"/>
        <v>7.7963164937847607E-2</v>
      </c>
      <c r="W65">
        <f t="shared" si="0"/>
        <v>55</v>
      </c>
    </row>
    <row r="66" spans="3:23" x14ac:dyDescent="0.3">
      <c r="C66" s="171">
        <f t="shared" si="1"/>
        <v>43965</v>
      </c>
      <c r="E66" s="285">
        <v>343051</v>
      </c>
      <c r="F66" s="7"/>
      <c r="G66" s="7">
        <v>142704</v>
      </c>
      <c r="H66" s="7"/>
      <c r="I66" s="7">
        <v>35464</v>
      </c>
      <c r="J66" s="288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6">
        <f t="shared" si="11"/>
        <v>4103</v>
      </c>
      <c r="R66" s="6"/>
      <c r="S66" s="7">
        <f>27607+9946+3219</f>
        <v>40772</v>
      </c>
      <c r="T66" s="6"/>
      <c r="U66" s="287">
        <f t="shared" ref="U66:U97" si="14">+S66/K66</f>
        <v>7.8224316458149076E-2</v>
      </c>
      <c r="W66">
        <f t="shared" si="0"/>
        <v>56</v>
      </c>
    </row>
    <row r="67" spans="3:23" x14ac:dyDescent="0.3">
      <c r="C67" s="171">
        <f t="shared" si="1"/>
        <v>43966</v>
      </c>
      <c r="E67" s="285">
        <v>345813</v>
      </c>
      <c r="F67" s="7"/>
      <c r="G67" s="7">
        <v>143984</v>
      </c>
      <c r="H67" s="7"/>
      <c r="I67" s="7">
        <v>36805</v>
      </c>
      <c r="J67" s="288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6">
        <f t="shared" si="11"/>
        <v>5383</v>
      </c>
      <c r="R67" s="6"/>
      <c r="S67" s="7">
        <f>27607+9946+3219</f>
        <v>40772</v>
      </c>
      <c r="T67" s="6"/>
      <c r="U67" s="287">
        <f t="shared" si="14"/>
        <v>7.7424696450070454E-2</v>
      </c>
      <c r="W67">
        <f t="shared" si="0"/>
        <v>57</v>
      </c>
    </row>
    <row r="68" spans="3:23" x14ac:dyDescent="0.3">
      <c r="C68" s="171">
        <f t="shared" si="1"/>
        <v>43967</v>
      </c>
      <c r="E68" s="285">
        <v>348232</v>
      </c>
      <c r="F68" s="7"/>
      <c r="G68" s="7">
        <v>145089</v>
      </c>
      <c r="H68" s="7"/>
      <c r="I68" s="7">
        <v>36703</v>
      </c>
      <c r="J68" s="288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6">
        <f t="shared" si="11"/>
        <v>3422</v>
      </c>
      <c r="R68" s="6"/>
      <c r="S68" s="7">
        <f>28049+10261+3339</f>
        <v>41649</v>
      </c>
      <c r="T68" s="6"/>
      <c r="U68" s="287">
        <f t="shared" si="14"/>
        <v>7.8579460552729685E-2</v>
      </c>
      <c r="W68">
        <f t="shared" si="0"/>
        <v>58</v>
      </c>
    </row>
    <row r="69" spans="3:23" x14ac:dyDescent="0.3">
      <c r="C69" s="171">
        <f t="shared" si="1"/>
        <v>43968</v>
      </c>
      <c r="E69" s="285">
        <v>350121</v>
      </c>
      <c r="F69" s="7"/>
      <c r="G69" s="7">
        <v>146504</v>
      </c>
      <c r="H69" s="7"/>
      <c r="I69" s="7">
        <v>37419</v>
      </c>
      <c r="J69" s="288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6">
        <f t="shared" si="11"/>
        <v>4020</v>
      </c>
      <c r="R69" s="6"/>
      <c r="S69" s="7">
        <f>28232+10363+3408</f>
        <v>42003</v>
      </c>
      <c r="T69" s="6"/>
      <c r="U69" s="287">
        <f t="shared" si="14"/>
        <v>7.8650822778647447E-2</v>
      </c>
      <c r="W69">
        <f t="shared" si="0"/>
        <v>59</v>
      </c>
    </row>
    <row r="70" spans="3:23" x14ac:dyDescent="0.3">
      <c r="C70" s="171">
        <f t="shared" si="1"/>
        <v>43969</v>
      </c>
      <c r="E70" s="285">
        <v>351371</v>
      </c>
      <c r="F70" s="7"/>
      <c r="G70" s="7">
        <v>148240</v>
      </c>
      <c r="H70" s="7"/>
      <c r="I70" s="7">
        <v>38116</v>
      </c>
      <c r="J70" s="288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6">
        <f t="shared" si="11"/>
        <v>3683</v>
      </c>
      <c r="R70" s="6"/>
      <c r="S70" s="7">
        <f>28339+10439+5862</f>
        <v>44640</v>
      </c>
      <c r="T70" s="6"/>
      <c r="U70" s="287">
        <f t="shared" si="14"/>
        <v>8.3016102966747066E-2</v>
      </c>
      <c r="W70">
        <f t="shared" si="0"/>
        <v>60</v>
      </c>
    </row>
    <row r="71" spans="3:23" x14ac:dyDescent="0.3">
      <c r="C71" s="171">
        <f t="shared" si="1"/>
        <v>43970</v>
      </c>
      <c r="E71" s="285">
        <v>352845</v>
      </c>
      <c r="F71" s="7"/>
      <c r="G71" s="7">
        <v>149356</v>
      </c>
      <c r="H71" s="7"/>
      <c r="I71" s="7">
        <v>38430</v>
      </c>
      <c r="J71" s="288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6">
        <f t="shared" si="11"/>
        <v>2904</v>
      </c>
      <c r="R71" s="6"/>
      <c r="S71" s="7">
        <f>28558+10587+3472</f>
        <v>42617</v>
      </c>
      <c r="T71" s="6"/>
      <c r="U71" s="287">
        <f t="shared" si="14"/>
        <v>7.8828258091008463E-2</v>
      </c>
      <c r="W71">
        <f t="shared" si="0"/>
        <v>61</v>
      </c>
    </row>
    <row r="72" spans="3:23" x14ac:dyDescent="0.3">
      <c r="C72" s="171">
        <f t="shared" si="1"/>
        <v>43971</v>
      </c>
      <c r="E72" s="285">
        <v>354370</v>
      </c>
      <c r="F72" s="7"/>
      <c r="G72" s="7">
        <v>150776</v>
      </c>
      <c r="H72" s="7"/>
      <c r="I72" s="7">
        <v>39017</v>
      </c>
      <c r="J72" s="288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6">
        <f t="shared" si="11"/>
        <v>3532</v>
      </c>
      <c r="R72" s="6"/>
      <c r="S72" s="7">
        <f>28636+10749+3529</f>
        <v>42914</v>
      </c>
      <c r="T72" s="6"/>
      <c r="U72" s="287">
        <f t="shared" si="14"/>
        <v>7.8862399685388385E-2</v>
      </c>
      <c r="W72">
        <f t="shared" si="0"/>
        <v>62</v>
      </c>
    </row>
    <row r="73" spans="3:23" x14ac:dyDescent="0.3">
      <c r="C73" s="171">
        <f t="shared" si="1"/>
        <v>43972</v>
      </c>
      <c r="E73" s="285">
        <v>356458</v>
      </c>
      <c r="F73" s="7"/>
      <c r="G73" s="7">
        <v>151586</v>
      </c>
      <c r="H73" s="7"/>
      <c r="I73" s="7">
        <v>39208</v>
      </c>
      <c r="J73" s="288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6">
        <f t="shared" si="11"/>
        <v>3089</v>
      </c>
      <c r="R73" s="6"/>
      <c r="S73" s="7">
        <f>28743+10846+3583</f>
        <v>43172</v>
      </c>
      <c r="T73" s="6"/>
      <c r="U73" s="287">
        <f t="shared" si="14"/>
        <v>7.888870209702295E-2</v>
      </c>
      <c r="W73">
        <f t="shared" si="0"/>
        <v>63</v>
      </c>
    </row>
    <row r="74" spans="3:23" x14ac:dyDescent="0.3">
      <c r="C74" s="171">
        <f t="shared" si="1"/>
        <v>43973</v>
      </c>
      <c r="E74" s="285">
        <v>358154</v>
      </c>
      <c r="F74" s="7"/>
      <c r="G74" s="7">
        <v>152579</v>
      </c>
      <c r="H74" s="7"/>
      <c r="I74" s="7">
        <v>39640</v>
      </c>
      <c r="J74" s="288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6">
        <f t="shared" si="11"/>
        <v>3121</v>
      </c>
      <c r="R74" s="6"/>
      <c r="S74" s="7">
        <f>28853+10985+3637</f>
        <v>43475</v>
      </c>
      <c r="T74" s="6"/>
      <c r="U74" s="287">
        <f t="shared" si="14"/>
        <v>7.899188368615466E-2</v>
      </c>
      <c r="W74">
        <f t="shared" si="0"/>
        <v>64</v>
      </c>
    </row>
    <row r="75" spans="3:23" x14ac:dyDescent="0.3">
      <c r="C75" s="171">
        <f t="shared" si="1"/>
        <v>43974</v>
      </c>
      <c r="E75" s="285">
        <v>359926</v>
      </c>
      <c r="F75" s="7"/>
      <c r="G75" s="7">
        <v>153140</v>
      </c>
      <c r="H75" s="7"/>
      <c r="I75" s="7">
        <v>39640</v>
      </c>
      <c r="J75" s="288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6">
        <f t="shared" si="11"/>
        <v>2333</v>
      </c>
      <c r="R75" s="6"/>
      <c r="S75" s="7">
        <f>28926+11082+3637</f>
        <v>43645</v>
      </c>
      <c r="T75" s="6"/>
      <c r="U75" s="287">
        <f t="shared" si="14"/>
        <v>7.896603257427999E-2</v>
      </c>
      <c r="W75">
        <f t="shared" si="0"/>
        <v>65</v>
      </c>
    </row>
    <row r="76" spans="3:23" x14ac:dyDescent="0.3">
      <c r="C76" s="171">
        <f t="shared" si="1"/>
        <v>43975</v>
      </c>
      <c r="E76" s="285">
        <v>361515</v>
      </c>
      <c r="F76" s="7"/>
      <c r="G76" s="7">
        <v>154154</v>
      </c>
      <c r="H76" s="7"/>
      <c r="I76" s="7">
        <v>40468</v>
      </c>
      <c r="J76" s="288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6">
        <f t="shared" si="11"/>
        <v>3431</v>
      </c>
      <c r="R76" s="6"/>
      <c r="S76" s="7">
        <f>29141+11138+3696</f>
        <v>43975</v>
      </c>
      <c r="T76" s="6"/>
      <c r="U76" s="287">
        <f t="shared" si="14"/>
        <v>7.9072242990486152E-2</v>
      </c>
      <c r="W76">
        <f t="shared" si="0"/>
        <v>66</v>
      </c>
    </row>
    <row r="77" spans="3:23" x14ac:dyDescent="0.3">
      <c r="C77" s="171">
        <f t="shared" si="1"/>
        <v>43976</v>
      </c>
      <c r="E77" s="285">
        <v>362764</v>
      </c>
      <c r="F77" s="7"/>
      <c r="G77" s="7">
        <v>155092</v>
      </c>
      <c r="H77" s="7"/>
      <c r="I77" s="7">
        <v>40873</v>
      </c>
      <c r="J77" s="288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6">
        <f t="shared" si="11"/>
        <v>2592</v>
      </c>
      <c r="R77" s="6"/>
      <c r="S77" s="7">
        <f>29229+11147+3742</f>
        <v>44118</v>
      </c>
      <c r="T77" s="6"/>
      <c r="U77" s="287">
        <f t="shared" si="14"/>
        <v>7.8961356936905008E-2</v>
      </c>
      <c r="W77">
        <f t="shared" si="0"/>
        <v>67</v>
      </c>
    </row>
    <row r="78" spans="3:23" x14ac:dyDescent="0.3">
      <c r="C78" s="171">
        <f t="shared" si="1"/>
        <v>43977</v>
      </c>
      <c r="E78" s="285">
        <v>363836</v>
      </c>
      <c r="F78" s="7"/>
      <c r="G78" s="7">
        <v>155764</v>
      </c>
      <c r="H78" s="7"/>
      <c r="I78" s="7">
        <v>41303</v>
      </c>
      <c r="J78" s="288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6">
        <f t="shared" si="11"/>
        <v>2174</v>
      </c>
      <c r="R78" s="6"/>
      <c r="S78" s="7">
        <f>29302+11194+3769</f>
        <v>44265</v>
      </c>
      <c r="T78" s="6"/>
      <c r="U78" s="287">
        <f t="shared" si="14"/>
        <v>7.8917388568076827E-2</v>
      </c>
      <c r="W78">
        <f t="shared" si="0"/>
        <v>68</v>
      </c>
    </row>
    <row r="79" spans="3:23" x14ac:dyDescent="0.3">
      <c r="C79" s="171">
        <f t="shared" si="1"/>
        <v>43978</v>
      </c>
      <c r="E79" s="285">
        <v>364965</v>
      </c>
      <c r="F79" s="7"/>
      <c r="G79" s="7">
        <v>156628</v>
      </c>
      <c r="H79" s="7"/>
      <c r="I79" s="7">
        <v>41288</v>
      </c>
      <c r="J79" s="288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6">
        <f t="shared" si="11"/>
        <v>1978</v>
      </c>
      <c r="R79" s="6"/>
      <c r="S79" s="7">
        <f>29484+11339+3803</f>
        <v>44626</v>
      </c>
      <c r="T79" s="6"/>
      <c r="U79" s="287">
        <f t="shared" si="14"/>
        <v>7.9281411168612897E-2</v>
      </c>
      <c r="W79">
        <f t="shared" si="0"/>
        <v>69</v>
      </c>
    </row>
    <row r="80" spans="3:23" x14ac:dyDescent="0.3">
      <c r="C80" s="171">
        <f t="shared" si="1"/>
        <v>43979</v>
      </c>
      <c r="E80" s="285">
        <v>366733</v>
      </c>
      <c r="F80" s="7"/>
      <c r="G80" s="7">
        <v>157185</v>
      </c>
      <c r="H80" s="7"/>
      <c r="I80" s="7">
        <v>41559</v>
      </c>
      <c r="J80" s="288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6">
        <f t="shared" si="11"/>
        <v>2596</v>
      </c>
      <c r="R80" s="6"/>
      <c r="S80" s="7">
        <f>29484+11339+3803</f>
        <v>44626</v>
      </c>
      <c r="T80" s="6"/>
      <c r="U80" s="287">
        <f t="shared" si="14"/>
        <v>7.8917444918184115E-2</v>
      </c>
      <c r="W80">
        <f t="shared" si="0"/>
        <v>70</v>
      </c>
    </row>
    <row r="81" spans="3:25" x14ac:dyDescent="0.3">
      <c r="C81" s="171">
        <f t="shared" si="1"/>
        <v>43980</v>
      </c>
      <c r="E81" s="285">
        <v>368284</v>
      </c>
      <c r="F81" s="7"/>
      <c r="G81" s="7">
        <v>158844</v>
      </c>
      <c r="H81" s="7"/>
      <c r="I81" s="7">
        <v>41762</v>
      </c>
      <c r="J81" s="288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6">
        <f t="shared" si="11"/>
        <v>3413</v>
      </c>
      <c r="R81" s="6"/>
      <c r="S81" s="7">
        <f>29646+11531+3868</f>
        <v>45045</v>
      </c>
      <c r="T81" s="6"/>
      <c r="U81" s="287">
        <f t="shared" si="14"/>
        <v>7.9180509413067549E-2</v>
      </c>
      <c r="W81">
        <f t="shared" si="0"/>
        <v>71</v>
      </c>
    </row>
    <row r="82" spans="3:25" x14ac:dyDescent="0.3">
      <c r="C82" s="171">
        <f t="shared" si="1"/>
        <v>43981</v>
      </c>
      <c r="E82" s="285">
        <v>369660</v>
      </c>
      <c r="F82" s="7"/>
      <c r="G82" s="7">
        <v>159608</v>
      </c>
      <c r="H82" s="7"/>
      <c r="I82" s="7">
        <v>42022</v>
      </c>
      <c r="J82" s="288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6">
        <f t="shared" si="11"/>
        <v>2400</v>
      </c>
      <c r="R82" s="6"/>
      <c r="S82" s="7">
        <f>29646+11531+3868</f>
        <v>45045</v>
      </c>
      <c r="T82" s="6"/>
      <c r="U82" s="287">
        <f t="shared" si="14"/>
        <v>7.8847870608622597E-2</v>
      </c>
      <c r="W82">
        <f t="shared" si="0"/>
        <v>72</v>
      </c>
    </row>
    <row r="83" spans="3:25" x14ac:dyDescent="0.3">
      <c r="C83" s="171">
        <f t="shared" si="1"/>
        <v>43982</v>
      </c>
      <c r="E83" s="285">
        <v>370770</v>
      </c>
      <c r="F83" s="7"/>
      <c r="G83" s="7">
        <v>160445</v>
      </c>
      <c r="H83" s="7"/>
      <c r="I83" s="7">
        <v>42201</v>
      </c>
      <c r="J83" s="288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6">
        <f t="shared" si="11"/>
        <v>2126</v>
      </c>
      <c r="R83" s="6"/>
      <c r="S83" s="7">
        <f>29784+11698+3944</f>
        <v>45426</v>
      </c>
      <c r="T83" s="6"/>
      <c r="U83" s="287">
        <f t="shared" si="14"/>
        <v>7.9219972934135074E-2</v>
      </c>
      <c r="W83">
        <f t="shared" si="0"/>
        <v>73</v>
      </c>
    </row>
    <row r="84" spans="3:25" x14ac:dyDescent="0.3">
      <c r="C84" s="171">
        <f t="shared" si="1"/>
        <v>43983</v>
      </c>
      <c r="E84" s="285">
        <v>371711</v>
      </c>
      <c r="F84" s="7"/>
      <c r="G84" s="7">
        <v>160918</v>
      </c>
      <c r="H84" s="7"/>
      <c r="I84" s="7">
        <v>42201</v>
      </c>
      <c r="J84" s="288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6">
        <f t="shared" si="11"/>
        <v>1414</v>
      </c>
      <c r="R84" s="6"/>
      <c r="S84" s="7">
        <f>29833+11723+3971</f>
        <v>45527</v>
      </c>
      <c r="T84" s="6"/>
      <c r="U84" s="287">
        <f t="shared" si="14"/>
        <v>7.9200807195170753E-2</v>
      </c>
      <c r="W84">
        <f t="shared" si="0"/>
        <v>74</v>
      </c>
    </row>
    <row r="85" spans="3:25" x14ac:dyDescent="0.3">
      <c r="C85" s="171">
        <f t="shared" si="1"/>
        <v>43984</v>
      </c>
      <c r="E85" s="285">
        <v>373040</v>
      </c>
      <c r="F85" s="7"/>
      <c r="G85" s="7">
        <v>161545</v>
      </c>
      <c r="H85" s="7"/>
      <c r="I85" s="7">
        <v>42979</v>
      </c>
      <c r="J85" s="288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6">
        <f t="shared" si="11"/>
        <v>2734</v>
      </c>
      <c r="R85" s="6"/>
      <c r="S85" s="7">
        <f>29968+11771+3972</f>
        <v>45711</v>
      </c>
      <c r="T85" s="6"/>
      <c r="U85" s="287">
        <f t="shared" si="14"/>
        <v>7.9144475763724881E-2</v>
      </c>
      <c r="W85">
        <f t="shared" si="0"/>
        <v>75</v>
      </c>
    </row>
    <row r="86" spans="3:25" x14ac:dyDescent="0.3">
      <c r="C86" s="171">
        <f t="shared" si="1"/>
        <v>43985</v>
      </c>
      <c r="E86" s="285">
        <v>374085</v>
      </c>
      <c r="F86" s="7"/>
      <c r="G86" s="7">
        <v>162068</v>
      </c>
      <c r="H86" s="7"/>
      <c r="I86" s="7">
        <v>43091</v>
      </c>
      <c r="J86" s="288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6">
        <f t="shared" si="11"/>
        <v>1680</v>
      </c>
      <c r="R86" s="6"/>
      <c r="S86" s="7">
        <f>30019+11880+3989</f>
        <v>45888</v>
      </c>
      <c r="T86" s="6"/>
      <c r="U86" s="287">
        <f t="shared" si="14"/>
        <v>7.9220501205018959E-2</v>
      </c>
      <c r="W86">
        <f t="shared" si="0"/>
        <v>76</v>
      </c>
    </row>
    <row r="87" spans="3:25" x14ac:dyDescent="0.3">
      <c r="C87" s="171">
        <f t="shared" si="1"/>
        <v>43986</v>
      </c>
      <c r="E87" s="285">
        <v>375133</v>
      </c>
      <c r="F87" s="7"/>
      <c r="G87" s="7">
        <v>162530</v>
      </c>
      <c r="H87" s="7"/>
      <c r="I87" s="7">
        <v>43239</v>
      </c>
      <c r="J87" s="288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6">
        <f t="shared" si="11"/>
        <v>1658</v>
      </c>
      <c r="R87" s="6"/>
      <c r="S87" s="7">
        <f>30090+11970+4007</f>
        <v>46067</v>
      </c>
      <c r="T87" s="6"/>
      <c r="U87" s="287">
        <f t="shared" si="14"/>
        <v>7.9302532957366306E-2</v>
      </c>
      <c r="W87">
        <f t="shared" si="0"/>
        <v>77</v>
      </c>
    </row>
    <row r="88" spans="3:25" x14ac:dyDescent="0.3">
      <c r="C88" s="171">
        <f t="shared" si="1"/>
        <v>43987</v>
      </c>
      <c r="E88" s="285">
        <v>376208</v>
      </c>
      <c r="F88" s="7"/>
      <c r="G88" s="7">
        <v>163336</v>
      </c>
      <c r="H88" s="7"/>
      <c r="I88" s="7">
        <v>43460</v>
      </c>
      <c r="J88" s="288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6">
        <f t="shared" si="11"/>
        <v>2102</v>
      </c>
      <c r="R88" s="6"/>
      <c r="S88" s="7">
        <f>30236+12049+4038</f>
        <v>46323</v>
      </c>
      <c r="T88" s="6"/>
      <c r="U88" s="287">
        <f t="shared" si="14"/>
        <v>7.9455715569704502E-2</v>
      </c>
      <c r="W88">
        <f t="shared" si="0"/>
        <v>78</v>
      </c>
    </row>
    <row r="89" spans="3:25" x14ac:dyDescent="0.3">
      <c r="C89" s="171">
        <f t="shared" si="1"/>
        <v>43988</v>
      </c>
      <c r="E89" s="285">
        <v>377316</v>
      </c>
      <c r="F89" s="7"/>
      <c r="G89" s="7">
        <v>163893</v>
      </c>
      <c r="H89" s="7"/>
      <c r="I89" s="7">
        <v>43818</v>
      </c>
      <c r="J89" s="288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6">
        <f t="shared" si="11"/>
        <v>2023</v>
      </c>
      <c r="R89" s="6"/>
      <c r="S89" s="7">
        <f>30280+12106+4055</f>
        <v>46441</v>
      </c>
      <c r="T89" s="6"/>
      <c r="U89" s="287">
        <f t="shared" si="14"/>
        <v>7.9382660971203042E-2</v>
      </c>
      <c r="W89">
        <f t="shared" si="0"/>
        <v>79</v>
      </c>
      <c r="X89" s="56"/>
    </row>
    <row r="90" spans="3:25" x14ac:dyDescent="0.3">
      <c r="C90" s="171">
        <f t="shared" si="1"/>
        <v>43989</v>
      </c>
      <c r="E90" s="285">
        <v>378097</v>
      </c>
      <c r="F90" s="7"/>
      <c r="G90" s="7">
        <v>164164</v>
      </c>
      <c r="H90" s="7"/>
      <c r="I90" s="7">
        <v>43968</v>
      </c>
      <c r="J90" s="288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6">
        <f t="shared" si="11"/>
        <v>1202</v>
      </c>
      <c r="R90" s="6"/>
      <c r="S90" s="7">
        <f>30374+12176+4071</f>
        <v>46621</v>
      </c>
      <c r="T90" s="6"/>
      <c r="U90" s="287">
        <f t="shared" si="14"/>
        <v>7.9526942542931175E-2</v>
      </c>
      <c r="W90">
        <f t="shared" si="0"/>
        <v>80</v>
      </c>
    </row>
    <row r="91" spans="3:25" x14ac:dyDescent="0.3">
      <c r="C91" s="171">
        <f t="shared" si="1"/>
        <v>43990</v>
      </c>
      <c r="E91" s="285">
        <v>378799</v>
      </c>
      <c r="F91" s="7"/>
      <c r="G91" s="7">
        <v>164497</v>
      </c>
      <c r="H91" s="7"/>
      <c r="I91" s="7">
        <v>44093</v>
      </c>
      <c r="J91" s="288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6">
        <f t="shared" si="11"/>
        <v>1160</v>
      </c>
      <c r="R91" s="6"/>
      <c r="S91" s="7">
        <f>30417+12214+4084</f>
        <v>46715</v>
      </c>
      <c r="T91" s="6"/>
      <c r="U91" s="287">
        <f t="shared" si="14"/>
        <v>7.952991969546587E-2</v>
      </c>
      <c r="W91">
        <f t="shared" si="0"/>
        <v>81</v>
      </c>
    </row>
    <row r="92" spans="3:25" x14ac:dyDescent="0.3">
      <c r="C92" s="171">
        <f t="shared" si="1"/>
        <v>43991</v>
      </c>
      <c r="E92" s="285">
        <v>379482</v>
      </c>
      <c r="F92" s="7"/>
      <c r="G92" s="7">
        <v>164796</v>
      </c>
      <c r="H92" s="7"/>
      <c r="I92" s="7">
        <v>44179</v>
      </c>
      <c r="J92" s="288"/>
      <c r="K92" s="7">
        <f t="shared" si="12"/>
        <v>588457</v>
      </c>
      <c r="L92" s="6"/>
      <c r="M92" s="475">
        <f t="shared" si="13"/>
        <v>1.8182158671680947E-3</v>
      </c>
      <c r="N92" s="29"/>
      <c r="O92" s="29"/>
      <c r="P92" s="29"/>
      <c r="Q92" s="376">
        <f t="shared" si="11"/>
        <v>1068</v>
      </c>
      <c r="R92" s="6"/>
      <c r="S92" s="7">
        <f>30458+12303+4097</f>
        <v>46858</v>
      </c>
      <c r="T92" s="6"/>
      <c r="U92" s="287">
        <f t="shared" si="14"/>
        <v>7.9628587985188376E-2</v>
      </c>
      <c r="W92">
        <f t="shared" si="0"/>
        <v>82</v>
      </c>
    </row>
    <row r="93" spans="3:25" x14ac:dyDescent="0.3">
      <c r="C93" s="171">
        <f t="shared" si="1"/>
        <v>43992</v>
      </c>
      <c r="E93" s="285">
        <v>380156</v>
      </c>
      <c r="F93" s="7"/>
      <c r="G93" s="7">
        <v>165346</v>
      </c>
      <c r="H93" s="7"/>
      <c r="I93" s="7">
        <v>44347</v>
      </c>
      <c r="J93" s="288"/>
      <c r="K93" s="7">
        <f t="shared" si="12"/>
        <v>589849</v>
      </c>
      <c r="L93" s="6"/>
      <c r="M93" s="475">
        <f t="shared" si="13"/>
        <v>2.3655084398690133E-3</v>
      </c>
      <c r="N93" s="29"/>
      <c r="O93" s="29"/>
      <c r="P93" s="29"/>
      <c r="Q93" s="376">
        <f t="shared" si="11"/>
        <v>1392</v>
      </c>
      <c r="R93" s="6"/>
      <c r="S93" s="7">
        <f>30458+12303+4097</f>
        <v>46858</v>
      </c>
      <c r="T93" s="6"/>
      <c r="U93" s="287">
        <f t="shared" si="14"/>
        <v>7.9440670408867348E-2</v>
      </c>
      <c r="W93">
        <f t="shared" si="0"/>
        <v>83</v>
      </c>
    </row>
    <row r="94" spans="3:25" x14ac:dyDescent="0.3">
      <c r="C94" s="171">
        <f t="shared" si="1"/>
        <v>43993</v>
      </c>
      <c r="E94" s="285">
        <v>380892</v>
      </c>
      <c r="F94" s="7"/>
      <c r="G94" s="7">
        <v>165816</v>
      </c>
      <c r="H94" s="7"/>
      <c r="I94" s="7">
        <v>44461</v>
      </c>
      <c r="J94" s="288"/>
      <c r="K94" s="7">
        <f t="shared" si="12"/>
        <v>591169</v>
      </c>
      <c r="L94" s="6"/>
      <c r="M94" s="475">
        <f t="shared" si="13"/>
        <v>2.237860876258161E-3</v>
      </c>
      <c r="N94" s="29"/>
      <c r="O94" s="29"/>
      <c r="P94" s="29"/>
      <c r="Q94" s="376">
        <f t="shared" si="11"/>
        <v>1320</v>
      </c>
      <c r="R94" s="6"/>
      <c r="S94" s="7">
        <f>30575+12443+4148</f>
        <v>47166</v>
      </c>
      <c r="T94" s="6"/>
      <c r="U94" s="287">
        <f t="shared" si="14"/>
        <v>7.9784291801498389E-2</v>
      </c>
      <c r="W94">
        <f t="shared" si="0"/>
        <v>84</v>
      </c>
    </row>
    <row r="95" spans="3:25" x14ac:dyDescent="0.3">
      <c r="C95" s="171">
        <f t="shared" si="1"/>
        <v>43994</v>
      </c>
      <c r="E95" s="285">
        <v>381714</v>
      </c>
      <c r="F95" s="7"/>
      <c r="G95" s="7">
        <v>166164</v>
      </c>
      <c r="H95" s="7"/>
      <c r="I95" s="7">
        <v>44689</v>
      </c>
      <c r="J95" s="288"/>
      <c r="K95" s="7">
        <f t="shared" si="12"/>
        <v>592567</v>
      </c>
      <c r="L95" s="6"/>
      <c r="M95" s="475">
        <f t="shared" si="13"/>
        <v>2.3648060030211325E-3</v>
      </c>
      <c r="N95" s="29"/>
      <c r="O95" s="29"/>
      <c r="P95" s="29"/>
      <c r="Q95" s="376">
        <f t="shared" si="11"/>
        <v>1398</v>
      </c>
      <c r="R95" s="6"/>
      <c r="S95" s="7">
        <f>30758+12489+4159</f>
        <v>47406</v>
      </c>
      <c r="T95" s="6"/>
      <c r="U95" s="287">
        <f t="shared" si="14"/>
        <v>8.000108004664451E-2</v>
      </c>
      <c r="W95">
        <f t="shared" si="0"/>
        <v>85</v>
      </c>
    </row>
    <row r="96" spans="3:25" x14ac:dyDescent="0.3">
      <c r="C96" s="171">
        <f t="shared" si="1"/>
        <v>43995</v>
      </c>
      <c r="E96" s="285">
        <v>382630</v>
      </c>
      <c r="F96" s="7"/>
      <c r="G96" s="7">
        <v>166605</v>
      </c>
      <c r="H96" s="7"/>
      <c r="I96" s="7">
        <v>44994</v>
      </c>
      <c r="J96" s="288"/>
      <c r="K96" s="7">
        <f t="shared" si="12"/>
        <v>594229</v>
      </c>
      <c r="L96" s="6"/>
      <c r="M96" s="475">
        <f t="shared" si="13"/>
        <v>2.804746129973488E-3</v>
      </c>
      <c r="N96" s="29"/>
      <c r="O96" s="29"/>
      <c r="P96" s="29"/>
      <c r="Q96" s="376">
        <f t="shared" si="11"/>
        <v>1662</v>
      </c>
      <c r="R96" s="6"/>
      <c r="S96" s="7">
        <f>30795+12621+4186</f>
        <v>47602</v>
      </c>
      <c r="T96" s="6"/>
      <c r="U96" s="287">
        <f t="shared" si="14"/>
        <v>8.010716407310986E-2</v>
      </c>
      <c r="W96">
        <f t="shared" si="0"/>
        <v>86</v>
      </c>
      <c r="Y96" s="56"/>
    </row>
    <row r="97" spans="3:25" x14ac:dyDescent="0.3">
      <c r="C97" s="171">
        <f t="shared" si="1"/>
        <v>43996</v>
      </c>
      <c r="E97" s="285">
        <v>383324</v>
      </c>
      <c r="F97" s="7"/>
      <c r="G97" s="7">
        <v>166881</v>
      </c>
      <c r="H97" s="7"/>
      <c r="I97" s="7">
        <v>45088</v>
      </c>
      <c r="J97" s="288"/>
      <c r="K97" s="7">
        <f t="shared" si="12"/>
        <v>595293</v>
      </c>
      <c r="L97" s="6"/>
      <c r="M97" s="475">
        <f t="shared" si="13"/>
        <v>1.7905554929160308E-3</v>
      </c>
      <c r="N97" s="29"/>
      <c r="O97" s="29"/>
      <c r="P97" s="29"/>
      <c r="Q97" s="376">
        <f t="shared" si="11"/>
        <v>1064</v>
      </c>
      <c r="R97" s="6"/>
      <c r="S97" s="7">
        <f>30825+12659+4201</f>
        <v>47685</v>
      </c>
      <c r="T97" s="6"/>
      <c r="U97" s="287">
        <f t="shared" si="14"/>
        <v>8.010341126134525E-2</v>
      </c>
      <c r="W97">
        <f t="shared" si="0"/>
        <v>87</v>
      </c>
      <c r="Y97" s="56"/>
    </row>
    <row r="98" spans="3:25" x14ac:dyDescent="0.3">
      <c r="C98" s="171">
        <f t="shared" ref="C98:C136" si="15">+C97+1</f>
        <v>43997</v>
      </c>
      <c r="E98" s="285">
        <v>383944</v>
      </c>
      <c r="F98" s="7"/>
      <c r="G98" s="7">
        <v>167106</v>
      </c>
      <c r="H98" s="7"/>
      <c r="I98" s="7">
        <v>45235</v>
      </c>
      <c r="J98" s="288"/>
      <c r="K98" s="7">
        <f t="shared" ref="K98:K109" si="16">SUM(E98:I98)</f>
        <v>596285</v>
      </c>
      <c r="L98" s="6"/>
      <c r="M98" s="475">
        <f t="shared" ref="M98:M109" si="17">+(K98-K97)/K97</f>
        <v>1.6664062906837473E-3</v>
      </c>
      <c r="N98" s="29"/>
      <c r="O98" s="29"/>
      <c r="P98" s="29"/>
      <c r="Q98" s="376">
        <f t="shared" ref="Q98:Q109" si="18">+K98-K97</f>
        <v>992</v>
      </c>
      <c r="R98" s="6"/>
      <c r="S98" s="7">
        <f>30856+12708+4204</f>
        <v>47768</v>
      </c>
      <c r="T98" s="6"/>
      <c r="U98" s="287">
        <f t="shared" ref="U98:U109" si="19">+S98/K98</f>
        <v>8.0109343686324497E-2</v>
      </c>
      <c r="W98">
        <f t="shared" ref="W98:W136" si="20">+W97+1</f>
        <v>88</v>
      </c>
      <c r="Y98" s="56"/>
    </row>
    <row r="99" spans="3:25" x14ac:dyDescent="0.3">
      <c r="C99" s="171">
        <f t="shared" si="15"/>
        <v>43998</v>
      </c>
      <c r="E99" s="285">
        <v>384475</v>
      </c>
      <c r="F99" s="7"/>
      <c r="G99" s="7">
        <v>167426</v>
      </c>
      <c r="H99" s="7"/>
      <c r="I99" s="7">
        <v>45349</v>
      </c>
      <c r="J99" s="288"/>
      <c r="K99" s="7">
        <f t="shared" si="16"/>
        <v>597250</v>
      </c>
      <c r="L99" s="6"/>
      <c r="M99" s="475">
        <f t="shared" si="17"/>
        <v>1.6183536396186388E-3</v>
      </c>
      <c r="N99" s="29"/>
      <c r="O99" s="29"/>
      <c r="P99" s="29"/>
      <c r="Q99" s="376">
        <f t="shared" si="18"/>
        <v>965</v>
      </c>
      <c r="R99" s="6"/>
      <c r="S99" s="7">
        <f>30882+12792+4210</f>
        <v>47884</v>
      </c>
      <c r="T99" s="6"/>
      <c r="U99" s="287">
        <f t="shared" si="19"/>
        <v>8.017413143574717E-2</v>
      </c>
      <c r="W99">
        <f t="shared" si="20"/>
        <v>89</v>
      </c>
      <c r="Y99" s="56"/>
    </row>
    <row r="100" spans="3:25" x14ac:dyDescent="0.3">
      <c r="C100" s="171">
        <f t="shared" si="15"/>
        <v>43999</v>
      </c>
      <c r="E100" s="285">
        <v>385042</v>
      </c>
      <c r="F100" s="7"/>
      <c r="G100" s="7">
        <v>167703</v>
      </c>
      <c r="H100" s="7"/>
      <c r="I100" s="7">
        <v>45429</v>
      </c>
      <c r="J100" s="288"/>
      <c r="K100" s="7">
        <f t="shared" si="16"/>
        <v>598174</v>
      </c>
      <c r="L100" s="6"/>
      <c r="M100" s="475">
        <f t="shared" si="17"/>
        <v>1.5470908329845124E-3</v>
      </c>
      <c r="N100" s="29"/>
      <c r="O100" s="29"/>
      <c r="P100" s="29"/>
      <c r="Q100" s="376">
        <f t="shared" si="18"/>
        <v>924</v>
      </c>
      <c r="R100" s="6"/>
      <c r="S100" s="7">
        <f>30939+12835+4219</f>
        <v>47993</v>
      </c>
      <c r="T100" s="6"/>
      <c r="U100" s="287">
        <f t="shared" si="19"/>
        <v>8.0232507598123629E-2</v>
      </c>
      <c r="W100">
        <f t="shared" si="20"/>
        <v>90</v>
      </c>
      <c r="Y100" s="56"/>
    </row>
    <row r="101" spans="3:25" x14ac:dyDescent="0.3">
      <c r="C101" s="171">
        <f t="shared" si="15"/>
        <v>44000</v>
      </c>
      <c r="E101" s="285">
        <v>385560</v>
      </c>
      <c r="F101" s="7"/>
      <c r="G101" s="7">
        <v>168067</v>
      </c>
      <c r="H101" s="7"/>
      <c r="I101" s="7">
        <v>45440</v>
      </c>
      <c r="J101" s="288"/>
      <c r="K101" s="7">
        <f t="shared" si="16"/>
        <v>599067</v>
      </c>
      <c r="L101" s="6"/>
      <c r="M101" s="475">
        <f t="shared" si="17"/>
        <v>1.4928766546188901E-3</v>
      </c>
      <c r="N101" s="29"/>
      <c r="O101" s="29"/>
      <c r="P101" s="29"/>
      <c r="Q101" s="376">
        <f t="shared" si="18"/>
        <v>893</v>
      </c>
      <c r="R101" s="6"/>
      <c r="S101" s="7">
        <f>30974+12869+4226</f>
        <v>48069</v>
      </c>
      <c r="T101" s="6"/>
      <c r="U101" s="287">
        <f t="shared" si="19"/>
        <v>8.0239772846776733E-2</v>
      </c>
      <c r="W101">
        <f t="shared" si="20"/>
        <v>91</v>
      </c>
      <c r="Y101" s="56"/>
    </row>
    <row r="102" spans="3:25" x14ac:dyDescent="0.3">
      <c r="C102" s="171">
        <f t="shared" si="15"/>
        <v>44001</v>
      </c>
      <c r="E102" s="285">
        <v>386556</v>
      </c>
      <c r="F102" s="7"/>
      <c r="G102" s="7">
        <v>168496</v>
      </c>
      <c r="H102" s="7"/>
      <c r="I102" s="7">
        <v>45557</v>
      </c>
      <c r="J102" s="288"/>
      <c r="K102" s="7">
        <f t="shared" si="16"/>
        <v>600609</v>
      </c>
      <c r="L102" s="6"/>
      <c r="M102" s="475">
        <f t="shared" si="17"/>
        <v>2.5740025740025739E-3</v>
      </c>
      <c r="N102" s="29"/>
      <c r="O102" s="29"/>
      <c r="P102" s="29"/>
      <c r="Q102" s="376">
        <f t="shared" si="18"/>
        <v>1542</v>
      </c>
      <c r="R102" s="6"/>
      <c r="S102" s="7">
        <f>31015+12902+4238</f>
        <v>48155</v>
      </c>
      <c r="T102" s="6"/>
      <c r="U102" s="287">
        <f t="shared" si="19"/>
        <v>8.0176953725302147E-2</v>
      </c>
      <c r="W102">
        <f t="shared" si="20"/>
        <v>92</v>
      </c>
      <c r="Y102" s="56"/>
    </row>
    <row r="103" spans="3:25" x14ac:dyDescent="0.3">
      <c r="C103" s="171">
        <f t="shared" si="15"/>
        <v>44002</v>
      </c>
      <c r="E103" s="285">
        <v>387272</v>
      </c>
      <c r="F103" s="7"/>
      <c r="G103" s="7">
        <v>168834</v>
      </c>
      <c r="H103" s="7"/>
      <c r="I103" s="7">
        <v>45715</v>
      </c>
      <c r="J103" s="288"/>
      <c r="K103" s="7">
        <f t="shared" si="16"/>
        <v>601821</v>
      </c>
      <c r="L103" s="6"/>
      <c r="M103" s="475">
        <f t="shared" si="17"/>
        <v>2.0179517789443713E-3</v>
      </c>
      <c r="N103" s="29"/>
      <c r="O103" s="29"/>
      <c r="P103" s="29"/>
      <c r="Q103" s="376">
        <f t="shared" si="18"/>
        <v>1212</v>
      </c>
      <c r="R103" s="6"/>
      <c r="S103" s="7">
        <f>31083+12924+4251</f>
        <v>48258</v>
      </c>
      <c r="T103" s="6"/>
      <c r="U103" s="287">
        <f t="shared" si="19"/>
        <v>8.0186633567123786E-2</v>
      </c>
      <c r="W103">
        <f t="shared" si="20"/>
        <v>93</v>
      </c>
      <c r="Y103" s="56"/>
    </row>
    <row r="104" spans="3:25" x14ac:dyDescent="0.3">
      <c r="C104" s="171">
        <f t="shared" si="15"/>
        <v>44003</v>
      </c>
      <c r="E104" s="285">
        <v>387936</v>
      </c>
      <c r="F104" s="7"/>
      <c r="G104" s="7">
        <v>169142</v>
      </c>
      <c r="H104" s="7"/>
      <c r="I104" s="7">
        <v>45755</v>
      </c>
      <c r="J104" s="288"/>
      <c r="K104" s="7">
        <f t="shared" si="16"/>
        <v>602833</v>
      </c>
      <c r="L104" s="6"/>
      <c r="M104" s="475">
        <f t="shared" si="17"/>
        <v>1.6815631225896072E-3</v>
      </c>
      <c r="N104" s="29"/>
      <c r="O104" s="29"/>
      <c r="P104" s="29"/>
      <c r="Q104" s="376">
        <f t="shared" si="18"/>
        <v>1012</v>
      </c>
      <c r="R104" s="6"/>
      <c r="S104" s="7">
        <f>31083+12924+4251</f>
        <v>48258</v>
      </c>
      <c r="T104" s="6"/>
      <c r="U104" s="287">
        <f t="shared" si="19"/>
        <v>8.0052021040653051E-2</v>
      </c>
      <c r="W104">
        <f t="shared" si="20"/>
        <v>94</v>
      </c>
      <c r="Y104" s="56"/>
    </row>
    <row r="105" spans="3:25" x14ac:dyDescent="0.3">
      <c r="C105" s="171">
        <f t="shared" si="15"/>
        <v>44004</v>
      </c>
      <c r="E105" s="285">
        <v>388488</v>
      </c>
      <c r="F105" s="7"/>
      <c r="G105" s="7">
        <v>169415</v>
      </c>
      <c r="H105" s="7"/>
      <c r="I105" s="7">
        <v>45782</v>
      </c>
      <c r="J105" s="288"/>
      <c r="K105" s="7">
        <f t="shared" si="16"/>
        <v>603685</v>
      </c>
      <c r="L105" s="6"/>
      <c r="M105" s="475">
        <f t="shared" si="17"/>
        <v>1.4133267422320941E-3</v>
      </c>
      <c r="N105" s="29"/>
      <c r="O105" s="29"/>
      <c r="P105" s="29"/>
      <c r="Q105" s="376">
        <f t="shared" si="18"/>
        <v>852</v>
      </c>
      <c r="R105" s="6"/>
      <c r="S105" s="7">
        <f>31125+12939+4260</f>
        <v>48324</v>
      </c>
      <c r="T105" s="6"/>
      <c r="U105" s="287">
        <f t="shared" si="19"/>
        <v>8.0048369596726773E-2</v>
      </c>
      <c r="W105">
        <f t="shared" si="20"/>
        <v>95</v>
      </c>
      <c r="Y105" s="56"/>
    </row>
    <row r="106" spans="3:25" x14ac:dyDescent="0.3">
      <c r="C106" s="171">
        <f t="shared" si="15"/>
        <v>44005</v>
      </c>
      <c r="E106" s="285">
        <v>389085</v>
      </c>
      <c r="F106" s="7"/>
      <c r="G106" s="7">
        <v>169734</v>
      </c>
      <c r="H106" s="7"/>
      <c r="I106" s="7">
        <v>45899</v>
      </c>
      <c r="J106" s="288"/>
      <c r="K106" s="7">
        <f t="shared" si="16"/>
        <v>604718</v>
      </c>
      <c r="L106" s="6"/>
      <c r="M106" s="475">
        <f t="shared" si="17"/>
        <v>1.7111573088614096E-3</v>
      </c>
      <c r="N106" s="29"/>
      <c r="O106" s="29"/>
      <c r="P106" s="29"/>
      <c r="Q106" s="376">
        <f t="shared" si="18"/>
        <v>1033</v>
      </c>
      <c r="R106" s="6"/>
      <c r="S106" s="7">
        <f>31232+13025+4277</f>
        <v>48534</v>
      </c>
      <c r="T106" s="6"/>
      <c r="U106" s="287">
        <f t="shared" si="19"/>
        <v>8.025889753571086E-2</v>
      </c>
      <c r="W106">
        <f t="shared" si="20"/>
        <v>96</v>
      </c>
      <c r="Y106" s="56"/>
    </row>
    <row r="107" spans="3:25" x14ac:dyDescent="0.3">
      <c r="C107" s="171">
        <f t="shared" si="15"/>
        <v>44006</v>
      </c>
      <c r="E107" s="285">
        <v>389666</v>
      </c>
      <c r="F107" s="7"/>
      <c r="G107" s="7">
        <v>169892</v>
      </c>
      <c r="H107" s="7"/>
      <c r="I107" s="7">
        <v>45913</v>
      </c>
      <c r="J107" s="288"/>
      <c r="K107" s="7">
        <f t="shared" si="16"/>
        <v>605471</v>
      </c>
      <c r="L107" s="6"/>
      <c r="M107" s="475">
        <f t="shared" si="17"/>
        <v>1.2452085104131183E-3</v>
      </c>
      <c r="N107" s="29"/>
      <c r="O107" s="29"/>
      <c r="P107" s="29"/>
      <c r="Q107" s="376">
        <f t="shared" si="18"/>
        <v>753</v>
      </c>
      <c r="R107" s="6"/>
      <c r="S107" s="7">
        <f>31257+13076+4287</f>
        <v>48620</v>
      </c>
      <c r="T107" s="6"/>
      <c r="U107" s="287">
        <f t="shared" si="19"/>
        <v>8.0301120945511839E-2</v>
      </c>
      <c r="W107">
        <f t="shared" si="20"/>
        <v>97</v>
      </c>
      <c r="Y107" s="56"/>
    </row>
    <row r="108" spans="3:25" x14ac:dyDescent="0.3">
      <c r="C108" s="171">
        <f t="shared" si="15"/>
        <v>44007</v>
      </c>
      <c r="E108" s="285">
        <v>390415</v>
      </c>
      <c r="F108" s="7"/>
      <c r="G108" s="7">
        <v>170186</v>
      </c>
      <c r="H108" s="7"/>
      <c r="I108" s="7">
        <v>45994</v>
      </c>
      <c r="J108" s="288"/>
      <c r="K108" s="7">
        <f t="shared" si="16"/>
        <v>606595</v>
      </c>
      <c r="L108" s="6"/>
      <c r="M108" s="475">
        <f t="shared" si="17"/>
        <v>1.8564060045815573E-3</v>
      </c>
      <c r="N108" s="29"/>
      <c r="O108" s="29"/>
      <c r="P108" s="29"/>
      <c r="Q108" s="376">
        <f t="shared" si="18"/>
        <v>1124</v>
      </c>
      <c r="R108" s="6"/>
      <c r="S108" s="7">
        <f>31301+14872+4208</f>
        <v>50381</v>
      </c>
      <c r="T108" s="6"/>
      <c r="U108" s="287">
        <f t="shared" si="19"/>
        <v>8.30554158870416E-2</v>
      </c>
      <c r="W108">
        <f t="shared" si="20"/>
        <v>98</v>
      </c>
      <c r="Y108" s="56"/>
    </row>
    <row r="109" spans="3:25" x14ac:dyDescent="0.3">
      <c r="C109" s="171">
        <f t="shared" si="15"/>
        <v>44008</v>
      </c>
      <c r="E109" s="285">
        <v>391220</v>
      </c>
      <c r="F109" s="7"/>
      <c r="G109" s="7">
        <v>170584</v>
      </c>
      <c r="H109" s="7"/>
      <c r="I109" s="7">
        <v>46059</v>
      </c>
      <c r="J109" s="288"/>
      <c r="K109" s="7">
        <f t="shared" si="16"/>
        <v>607863</v>
      </c>
      <c r="L109" s="6"/>
      <c r="M109" s="475">
        <f t="shared" si="17"/>
        <v>2.0903568278670282E-3</v>
      </c>
      <c r="N109" s="29"/>
      <c r="O109" s="29"/>
      <c r="P109" s="29"/>
      <c r="Q109" s="376">
        <f t="shared" si="18"/>
        <v>1268</v>
      </c>
      <c r="R109" s="6"/>
      <c r="S109" s="7">
        <f>31342+14915+4307</f>
        <v>50564</v>
      </c>
      <c r="T109" s="6"/>
      <c r="U109" s="287">
        <f t="shared" si="19"/>
        <v>8.3183217270996923E-2</v>
      </c>
      <c r="W109">
        <f t="shared" si="20"/>
        <v>99</v>
      </c>
      <c r="Y109" s="56"/>
    </row>
    <row r="110" spans="3:25" x14ac:dyDescent="0.3">
      <c r="C110" s="171">
        <f t="shared" si="15"/>
        <v>44009</v>
      </c>
      <c r="E110" s="285">
        <v>391323</v>
      </c>
      <c r="F110" s="7"/>
      <c r="G110" s="7">
        <v>170873</v>
      </c>
      <c r="H110" s="7"/>
      <c r="I110" s="7">
        <v>46206</v>
      </c>
      <c r="J110" s="288"/>
      <c r="K110" s="7">
        <f t="shared" ref="K110" si="21">SUM(E110:I110)</f>
        <v>608402</v>
      </c>
      <c r="L110" s="6"/>
      <c r="M110" s="475">
        <f t="shared" ref="M110" si="22">+(K110-K109)/K109</f>
        <v>8.8671295999262988E-4</v>
      </c>
      <c r="N110" s="29"/>
      <c r="O110" s="29"/>
      <c r="P110" s="29"/>
      <c r="Q110" s="376">
        <f t="shared" ref="Q110" si="23">+K110-K109</f>
        <v>539</v>
      </c>
      <c r="R110" s="6"/>
      <c r="S110" s="7">
        <f>31368+14984+4311</f>
        <v>50663</v>
      </c>
      <c r="T110" s="6"/>
      <c r="U110" s="287">
        <f t="shared" ref="U110" si="24">+S110/K110</f>
        <v>8.3272244338447279E-2</v>
      </c>
      <c r="W110">
        <f t="shared" si="20"/>
        <v>100</v>
      </c>
      <c r="Y110" s="56"/>
    </row>
    <row r="111" spans="3:25" x14ac:dyDescent="0.3">
      <c r="C111" s="171">
        <f t="shared" si="15"/>
        <v>44010</v>
      </c>
      <c r="E111" s="285">
        <v>392539</v>
      </c>
      <c r="F111" s="7"/>
      <c r="G111" s="7">
        <v>171182</v>
      </c>
      <c r="H111" s="7"/>
      <c r="I111" s="7">
        <v>46303</v>
      </c>
      <c r="J111" s="288"/>
      <c r="K111" s="7">
        <f t="shared" ref="K111" si="25">SUM(E111:I111)</f>
        <v>610024</v>
      </c>
      <c r="L111" s="6"/>
      <c r="M111" s="482">
        <f t="shared" ref="M111" si="26">+(K111-K110)/K110</f>
        <v>2.6660004404982234E-3</v>
      </c>
      <c r="N111" s="29"/>
      <c r="O111" s="29"/>
      <c r="P111" s="29"/>
      <c r="Q111" s="376">
        <f t="shared" ref="Q111" si="27">+K111-K110</f>
        <v>1622</v>
      </c>
      <c r="R111" s="6"/>
      <c r="S111" s="7">
        <f>31397+14975+4316</f>
        <v>50688</v>
      </c>
      <c r="T111" s="6"/>
      <c r="U111" s="287">
        <f t="shared" ref="U111" si="28">+S111/K111</f>
        <v>8.3091812781136476E-2</v>
      </c>
      <c r="W111">
        <f t="shared" si="20"/>
        <v>101</v>
      </c>
      <c r="Y111" s="56"/>
    </row>
    <row r="112" spans="3:25" x14ac:dyDescent="0.3">
      <c r="C112" s="171">
        <f t="shared" si="15"/>
        <v>44011</v>
      </c>
      <c r="E112" s="285">
        <v>393069</v>
      </c>
      <c r="F112" s="7"/>
      <c r="G112" s="7">
        <v>171272</v>
      </c>
      <c r="H112" s="7"/>
      <c r="I112" s="7">
        <v>46362</v>
      </c>
      <c r="J112" s="288"/>
      <c r="K112" s="7">
        <f t="shared" ref="K112" si="29">SUM(E112:I112)</f>
        <v>610703</v>
      </c>
      <c r="L112" s="6"/>
      <c r="M112" s="482">
        <f t="shared" ref="M112" si="30">+(K112-K111)/K111</f>
        <v>1.1130709611425124E-3</v>
      </c>
      <c r="N112" s="29"/>
      <c r="O112" s="29"/>
      <c r="P112" s="29"/>
      <c r="Q112" s="376">
        <f t="shared" ref="Q112" si="31">+K112-K111</f>
        <v>679</v>
      </c>
      <c r="R112" s="6"/>
      <c r="S112" s="7">
        <f>31403+14992+4320</f>
        <v>50715</v>
      </c>
      <c r="T112" s="6"/>
      <c r="U112" s="287">
        <f t="shared" ref="U112" si="32">+S112/K112</f>
        <v>8.3043639870771888E-2</v>
      </c>
      <c r="W112">
        <f t="shared" si="20"/>
        <v>102</v>
      </c>
      <c r="Y112" s="56"/>
    </row>
    <row r="113" spans="3:25" x14ac:dyDescent="0.3">
      <c r="C113" s="171">
        <f t="shared" si="15"/>
        <v>44012</v>
      </c>
      <c r="E113" s="285">
        <v>393254</v>
      </c>
      <c r="F113" s="7"/>
      <c r="G113" s="7">
        <v>171617</v>
      </c>
      <c r="H113" s="7"/>
      <c r="I113" s="7">
        <v>46474</v>
      </c>
      <c r="J113" s="288"/>
      <c r="K113" s="7">
        <f t="shared" ref="K113" si="33">SUM(E113:I113)</f>
        <v>611345</v>
      </c>
      <c r="L113" s="6"/>
      <c r="M113" s="482">
        <f t="shared" ref="M113" si="34">+(K113-K112)/K112</f>
        <v>1.0512474967373667E-3</v>
      </c>
      <c r="N113" s="29"/>
      <c r="O113" s="29"/>
      <c r="P113" s="29"/>
      <c r="Q113" s="376">
        <f t="shared" ref="Q113" si="35">+K113-K112</f>
        <v>642</v>
      </c>
      <c r="R113" s="6"/>
      <c r="S113" s="7">
        <f>32032+15035+4322</f>
        <v>51389</v>
      </c>
      <c r="T113" s="6"/>
      <c r="U113" s="287">
        <f t="shared" ref="U113" si="36">+S113/K113</f>
        <v>8.4058919268170995E-2</v>
      </c>
      <c r="W113">
        <f t="shared" si="20"/>
        <v>103</v>
      </c>
      <c r="Y113" s="56"/>
    </row>
    <row r="114" spans="3:25" x14ac:dyDescent="0.3">
      <c r="C114" s="171">
        <f t="shared" si="15"/>
        <v>44013</v>
      </c>
      <c r="E114" s="285">
        <v>394079</v>
      </c>
      <c r="F114" s="7"/>
      <c r="G114" s="7">
        <v>171928</v>
      </c>
      <c r="H114" s="7"/>
      <c r="I114" s="7">
        <v>46572</v>
      </c>
      <c r="J114" s="288"/>
      <c r="K114" s="7">
        <f t="shared" ref="K114:K115" si="37">SUM(E114:I114)</f>
        <v>612579</v>
      </c>
      <c r="L114" s="6"/>
      <c r="M114" s="482">
        <f t="shared" ref="M114" si="38">+(K114-K113)/K113</f>
        <v>2.0185001921991675E-3</v>
      </c>
      <c r="N114" s="29"/>
      <c r="O114" s="29"/>
      <c r="P114" s="29"/>
      <c r="Q114" s="376">
        <f t="shared" ref="Q114" si="39">+K114-K113</f>
        <v>1234</v>
      </c>
      <c r="R114" s="6"/>
      <c r="S114" s="7">
        <f>32043+15078+4324</f>
        <v>51445</v>
      </c>
      <c r="T114" s="6"/>
      <c r="U114" s="287">
        <f t="shared" ref="U114" si="40">+S114/K114</f>
        <v>8.3981004898959974E-2</v>
      </c>
      <c r="W114">
        <f t="shared" si="20"/>
        <v>104</v>
      </c>
      <c r="Y114" s="56"/>
    </row>
    <row r="115" spans="3:25" x14ac:dyDescent="0.3">
      <c r="C115" s="171">
        <f t="shared" si="15"/>
        <v>44014</v>
      </c>
      <c r="E115" s="285">
        <v>394954</v>
      </c>
      <c r="F115" s="7"/>
      <c r="G115" s="7">
        <v>172356</v>
      </c>
      <c r="H115" s="7"/>
      <c r="I115" s="7">
        <v>46646</v>
      </c>
      <c r="J115" s="288"/>
      <c r="K115" s="7">
        <f t="shared" si="37"/>
        <v>613956</v>
      </c>
      <c r="L115" s="6"/>
      <c r="M115" s="482">
        <f t="shared" ref="M115" si="41">+(K115-K114)/K114</f>
        <v>2.2478733355208065E-3</v>
      </c>
      <c r="N115" s="29"/>
      <c r="O115" s="29"/>
      <c r="P115" s="29"/>
      <c r="Q115" s="376">
        <f t="shared" ref="Q115" si="42">+K115-K114</f>
        <v>1377</v>
      </c>
      <c r="R115" s="6"/>
      <c r="S115" s="7">
        <f>32064+15107+4328</f>
        <v>51499</v>
      </c>
      <c r="T115" s="6"/>
      <c r="U115" s="287">
        <f t="shared" ref="U115" si="43">+S115/K115</f>
        <v>8.3880603821772245E-2</v>
      </c>
      <c r="W115">
        <f t="shared" si="20"/>
        <v>105</v>
      </c>
      <c r="Y115" s="56"/>
    </row>
    <row r="116" spans="3:25" x14ac:dyDescent="0.3">
      <c r="C116" s="171">
        <f t="shared" si="15"/>
        <v>44015</v>
      </c>
      <c r="E116" s="285">
        <v>395872</v>
      </c>
      <c r="F116" s="7"/>
      <c r="G116" s="7">
        <v>172742</v>
      </c>
      <c r="H116" s="7"/>
      <c r="I116" s="7">
        <v>46717</v>
      </c>
      <c r="J116" s="288"/>
      <c r="K116" s="7">
        <f t="shared" ref="K116" si="44">SUM(E116:I116)</f>
        <v>615331</v>
      </c>
      <c r="L116" s="6"/>
      <c r="M116" s="482">
        <f t="shared" ref="M116" si="45">+(K116-K115)/K115</f>
        <v>2.2395741714389956E-3</v>
      </c>
      <c r="N116" s="29"/>
      <c r="O116" s="29"/>
      <c r="P116" s="29"/>
      <c r="Q116" s="376">
        <f t="shared" ref="Q116" si="46">+K116-K115</f>
        <v>1375</v>
      </c>
      <c r="R116" s="6"/>
      <c r="S116" s="7">
        <f>32081+15164+4335</f>
        <v>51580</v>
      </c>
      <c r="T116" s="6"/>
      <c r="U116" s="287">
        <f t="shared" ref="U116" si="47">+S116/K116</f>
        <v>8.3824803235981932E-2</v>
      </c>
      <c r="W116">
        <f t="shared" si="20"/>
        <v>106</v>
      </c>
      <c r="Y116" s="56"/>
    </row>
    <row r="117" spans="3:25" x14ac:dyDescent="0.3">
      <c r="C117" s="171">
        <f t="shared" si="15"/>
        <v>44016</v>
      </c>
      <c r="E117" s="285">
        <v>395598</v>
      </c>
      <c r="F117" s="7"/>
      <c r="G117" s="7">
        <v>173033</v>
      </c>
      <c r="H117" s="7"/>
      <c r="I117" s="7">
        <v>46717</v>
      </c>
      <c r="J117" s="288"/>
      <c r="K117" s="7">
        <f t="shared" ref="K117" si="48">SUM(E117:I117)</f>
        <v>615348</v>
      </c>
      <c r="L117" s="6"/>
      <c r="M117" s="482">
        <f t="shared" ref="M117" si="49">+(K117-K116)/K116</f>
        <v>2.7627407037838173E-5</v>
      </c>
      <c r="N117" s="29"/>
      <c r="O117" s="29"/>
      <c r="P117" s="29"/>
      <c r="Q117" s="376">
        <f t="shared" ref="Q117" si="50">+K117-K116</f>
        <v>17</v>
      </c>
      <c r="R117" s="6"/>
      <c r="S117" s="7">
        <f>32157+15189+4355</f>
        <v>51701</v>
      </c>
      <c r="T117" s="6"/>
      <c r="U117" s="287">
        <f t="shared" ref="U117" si="51">+S117/K117</f>
        <v>8.4019124137886203E-2</v>
      </c>
      <c r="W117">
        <f t="shared" si="20"/>
        <v>107</v>
      </c>
      <c r="Y117" s="56"/>
    </row>
    <row r="118" spans="3:25" x14ac:dyDescent="0.3">
      <c r="C118" s="171">
        <f t="shared" si="15"/>
        <v>44017</v>
      </c>
      <c r="E118" s="285">
        <v>397131</v>
      </c>
      <c r="F118" s="7"/>
      <c r="G118" s="7">
        <v>173402</v>
      </c>
      <c r="H118" s="7"/>
      <c r="I118" s="7">
        <v>46717</v>
      </c>
      <c r="J118" s="288"/>
      <c r="K118" s="7">
        <f t="shared" ref="K118" si="52">SUM(E118:I118)</f>
        <v>617250</v>
      </c>
      <c r="L118" s="6"/>
      <c r="M118" s="482">
        <f t="shared" ref="M118" si="53">+(K118-K117)/K117</f>
        <v>3.0909339105676787E-3</v>
      </c>
      <c r="N118" s="29"/>
      <c r="O118" s="29"/>
      <c r="P118" s="29"/>
      <c r="Q118" s="376">
        <f t="shared" ref="Q118" si="54">+K118-K117</f>
        <v>1902</v>
      </c>
      <c r="R118" s="6"/>
      <c r="S118" s="7">
        <f>32189+15211+4335</f>
        <v>51735</v>
      </c>
      <c r="T118" s="6"/>
      <c r="U118" s="287">
        <f t="shared" ref="U118" si="55">+S118/K118</f>
        <v>8.3815309842041316E-2</v>
      </c>
      <c r="W118">
        <f t="shared" si="20"/>
        <v>108</v>
      </c>
      <c r="Y118" s="56"/>
    </row>
    <row r="119" spans="3:25" x14ac:dyDescent="0.3">
      <c r="C119" s="171">
        <f t="shared" si="15"/>
        <v>44018</v>
      </c>
      <c r="E119" s="285">
        <v>397649</v>
      </c>
      <c r="F119" s="7"/>
      <c r="G119" s="7">
        <v>173611</v>
      </c>
      <c r="H119" s="7"/>
      <c r="I119" s="7">
        <v>46976</v>
      </c>
      <c r="J119" s="288"/>
      <c r="K119" s="7">
        <f t="shared" ref="K119" si="56">SUM(E119:I119)</f>
        <v>618236</v>
      </c>
      <c r="L119" s="6"/>
      <c r="M119" s="482">
        <f t="shared" ref="M119" si="57">+(K119-K118)/K118</f>
        <v>1.5974078574321588E-3</v>
      </c>
      <c r="N119" s="29"/>
      <c r="O119" s="29"/>
      <c r="P119" s="29"/>
      <c r="Q119" s="376">
        <f t="shared" ref="Q119" si="58">+K119-K118</f>
        <v>986</v>
      </c>
      <c r="R119" s="6"/>
      <c r="S119" s="7">
        <f>32219+15229+4388</f>
        <v>51836</v>
      </c>
      <c r="T119" s="6"/>
      <c r="U119" s="287">
        <f t="shared" ref="U119" si="59">+S119/K119</f>
        <v>8.3845004173163651E-2</v>
      </c>
      <c r="W119">
        <f t="shared" si="20"/>
        <v>109</v>
      </c>
      <c r="Y119" s="56"/>
    </row>
    <row r="120" spans="3:25" x14ac:dyDescent="0.3">
      <c r="C120" s="171">
        <f t="shared" si="15"/>
        <v>44019</v>
      </c>
      <c r="E120" s="285">
        <v>398237</v>
      </c>
      <c r="F120" s="7"/>
      <c r="G120" s="7">
        <v>173878</v>
      </c>
      <c r="H120" s="7"/>
      <c r="I120" s="7">
        <v>47033</v>
      </c>
      <c r="J120" s="288"/>
      <c r="K120" s="7">
        <f t="shared" ref="K120" si="60">SUM(E120:I120)</f>
        <v>619148</v>
      </c>
      <c r="L120" s="6"/>
      <c r="M120" s="482">
        <f t="shared" ref="M120" si="61">+(K120-K119)/K119</f>
        <v>1.4751648237889738E-3</v>
      </c>
      <c r="N120" s="29"/>
      <c r="O120" s="29"/>
      <c r="P120" s="29"/>
      <c r="Q120" s="376">
        <f t="shared" ref="Q120" si="62">+K120-K119</f>
        <v>912</v>
      </c>
      <c r="R120" s="6"/>
      <c r="S120" s="7">
        <f>32243+15281+4338</f>
        <v>51862</v>
      </c>
      <c r="T120" s="6"/>
      <c r="U120" s="287">
        <f t="shared" ref="U120" si="63">+S120/K120</f>
        <v>8.3763494350300741E-2</v>
      </c>
      <c r="W120">
        <f t="shared" si="20"/>
        <v>110</v>
      </c>
      <c r="Y120" s="56"/>
    </row>
    <row r="121" spans="3:25" x14ac:dyDescent="0.3">
      <c r="C121" s="171">
        <f t="shared" si="15"/>
        <v>44020</v>
      </c>
      <c r="E121" s="285">
        <f>398909</f>
        <v>398909</v>
      </c>
      <c r="F121" s="7"/>
      <c r="G121" s="7">
        <v>174039</v>
      </c>
      <c r="H121" s="7"/>
      <c r="I121" s="7">
        <v>47108</v>
      </c>
      <c r="J121" s="288"/>
      <c r="K121" s="7">
        <f t="shared" ref="K121" si="64">SUM(E121:I121)</f>
        <v>620056</v>
      </c>
      <c r="L121" s="6"/>
      <c r="M121" s="482">
        <f t="shared" ref="M121" si="65">+(K121-K120)/K120</f>
        <v>1.4665314270578278E-3</v>
      </c>
      <c r="N121" s="29"/>
      <c r="O121" s="29"/>
      <c r="P121" s="29"/>
      <c r="Q121" s="376">
        <f t="shared" ref="Q121" si="66">+K121-K120</f>
        <v>908</v>
      </c>
      <c r="R121" s="6"/>
      <c r="S121" s="7">
        <f>32251+15332+4343</f>
        <v>51926</v>
      </c>
      <c r="T121" s="6"/>
      <c r="U121" s="287">
        <f t="shared" ref="U121" si="67">+S121/K121</f>
        <v>8.3744048924613262E-2</v>
      </c>
      <c r="W121">
        <f t="shared" si="20"/>
        <v>111</v>
      </c>
      <c r="Y121" s="56"/>
    </row>
    <row r="122" spans="3:25" x14ac:dyDescent="0.3">
      <c r="C122" s="171">
        <f t="shared" si="15"/>
        <v>44021</v>
      </c>
      <c r="E122" s="285">
        <v>399477</v>
      </c>
      <c r="F122" s="7"/>
      <c r="G122" s="7">
        <v>174270</v>
      </c>
      <c r="H122" s="7"/>
      <c r="I122" s="7">
        <v>47209</v>
      </c>
      <c r="J122" s="288"/>
      <c r="K122" s="7">
        <f t="shared" ref="K122" si="68">SUM(E122:I122)</f>
        <v>620956</v>
      </c>
      <c r="L122" s="6"/>
      <c r="M122" s="482">
        <f t="shared" ref="M122" si="69">+(K122-K121)/K121</f>
        <v>1.4514818016437224E-3</v>
      </c>
      <c r="N122" s="29"/>
      <c r="O122" s="29"/>
      <c r="P122" s="29"/>
      <c r="Q122" s="376">
        <f t="shared" ref="Q122" si="70">+K122-K121</f>
        <v>900</v>
      </c>
      <c r="R122" s="6"/>
      <c r="S122" s="7">
        <f>32283+15448+4348</f>
        <v>52079</v>
      </c>
      <c r="T122" s="6"/>
      <c r="U122" s="287">
        <f t="shared" ref="U122" si="71">+S122/K122</f>
        <v>8.3869066407281673E-2</v>
      </c>
      <c r="W122">
        <f t="shared" si="20"/>
        <v>112</v>
      </c>
      <c r="Y122" s="56"/>
    </row>
    <row r="123" spans="3:25" x14ac:dyDescent="0.3">
      <c r="C123" s="171">
        <f t="shared" si="15"/>
        <v>44022</v>
      </c>
      <c r="E123" s="285">
        <v>400299</v>
      </c>
      <c r="F123" s="7"/>
      <c r="G123" s="7">
        <v>174628</v>
      </c>
      <c r="H123" s="7"/>
      <c r="I123" s="7">
        <v>47287</v>
      </c>
      <c r="J123" s="288"/>
      <c r="K123" s="7">
        <f t="shared" ref="K123" si="72">SUM(E123:I123)</f>
        <v>622214</v>
      </c>
      <c r="L123" s="6"/>
      <c r="M123" s="482">
        <f t="shared" ref="M123" si="73">+(K123-K122)/K122</f>
        <v>2.0259084379569566E-3</v>
      </c>
      <c r="N123" s="29"/>
      <c r="O123" s="29"/>
      <c r="P123" s="29"/>
      <c r="Q123" s="376">
        <f t="shared" ref="Q123" si="74">+K123-K122</f>
        <v>1258</v>
      </c>
      <c r="R123" s="6"/>
      <c r="S123" s="7">
        <f>32307+15479+4348</f>
        <v>52134</v>
      </c>
      <c r="T123" s="6"/>
      <c r="U123" s="287">
        <f t="shared" ref="U123" si="75">+S123/K123</f>
        <v>8.378789291144205E-2</v>
      </c>
      <c r="W123">
        <f t="shared" si="20"/>
        <v>113</v>
      </c>
      <c r="Y123" s="56"/>
    </row>
    <row r="124" spans="3:25" x14ac:dyDescent="0.3">
      <c r="C124" s="171">
        <f t="shared" si="15"/>
        <v>44023</v>
      </c>
      <c r="E124" s="285">
        <v>401029</v>
      </c>
      <c r="F124" s="7"/>
      <c r="G124" s="7">
        <v>174959</v>
      </c>
      <c r="H124" s="7"/>
      <c r="I124" s="7">
        <v>47237</v>
      </c>
      <c r="J124" s="288"/>
      <c r="K124" s="7">
        <f t="shared" ref="K124" si="76">SUM(E124:I124)</f>
        <v>623225</v>
      </c>
      <c r="L124" s="6"/>
      <c r="M124" s="482">
        <f t="shared" ref="M124" si="77">+(K124-K123)/K123</f>
        <v>1.6248428997097462E-3</v>
      </c>
      <c r="N124" s="29"/>
      <c r="O124" s="29"/>
      <c r="P124" s="29"/>
      <c r="Q124" s="376">
        <f t="shared" ref="Q124" si="78">+K124-K123</f>
        <v>1011</v>
      </c>
      <c r="R124" s="6"/>
      <c r="S124" s="7">
        <f>32343+15525+4348</f>
        <v>52216</v>
      </c>
      <c r="T124" s="6"/>
      <c r="U124" s="287">
        <f t="shared" ref="U124" si="79">+S124/K124</f>
        <v>8.3783545268562715E-2</v>
      </c>
      <c r="W124">
        <f t="shared" si="20"/>
        <v>114</v>
      </c>
      <c r="Y124" s="56"/>
    </row>
    <row r="125" spans="3:25" x14ac:dyDescent="0.3">
      <c r="C125" s="171">
        <f t="shared" si="15"/>
        <v>44024</v>
      </c>
      <c r="E125" s="285">
        <v>401556</v>
      </c>
      <c r="F125" s="7"/>
      <c r="G125" s="7">
        <v>175298</v>
      </c>
      <c r="H125" s="7"/>
      <c r="I125" s="7">
        <v>47287</v>
      </c>
      <c r="J125" s="288"/>
      <c r="K125" s="7">
        <f t="shared" ref="K125" si="80">SUM(E125:I125)</f>
        <v>624141</v>
      </c>
      <c r="L125" s="6"/>
      <c r="M125" s="482">
        <f t="shared" ref="M125" si="81">+(K125-K124)/K124</f>
        <v>1.4697741586104536E-3</v>
      </c>
      <c r="N125" s="29"/>
      <c r="O125" s="29"/>
      <c r="P125" s="29"/>
      <c r="Q125" s="376">
        <f t="shared" ref="Q125" si="82">+K125-K124</f>
        <v>916</v>
      </c>
      <c r="R125" s="6"/>
      <c r="S125" s="7">
        <f>32350+15525+4348</f>
        <v>52223</v>
      </c>
      <c r="T125" s="6"/>
      <c r="U125" s="287">
        <f t="shared" ref="U125" si="83">+S125/K125</f>
        <v>8.3671798519885737E-2</v>
      </c>
      <c r="W125">
        <f t="shared" si="20"/>
        <v>115</v>
      </c>
      <c r="Y125" s="56"/>
    </row>
    <row r="126" spans="3:25" x14ac:dyDescent="0.3">
      <c r="C126" s="171">
        <f t="shared" si="15"/>
        <v>44025</v>
      </c>
      <c r="E126" s="285">
        <v>402263</v>
      </c>
      <c r="F126" s="7"/>
      <c r="G126" s="7">
        <v>175522</v>
      </c>
      <c r="H126" s="7"/>
      <c r="I126" s="7">
        <v>47510</v>
      </c>
      <c r="J126" s="288"/>
      <c r="K126" s="7">
        <f t="shared" ref="K126" si="84">SUM(E126:I126)</f>
        <v>625295</v>
      </c>
      <c r="L126" s="6"/>
      <c r="M126" s="482">
        <f t="shared" ref="M126" si="85">+(K126-K125)/K125</f>
        <v>1.8489411847643401E-3</v>
      </c>
      <c r="N126" s="29"/>
      <c r="O126" s="29"/>
      <c r="P126" s="29"/>
      <c r="Q126" s="376">
        <f t="shared" ref="Q126" si="86">+K126-K125</f>
        <v>1154</v>
      </c>
      <c r="R126" s="6"/>
      <c r="S126" s="7">
        <f>32395+15560+4371</f>
        <v>52326</v>
      </c>
      <c r="T126" s="6"/>
      <c r="U126" s="287">
        <f t="shared" ref="U126" si="87">+S126/K126</f>
        <v>8.3682102047833426E-2</v>
      </c>
      <c r="W126">
        <f t="shared" si="20"/>
        <v>116</v>
      </c>
      <c r="Y126" s="56"/>
    </row>
    <row r="127" spans="3:25" x14ac:dyDescent="0.3">
      <c r="C127" s="171">
        <f t="shared" si="15"/>
        <v>44026</v>
      </c>
      <c r="E127" s="285"/>
      <c r="F127" s="7"/>
      <c r="G127" s="7"/>
      <c r="H127" s="7"/>
      <c r="I127" s="7"/>
      <c r="J127" s="288"/>
      <c r="K127" s="7"/>
      <c r="L127" s="6"/>
      <c r="M127" s="482"/>
      <c r="N127" s="29"/>
      <c r="O127" s="29"/>
      <c r="P127" s="29"/>
      <c r="Q127" s="376"/>
      <c r="R127" s="6"/>
      <c r="S127" s="7"/>
      <c r="T127" s="6"/>
      <c r="U127" s="287"/>
      <c r="W127">
        <f t="shared" si="20"/>
        <v>117</v>
      </c>
      <c r="Y127" s="56"/>
    </row>
    <row r="128" spans="3:25" x14ac:dyDescent="0.3">
      <c r="C128" s="171">
        <f t="shared" si="15"/>
        <v>44027</v>
      </c>
      <c r="E128" s="285"/>
      <c r="F128" s="7"/>
      <c r="G128" s="7"/>
      <c r="H128" s="7"/>
      <c r="I128" s="7"/>
      <c r="J128" s="288"/>
      <c r="K128" s="7"/>
      <c r="L128" s="6"/>
      <c r="M128" s="482"/>
      <c r="N128" s="29"/>
      <c r="O128" s="29"/>
      <c r="P128" s="29"/>
      <c r="Q128" s="376"/>
      <c r="R128" s="6"/>
      <c r="S128" s="7"/>
      <c r="T128" s="6"/>
      <c r="U128" s="287"/>
      <c r="W128">
        <f t="shared" si="20"/>
        <v>118</v>
      </c>
      <c r="Y128" s="56"/>
    </row>
    <row r="129" spans="3:25" x14ac:dyDescent="0.3">
      <c r="C129" s="171">
        <f t="shared" si="15"/>
        <v>44028</v>
      </c>
      <c r="E129" s="285"/>
      <c r="F129" s="7"/>
      <c r="G129" s="7"/>
      <c r="H129" s="7"/>
      <c r="I129" s="7"/>
      <c r="J129" s="288"/>
      <c r="K129" s="7"/>
      <c r="L129" s="6"/>
      <c r="M129" s="482"/>
      <c r="N129" s="29"/>
      <c r="O129" s="29"/>
      <c r="P129" s="29"/>
      <c r="Q129" s="376"/>
      <c r="R129" s="6"/>
      <c r="S129" s="7"/>
      <c r="T129" s="6"/>
      <c r="U129" s="287"/>
      <c r="W129">
        <f t="shared" si="20"/>
        <v>119</v>
      </c>
      <c r="Y129" s="56"/>
    </row>
    <row r="130" spans="3:25" x14ac:dyDescent="0.3">
      <c r="C130" s="171">
        <f t="shared" si="15"/>
        <v>44029</v>
      </c>
      <c r="E130" s="285"/>
      <c r="F130" s="7"/>
      <c r="G130" s="7"/>
      <c r="H130" s="7"/>
      <c r="I130" s="7"/>
      <c r="J130" s="288"/>
      <c r="K130" s="7"/>
      <c r="L130" s="6"/>
      <c r="M130" s="482"/>
      <c r="N130" s="29"/>
      <c r="O130" s="29"/>
      <c r="P130" s="29"/>
      <c r="Q130" s="376"/>
      <c r="R130" s="6"/>
      <c r="S130" s="7"/>
      <c r="T130" s="6"/>
      <c r="U130" s="287"/>
      <c r="W130">
        <f t="shared" si="20"/>
        <v>120</v>
      </c>
      <c r="Y130" s="56"/>
    </row>
    <row r="131" spans="3:25" x14ac:dyDescent="0.3">
      <c r="C131" s="171">
        <f t="shared" si="15"/>
        <v>44030</v>
      </c>
      <c r="E131" s="285"/>
      <c r="F131" s="7"/>
      <c r="G131" s="7"/>
      <c r="H131" s="7"/>
      <c r="I131" s="7"/>
      <c r="J131" s="288"/>
      <c r="K131" s="7"/>
      <c r="L131" s="6"/>
      <c r="M131" s="482"/>
      <c r="N131" s="29"/>
      <c r="O131" s="29"/>
      <c r="P131" s="29"/>
      <c r="Q131" s="376"/>
      <c r="R131" s="6"/>
      <c r="S131" s="7"/>
      <c r="T131" s="6"/>
      <c r="U131" s="287"/>
      <c r="W131">
        <f t="shared" si="20"/>
        <v>121</v>
      </c>
      <c r="Y131" s="56"/>
    </row>
    <row r="132" spans="3:25" x14ac:dyDescent="0.3">
      <c r="C132" s="171">
        <f t="shared" si="15"/>
        <v>44031</v>
      </c>
      <c r="E132" s="285"/>
      <c r="F132" s="7"/>
      <c r="G132" s="7"/>
      <c r="H132" s="7"/>
      <c r="I132" s="7"/>
      <c r="J132" s="288"/>
      <c r="K132" s="7"/>
      <c r="L132" s="6"/>
      <c r="M132" s="482"/>
      <c r="N132" s="29"/>
      <c r="O132" s="29"/>
      <c r="P132" s="29"/>
      <c r="Q132" s="376"/>
      <c r="R132" s="6"/>
      <c r="S132" s="7"/>
      <c r="T132" s="6"/>
      <c r="U132" s="287"/>
      <c r="W132">
        <f t="shared" si="20"/>
        <v>122</v>
      </c>
      <c r="Y132" s="56"/>
    </row>
    <row r="133" spans="3:25" x14ac:dyDescent="0.3">
      <c r="C133" s="171">
        <f t="shared" si="15"/>
        <v>44032</v>
      </c>
      <c r="E133" s="285"/>
      <c r="F133" s="7"/>
      <c r="G133" s="7"/>
      <c r="H133" s="7"/>
      <c r="I133" s="7"/>
      <c r="J133" s="288"/>
      <c r="K133" s="7"/>
      <c r="L133" s="6"/>
      <c r="M133" s="482"/>
      <c r="N133" s="29"/>
      <c r="O133" s="29"/>
      <c r="P133" s="29"/>
      <c r="Q133" s="376"/>
      <c r="R133" s="6"/>
      <c r="S133" s="7"/>
      <c r="T133" s="6"/>
      <c r="U133" s="287"/>
      <c r="W133">
        <f t="shared" si="20"/>
        <v>123</v>
      </c>
      <c r="Y133" s="56"/>
    </row>
    <row r="134" spans="3:25" x14ac:dyDescent="0.3">
      <c r="C134" s="171">
        <f t="shared" si="15"/>
        <v>44033</v>
      </c>
      <c r="E134" s="285"/>
      <c r="F134" s="7"/>
      <c r="G134" s="7"/>
      <c r="H134" s="7"/>
      <c r="I134" s="7"/>
      <c r="J134" s="288"/>
      <c r="K134" s="7"/>
      <c r="L134" s="6"/>
      <c r="M134" s="482"/>
      <c r="N134" s="29"/>
      <c r="O134" s="29"/>
      <c r="P134" s="29"/>
      <c r="Q134" s="376"/>
      <c r="R134" s="6"/>
      <c r="S134" s="7"/>
      <c r="T134" s="6"/>
      <c r="U134" s="287"/>
      <c r="W134">
        <f t="shared" si="20"/>
        <v>124</v>
      </c>
      <c r="Y134" s="56"/>
    </row>
    <row r="135" spans="3:25" x14ac:dyDescent="0.3">
      <c r="C135" s="171">
        <f t="shared" si="15"/>
        <v>44034</v>
      </c>
      <c r="E135" s="285"/>
      <c r="F135" s="7"/>
      <c r="G135" s="7"/>
      <c r="H135" s="7"/>
      <c r="I135" s="7"/>
      <c r="J135" s="288"/>
      <c r="K135" s="7"/>
      <c r="L135" s="6"/>
      <c r="M135" s="475"/>
      <c r="N135" s="29"/>
      <c r="O135" s="29"/>
      <c r="P135" s="29"/>
      <c r="Q135" s="376"/>
      <c r="R135" s="6"/>
      <c r="S135" s="7"/>
      <c r="T135" s="6"/>
      <c r="U135" s="287"/>
      <c r="W135">
        <f t="shared" si="20"/>
        <v>125</v>
      </c>
      <c r="Y135" s="56"/>
    </row>
    <row r="136" spans="3:25" ht="15" thickBot="1" x14ac:dyDescent="0.35">
      <c r="C136" s="171">
        <f t="shared" si="15"/>
        <v>44035</v>
      </c>
      <c r="E136" s="289"/>
      <c r="F136" s="290"/>
      <c r="G136" s="290"/>
      <c r="H136" s="290"/>
      <c r="I136" s="290"/>
      <c r="J136" s="290"/>
      <c r="K136" s="290"/>
      <c r="L136" s="291"/>
      <c r="M136" s="292"/>
      <c r="N136" s="292"/>
      <c r="O136" s="292"/>
      <c r="P136" s="292"/>
      <c r="Q136" s="375"/>
      <c r="R136" s="291"/>
      <c r="S136" s="291"/>
      <c r="T136" s="291"/>
      <c r="U136" s="293"/>
      <c r="W136">
        <f t="shared" si="20"/>
        <v>126</v>
      </c>
      <c r="Y136" s="59"/>
    </row>
    <row r="137" spans="3:25" x14ac:dyDescent="0.3">
      <c r="E137" s="56"/>
      <c r="F137" s="1"/>
      <c r="G137" s="56"/>
      <c r="H137" s="56"/>
      <c r="I137" s="56"/>
      <c r="J137" s="1"/>
      <c r="K137" s="56"/>
      <c r="S137" s="56"/>
    </row>
    <row r="138" spans="3:25" x14ac:dyDescent="0.3">
      <c r="C138" s="180" t="s">
        <v>81</v>
      </c>
      <c r="E138" s="56">
        <f>+E124</f>
        <v>401029</v>
      </c>
      <c r="F138" s="56">
        <f>+F52</f>
        <v>0</v>
      </c>
      <c r="G138" s="56">
        <f t="shared" ref="G138:S138" si="88">+G124</f>
        <v>174959</v>
      </c>
      <c r="H138" s="56">
        <f t="shared" si="88"/>
        <v>0</v>
      </c>
      <c r="I138" s="56">
        <f t="shared" si="88"/>
        <v>47237</v>
      </c>
      <c r="J138" s="56">
        <f t="shared" si="88"/>
        <v>0</v>
      </c>
      <c r="K138" s="56">
        <f t="shared" si="88"/>
        <v>623225</v>
      </c>
      <c r="L138" s="56">
        <f t="shared" si="88"/>
        <v>0</v>
      </c>
      <c r="M138" s="56">
        <f t="shared" si="88"/>
        <v>1.6248428997097462E-3</v>
      </c>
      <c r="N138" s="56">
        <f t="shared" si="88"/>
        <v>0</v>
      </c>
      <c r="O138" s="56">
        <f t="shared" si="88"/>
        <v>0</v>
      </c>
      <c r="P138" s="56">
        <f t="shared" si="88"/>
        <v>0</v>
      </c>
      <c r="Q138" s="56">
        <f t="shared" si="88"/>
        <v>1011</v>
      </c>
      <c r="R138" s="56">
        <f t="shared" si="88"/>
        <v>0</v>
      </c>
      <c r="S138" s="56">
        <f t="shared" si="88"/>
        <v>52216</v>
      </c>
      <c r="T138" s="56">
        <f>+T60</f>
        <v>0</v>
      </c>
    </row>
    <row r="139" spans="3:25" x14ac:dyDescent="0.3">
      <c r="E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</row>
    <row r="140" spans="3:25" x14ac:dyDescent="0.3">
      <c r="E140" s="59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</row>
    <row r="141" spans="3:25" x14ac:dyDescent="0.3">
      <c r="C141" s="123"/>
      <c r="D141" s="124"/>
      <c r="E141" s="393"/>
      <c r="F141" s="10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</row>
    <row r="142" spans="3:25" x14ac:dyDescent="0.3">
      <c r="E142" s="56"/>
      <c r="K142" s="56"/>
      <c r="Q142" s="56"/>
    </row>
    <row r="143" spans="3:25" x14ac:dyDescent="0.3">
      <c r="Q143" s="56"/>
      <c r="S143" s="59"/>
    </row>
    <row r="146" spans="3:41" x14ac:dyDescent="0.3">
      <c r="AO146" s="1">
        <v>3797000</v>
      </c>
    </row>
    <row r="147" spans="3:41" x14ac:dyDescent="0.3">
      <c r="C147" s="1"/>
    </row>
    <row r="148" spans="3:41" x14ac:dyDescent="0.3">
      <c r="C148" s="1"/>
      <c r="AO148" s="1">
        <v>30000</v>
      </c>
    </row>
    <row r="149" spans="3:41" x14ac:dyDescent="0.3">
      <c r="C149" s="59"/>
    </row>
    <row r="150" spans="3:41" x14ac:dyDescent="0.3">
      <c r="AO150" s="278">
        <f>+AO148/AO146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120"/>
  <sheetViews>
    <sheetView topLeftCell="A85" workbookViewId="0">
      <selection activeCell="I23" sqref="I23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1" customWidth="1"/>
    <col min="9" max="9" width="11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9" t="s">
        <v>5</v>
      </c>
      <c r="C1" s="259"/>
      <c r="D1" s="259"/>
    </row>
    <row r="2" spans="2:30" ht="16.2" thickBot="1" x14ac:dyDescent="0.35">
      <c r="B2" s="259" t="s">
        <v>6</v>
      </c>
      <c r="C2" s="259"/>
      <c r="D2" s="259"/>
    </row>
    <row r="3" spans="2:30" ht="16.2" thickBot="1" x14ac:dyDescent="0.35">
      <c r="B3" s="257" t="s">
        <v>13</v>
      </c>
      <c r="C3" s="257"/>
      <c r="D3" s="167"/>
      <c r="T3" s="615" t="s">
        <v>114</v>
      </c>
      <c r="U3" s="616"/>
      <c r="V3" s="616"/>
      <c r="W3" s="616"/>
      <c r="X3" s="616"/>
      <c r="Y3" s="616"/>
      <c r="Z3" s="616"/>
      <c r="AA3" s="616"/>
      <c r="AB3" s="616"/>
      <c r="AC3" s="616"/>
      <c r="AD3" s="617"/>
    </row>
    <row r="4" spans="2:30" ht="15.6" x14ac:dyDescent="0.3">
      <c r="B4" s="257"/>
      <c r="C4" s="257"/>
      <c r="D4" s="167"/>
      <c r="T4" s="498"/>
      <c r="U4" s="499" t="s">
        <v>78</v>
      </c>
      <c r="V4" s="500"/>
      <c r="W4" s="499" t="s">
        <v>106</v>
      </c>
      <c r="X4" s="501"/>
      <c r="Y4" s="499" t="s">
        <v>107</v>
      </c>
      <c r="Z4" s="501"/>
      <c r="AA4" s="499" t="s">
        <v>73</v>
      </c>
      <c r="AB4" s="500"/>
      <c r="AC4" s="502" t="s">
        <v>15</v>
      </c>
      <c r="AD4" s="503"/>
    </row>
    <row r="5" spans="2:30" ht="15.6" x14ac:dyDescent="0.3">
      <c r="B5" s="257"/>
      <c r="C5" t="s">
        <v>92</v>
      </c>
      <c r="D5" s="167"/>
      <c r="E5" t="s">
        <v>93</v>
      </c>
      <c r="T5" s="294"/>
      <c r="U5" s="6"/>
      <c r="V5" s="6"/>
      <c r="W5" s="6"/>
      <c r="X5" s="6"/>
      <c r="Y5" s="6"/>
      <c r="Z5" s="6"/>
      <c r="AA5" s="6"/>
      <c r="AB5" s="6"/>
      <c r="AC5" s="6"/>
      <c r="AD5" s="295"/>
    </row>
    <row r="6" spans="2:30" ht="15.6" x14ac:dyDescent="0.3">
      <c r="B6" s="257"/>
      <c r="C6" s="257"/>
      <c r="D6" s="170"/>
      <c r="E6" t="s">
        <v>94</v>
      </c>
      <c r="F6" t="s">
        <v>111</v>
      </c>
      <c r="T6" s="294"/>
      <c r="U6" s="296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5"/>
    </row>
    <row r="7" spans="2:30" ht="15.6" x14ac:dyDescent="0.3">
      <c r="B7" s="257"/>
      <c r="C7" s="257"/>
      <c r="D7" s="170"/>
      <c r="E7" t="s">
        <v>95</v>
      </c>
      <c r="F7" t="s">
        <v>97</v>
      </c>
      <c r="T7" s="294"/>
      <c r="U7" s="296">
        <f>+U6+1</f>
        <v>43952</v>
      </c>
      <c r="V7" s="6"/>
      <c r="W7" s="7">
        <v>432831</v>
      </c>
      <c r="X7" s="6"/>
      <c r="Y7" s="44">
        <v>0.38300000000000001</v>
      </c>
      <c r="Z7" s="6"/>
      <c r="AA7" s="298">
        <f t="shared" ref="AA7:AA19" si="0">+W6-W7</f>
        <v>-5097</v>
      </c>
      <c r="AB7" s="6"/>
      <c r="AC7" s="6"/>
      <c r="AD7" s="295"/>
    </row>
    <row r="8" spans="2:30" ht="15.6" x14ac:dyDescent="0.3">
      <c r="B8" s="257"/>
      <c r="C8" s="257"/>
      <c r="D8" s="170"/>
      <c r="E8" t="s">
        <v>96</v>
      </c>
      <c r="F8" t="s">
        <v>112</v>
      </c>
      <c r="T8" s="294"/>
      <c r="U8" s="296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8">
        <f t="shared" si="0"/>
        <v>-681</v>
      </c>
      <c r="AB8" s="6"/>
      <c r="AC8" s="6"/>
      <c r="AD8" s="295"/>
    </row>
    <row r="9" spans="2:30" ht="15.6" x14ac:dyDescent="0.3">
      <c r="B9" s="257"/>
      <c r="C9" s="257"/>
      <c r="D9" s="170"/>
      <c r="S9" s="473"/>
      <c r="T9" s="294"/>
      <c r="U9" s="296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8">
        <f t="shared" si="0"/>
        <v>-833</v>
      </c>
      <c r="AB9" s="6"/>
      <c r="AC9" s="6"/>
      <c r="AD9" s="295"/>
    </row>
    <row r="10" spans="2:30" ht="15.6" x14ac:dyDescent="0.3">
      <c r="B10" s="257"/>
      <c r="C10" s="279" t="s">
        <v>98</v>
      </c>
      <c r="D10" s="170"/>
      <c r="E10" t="s">
        <v>101</v>
      </c>
      <c r="T10" s="294"/>
      <c r="U10" s="296">
        <f t="shared" si="1"/>
        <v>43955</v>
      </c>
      <c r="V10" s="6"/>
      <c r="W10" s="7">
        <v>458962</v>
      </c>
      <c r="X10" s="6"/>
      <c r="Y10" s="44">
        <v>0.378</v>
      </c>
      <c r="Z10" s="6"/>
      <c r="AA10" s="298">
        <f t="shared" si="0"/>
        <v>-24617</v>
      </c>
      <c r="AB10" s="6"/>
      <c r="AC10" s="6"/>
      <c r="AD10" s="295"/>
    </row>
    <row r="11" spans="2:30" ht="15.6" x14ac:dyDescent="0.3">
      <c r="B11" s="257"/>
      <c r="C11" s="257"/>
      <c r="D11" s="170"/>
      <c r="E11" t="s">
        <v>94</v>
      </c>
      <c r="F11" t="s">
        <v>99</v>
      </c>
      <c r="T11" s="294"/>
      <c r="U11" s="296">
        <f t="shared" si="1"/>
        <v>43956</v>
      </c>
      <c r="V11" s="6"/>
      <c r="W11" s="297">
        <v>455743</v>
      </c>
      <c r="X11" s="6"/>
      <c r="Y11" s="44">
        <v>0.36799999999999999</v>
      </c>
      <c r="Z11" s="6"/>
      <c r="AA11" s="298">
        <f t="shared" si="0"/>
        <v>3219</v>
      </c>
      <c r="AB11" s="6"/>
      <c r="AC11" s="302"/>
      <c r="AD11" s="295"/>
    </row>
    <row r="12" spans="2:30" ht="15.6" x14ac:dyDescent="0.3">
      <c r="B12" s="257"/>
      <c r="C12" s="257"/>
      <c r="D12" s="170"/>
      <c r="E12" t="s">
        <v>95</v>
      </c>
      <c r="F12" t="s">
        <v>100</v>
      </c>
      <c r="T12" s="294"/>
      <c r="U12" s="296">
        <f t="shared" si="1"/>
        <v>43957</v>
      </c>
      <c r="V12" s="6"/>
      <c r="W12" s="297">
        <v>454697</v>
      </c>
      <c r="X12" s="6"/>
      <c r="Y12" s="44">
        <f>+L$36</f>
        <v>0.20591191277554741</v>
      </c>
      <c r="Z12" s="6"/>
      <c r="AA12" s="298">
        <f t="shared" si="0"/>
        <v>1046</v>
      </c>
      <c r="AB12" s="6"/>
      <c r="AC12" s="302"/>
      <c r="AD12" s="295"/>
    </row>
    <row r="13" spans="2:30" ht="15.6" x14ac:dyDescent="0.3">
      <c r="B13" s="257"/>
      <c r="C13" s="257"/>
      <c r="D13" s="170"/>
      <c r="T13" s="294"/>
      <c r="U13" s="296">
        <f t="shared" si="1"/>
        <v>43958</v>
      </c>
      <c r="V13" s="6"/>
      <c r="W13" s="297">
        <v>454838</v>
      </c>
      <c r="X13" s="6"/>
      <c r="Y13" s="44">
        <f>+L37</f>
        <v>0</v>
      </c>
      <c r="Z13" s="6"/>
      <c r="AA13" s="298">
        <f t="shared" si="0"/>
        <v>-141</v>
      </c>
      <c r="AB13" s="6"/>
      <c r="AC13" s="302"/>
      <c r="AD13" s="295"/>
    </row>
    <row r="14" spans="2:30" ht="15.6" x14ac:dyDescent="0.3">
      <c r="B14" s="257"/>
      <c r="C14" s="279" t="s">
        <v>102</v>
      </c>
      <c r="D14" s="170"/>
      <c r="E14" t="s">
        <v>103</v>
      </c>
      <c r="T14" s="294"/>
      <c r="U14" s="296">
        <f t="shared" si="1"/>
        <v>43959</v>
      </c>
      <c r="V14" s="6"/>
      <c r="W14" s="297">
        <v>452043</v>
      </c>
      <c r="X14" s="6"/>
      <c r="Y14" s="44">
        <f>+L38</f>
        <v>0</v>
      </c>
      <c r="Z14" s="6"/>
      <c r="AA14" s="298">
        <f t="shared" si="0"/>
        <v>2795</v>
      </c>
      <c r="AB14" s="6"/>
      <c r="AC14" s="302"/>
      <c r="AD14" s="295"/>
    </row>
    <row r="15" spans="2:30" x14ac:dyDescent="0.3">
      <c r="B15" s="257"/>
      <c r="E15" s="618" t="s">
        <v>104</v>
      </c>
      <c r="F15" s="618"/>
      <c r="G15" s="618"/>
      <c r="H15" s="618"/>
      <c r="I15" s="618"/>
      <c r="T15" s="294"/>
      <c r="U15" s="296">
        <f t="shared" si="1"/>
        <v>43960</v>
      </c>
      <c r="V15" s="6"/>
      <c r="W15" s="297">
        <v>439209</v>
      </c>
      <c r="X15" s="6"/>
      <c r="Y15" s="44">
        <f>+L40</f>
        <v>0</v>
      </c>
      <c r="Z15" s="6"/>
      <c r="AA15" s="298">
        <f t="shared" si="0"/>
        <v>12834</v>
      </c>
      <c r="AB15" s="6"/>
      <c r="AC15" s="302"/>
      <c r="AD15" s="295"/>
    </row>
    <row r="16" spans="2:30" x14ac:dyDescent="0.3">
      <c r="S16" s="473"/>
      <c r="T16" s="294"/>
      <c r="U16" s="296">
        <f t="shared" si="1"/>
        <v>43961</v>
      </c>
      <c r="V16" s="6"/>
      <c r="W16" s="297">
        <v>423501</v>
      </c>
      <c r="X16" s="6"/>
      <c r="Y16" s="44">
        <f>+L41</f>
        <v>0</v>
      </c>
      <c r="Z16" s="6"/>
      <c r="AA16" s="298">
        <f t="shared" si="0"/>
        <v>15708</v>
      </c>
      <c r="AB16" s="6"/>
      <c r="AC16" s="302"/>
      <c r="AD16" s="295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4"/>
      <c r="U17" s="296">
        <f t="shared" si="1"/>
        <v>43962</v>
      </c>
      <c r="V17" s="6"/>
      <c r="W17" s="297">
        <v>415158</v>
      </c>
      <c r="X17" s="6"/>
      <c r="Y17" s="44">
        <f>+L42</f>
        <v>0</v>
      </c>
      <c r="Z17" s="6"/>
      <c r="AA17" s="298">
        <f t="shared" si="0"/>
        <v>8343</v>
      </c>
      <c r="AB17" s="6"/>
      <c r="AC17" s="302"/>
      <c r="AD17" s="295"/>
    </row>
    <row r="18" spans="3:30" ht="15" thickBot="1" x14ac:dyDescent="0.35">
      <c r="C18" s="1"/>
      <c r="D18" s="624" t="s">
        <v>46</v>
      </c>
      <c r="E18" s="625"/>
      <c r="F18" s="625"/>
      <c r="G18" s="625"/>
      <c r="H18" s="625"/>
      <c r="I18" s="625"/>
      <c r="J18" s="625"/>
      <c r="K18" s="625"/>
      <c r="L18" s="625"/>
      <c r="M18" s="625"/>
      <c r="N18" s="625"/>
      <c r="O18" s="626"/>
      <c r="P18" s="90"/>
      <c r="Q18" s="90"/>
      <c r="R18" s="90"/>
      <c r="S18" s="90"/>
      <c r="T18" s="294"/>
      <c r="U18" s="296">
        <f t="shared" si="1"/>
        <v>43963</v>
      </c>
      <c r="V18" s="6"/>
      <c r="W18" s="297">
        <v>413524</v>
      </c>
      <c r="X18" s="6"/>
      <c r="Y18" s="44">
        <f>+L43</f>
        <v>0</v>
      </c>
      <c r="Z18" s="6"/>
      <c r="AA18" s="298">
        <f t="shared" si="0"/>
        <v>1634</v>
      </c>
      <c r="AB18" s="6"/>
      <c r="AC18" s="302"/>
      <c r="AD18" s="295"/>
    </row>
    <row r="19" spans="3:30" ht="15" thickBot="1" x14ac:dyDescent="0.35">
      <c r="C19" s="1"/>
      <c r="D19" s="146"/>
      <c r="E19" s="627" t="s">
        <v>75</v>
      </c>
      <c r="F19" s="627"/>
      <c r="G19" s="627"/>
      <c r="H19" s="627"/>
      <c r="I19" s="147" t="s">
        <v>74</v>
      </c>
      <c r="J19" s="148"/>
      <c r="K19" s="632" t="s">
        <v>72</v>
      </c>
      <c r="L19" s="632"/>
      <c r="M19" s="141"/>
      <c r="N19" s="145" t="s">
        <v>73</v>
      </c>
      <c r="O19" s="142"/>
      <c r="P19" s="114"/>
      <c r="Q19" s="114"/>
      <c r="R19" s="114"/>
      <c r="S19" s="114"/>
      <c r="T19" s="294"/>
      <c r="U19" s="296">
        <f t="shared" si="1"/>
        <v>43964</v>
      </c>
      <c r="V19" s="6"/>
      <c r="W19" s="297">
        <v>410932</v>
      </c>
      <c r="X19" s="6"/>
      <c r="Y19" s="44">
        <f>+L44</f>
        <v>0</v>
      </c>
      <c r="Z19" s="6"/>
      <c r="AA19" s="298">
        <f t="shared" si="0"/>
        <v>2592</v>
      </c>
      <c r="AB19" s="6"/>
      <c r="AC19" s="302"/>
      <c r="AD19" s="295"/>
    </row>
    <row r="20" spans="3:30" x14ac:dyDescent="0.3">
      <c r="C20" s="1"/>
      <c r="D20" s="126"/>
      <c r="E20" s="127" t="s">
        <v>134</v>
      </c>
      <c r="F20" s="128"/>
      <c r="G20" s="127"/>
      <c r="H20" s="127"/>
      <c r="I20" s="93">
        <f>+'Main Table'!H113</f>
        <v>2778950</v>
      </c>
      <c r="J20" s="129"/>
      <c r="K20" s="140"/>
      <c r="L20" s="140"/>
      <c r="M20" s="140"/>
      <c r="N20" s="140"/>
      <c r="O20" s="136"/>
      <c r="P20" s="90"/>
      <c r="Q20" s="90"/>
      <c r="R20" s="90"/>
      <c r="S20" s="90"/>
      <c r="T20" s="294"/>
      <c r="U20" s="296">
        <f t="shared" si="1"/>
        <v>43965</v>
      </c>
      <c r="V20" s="6"/>
      <c r="W20" s="297">
        <v>409640</v>
      </c>
      <c r="X20" s="6"/>
      <c r="Y20" s="44">
        <v>0</v>
      </c>
      <c r="Z20" s="6"/>
      <c r="AA20" s="298">
        <f t="shared" ref="AA20:AA51" si="2">+W19-W20</f>
        <v>1292</v>
      </c>
      <c r="AB20" s="6"/>
      <c r="AC20" s="302"/>
      <c r="AD20" s="295"/>
    </row>
    <row r="21" spans="3:30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Table'!Z133</f>
        <v>138247</v>
      </c>
      <c r="J21" s="129"/>
      <c r="K21" s="140"/>
      <c r="L21" s="140"/>
      <c r="M21" s="140"/>
      <c r="N21" s="140"/>
      <c r="O21" s="136"/>
      <c r="P21" s="90"/>
      <c r="Q21" s="90"/>
      <c r="R21" s="90"/>
      <c r="S21" s="90"/>
      <c r="T21" s="294"/>
      <c r="U21" s="296">
        <f t="shared" si="1"/>
        <v>43966</v>
      </c>
      <c r="V21" s="6"/>
      <c r="W21" s="297">
        <v>405327</v>
      </c>
      <c r="X21" s="6"/>
      <c r="Y21" s="44">
        <v>0.27300000000000002</v>
      </c>
      <c r="Z21" s="6"/>
      <c r="AA21" s="298">
        <f t="shared" si="2"/>
        <v>4313</v>
      </c>
      <c r="AB21" s="6"/>
      <c r="AC21" s="302"/>
      <c r="AD21" s="295"/>
    </row>
    <row r="22" spans="3:30" x14ac:dyDescent="0.3">
      <c r="C22" s="1"/>
      <c r="D22" s="126"/>
      <c r="E22" s="127"/>
      <c r="F22" s="127" t="s">
        <v>45</v>
      </c>
      <c r="G22" s="127"/>
      <c r="H22" s="127"/>
      <c r="I22" s="159">
        <v>15934</v>
      </c>
      <c r="J22" s="129"/>
      <c r="K22" s="140"/>
      <c r="L22" s="282">
        <v>15822</v>
      </c>
      <c r="M22" s="140"/>
      <c r="N22" s="160">
        <f>+(I22-L22)/I22</f>
        <v>7.0289946027362873E-3</v>
      </c>
      <c r="O22" s="136"/>
      <c r="P22" s="90"/>
      <c r="Q22" s="90"/>
      <c r="R22" s="90"/>
      <c r="S22" s="90"/>
      <c r="T22" s="294"/>
      <c r="U22" s="296">
        <f t="shared" si="1"/>
        <v>43967</v>
      </c>
      <c r="V22" s="6"/>
      <c r="W22" s="297">
        <v>393991</v>
      </c>
      <c r="X22" s="6"/>
      <c r="Y22" s="44">
        <v>0.26100000000000001</v>
      </c>
      <c r="Z22" s="6"/>
      <c r="AA22" s="298">
        <f t="shared" si="2"/>
        <v>11336</v>
      </c>
      <c r="AB22" s="6"/>
      <c r="AC22" s="302"/>
      <c r="AD22" s="295"/>
    </row>
    <row r="23" spans="3:30" x14ac:dyDescent="0.3">
      <c r="C23" s="1"/>
      <c r="D23" s="126"/>
      <c r="E23" s="127"/>
      <c r="F23" s="137" t="s">
        <v>70</v>
      </c>
      <c r="G23" s="137"/>
      <c r="H23" s="137"/>
      <c r="I23" s="130">
        <f>+I20-I21-I22</f>
        <v>2624769</v>
      </c>
      <c r="J23" s="129"/>
      <c r="K23" s="140"/>
      <c r="L23" s="140"/>
      <c r="M23" s="140"/>
      <c r="N23" s="140"/>
      <c r="O23" s="136"/>
      <c r="P23" s="113"/>
      <c r="Q23" s="113"/>
      <c r="R23" s="113"/>
      <c r="S23" s="474"/>
      <c r="T23" s="294"/>
      <c r="U23" s="296">
        <f t="shared" si="1"/>
        <v>43968</v>
      </c>
      <c r="V23" s="6"/>
      <c r="W23" s="297">
        <v>384245</v>
      </c>
      <c r="X23" s="6"/>
      <c r="Y23" s="44">
        <v>0.251</v>
      </c>
      <c r="Z23" s="6"/>
      <c r="AA23" s="298">
        <f t="shared" si="2"/>
        <v>9746</v>
      </c>
      <c r="AB23" s="6"/>
      <c r="AC23" s="302"/>
      <c r="AD23" s="295"/>
    </row>
    <row r="24" spans="3:30" x14ac:dyDescent="0.3">
      <c r="C24" s="1"/>
      <c r="D24" s="126"/>
      <c r="E24" s="127" t="s">
        <v>77</v>
      </c>
      <c r="F24" s="129"/>
      <c r="G24" s="129"/>
      <c r="H24" s="129"/>
      <c r="I24" s="131">
        <f>+'Main Table'!AO133</f>
        <v>1549469</v>
      </c>
      <c r="J24" s="129"/>
      <c r="K24" s="140"/>
      <c r="L24" s="140"/>
      <c r="M24" s="140"/>
      <c r="N24" s="140"/>
      <c r="O24" s="136"/>
      <c r="P24" s="113"/>
      <c r="Q24" s="113"/>
      <c r="R24" s="113"/>
      <c r="S24" s="113"/>
      <c r="T24" s="294"/>
      <c r="U24" s="296">
        <f t="shared" si="1"/>
        <v>43969</v>
      </c>
      <c r="V24" s="6"/>
      <c r="W24" s="297">
        <v>379527</v>
      </c>
      <c r="X24" s="6"/>
      <c r="Y24" s="44">
        <v>0.245</v>
      </c>
      <c r="Z24" s="6"/>
      <c r="AA24" s="298">
        <f t="shared" si="2"/>
        <v>4718</v>
      </c>
      <c r="AB24" s="6"/>
      <c r="AC24" s="302"/>
      <c r="AD24" s="295"/>
    </row>
    <row r="25" spans="3:30" x14ac:dyDescent="0.3">
      <c r="C25" s="1"/>
      <c r="D25" s="628" t="s">
        <v>49</v>
      </c>
      <c r="E25" s="629"/>
      <c r="F25" s="629"/>
      <c r="G25" s="629"/>
      <c r="H25" s="629"/>
      <c r="I25" s="132">
        <f>+I23-I24</f>
        <v>1075300</v>
      </c>
      <c r="J25" s="129"/>
      <c r="K25" s="140"/>
      <c r="L25" s="140"/>
      <c r="M25" s="140"/>
      <c r="N25" s="140"/>
      <c r="O25" s="136"/>
      <c r="P25" s="113"/>
      <c r="Q25" s="113"/>
      <c r="R25" s="113"/>
      <c r="S25" s="113"/>
      <c r="T25" s="294"/>
      <c r="U25" s="296">
        <f t="shared" si="1"/>
        <v>43970</v>
      </c>
      <c r="V25" s="6"/>
      <c r="W25" s="297">
        <v>375997</v>
      </c>
      <c r="X25" s="6"/>
      <c r="Y25" s="44">
        <v>0.23899999999999999</v>
      </c>
      <c r="Z25" s="6"/>
      <c r="AA25" s="298">
        <f t="shared" si="2"/>
        <v>3530</v>
      </c>
      <c r="AB25" s="6"/>
      <c r="AC25" s="302"/>
      <c r="AD25" s="295"/>
    </row>
    <row r="26" spans="3:30" x14ac:dyDescent="0.3">
      <c r="C26" s="1"/>
      <c r="D26" s="126"/>
      <c r="E26" s="127" t="s">
        <v>71</v>
      </c>
      <c r="F26" s="129"/>
      <c r="G26" s="129"/>
      <c r="H26" s="129"/>
      <c r="I26" s="131">
        <f>+I24</f>
        <v>1549469</v>
      </c>
      <c r="J26" s="129"/>
      <c r="K26" s="140"/>
      <c r="L26" s="140"/>
      <c r="M26" s="140"/>
      <c r="N26" s="140"/>
      <c r="O26" s="136"/>
      <c r="P26" s="90"/>
      <c r="Q26" s="90"/>
      <c r="R26" s="90"/>
      <c r="S26" s="90"/>
      <c r="T26" s="294"/>
      <c r="U26" s="296">
        <f t="shared" si="1"/>
        <v>43971</v>
      </c>
      <c r="V26" s="6"/>
      <c r="W26" s="297">
        <v>373168</v>
      </c>
      <c r="X26" s="6"/>
      <c r="Y26" s="44">
        <v>0.23400000000000001</v>
      </c>
      <c r="Z26" s="6"/>
      <c r="AA26" s="298">
        <f t="shared" si="2"/>
        <v>2829</v>
      </c>
      <c r="AB26" s="6"/>
      <c r="AC26" s="302"/>
      <c r="AD26" s="295"/>
    </row>
    <row r="27" spans="3:30" ht="15" thickBot="1" x14ac:dyDescent="0.35">
      <c r="C27" s="1"/>
      <c r="D27" s="628" t="s">
        <v>46</v>
      </c>
      <c r="E27" s="629"/>
      <c r="F27" s="629"/>
      <c r="G27" s="629"/>
      <c r="H27" s="629"/>
      <c r="I27" s="149">
        <f>+I25+I26</f>
        <v>2624769</v>
      </c>
      <c r="J27" s="129"/>
      <c r="K27" s="633">
        <v>2574901</v>
      </c>
      <c r="L27" s="633"/>
      <c r="M27" s="140"/>
      <c r="N27" s="150">
        <f>+I27-K27</f>
        <v>49868</v>
      </c>
      <c r="O27" s="136"/>
      <c r="P27" s="90"/>
      <c r="Q27" s="90"/>
      <c r="R27" s="90"/>
      <c r="S27" s="90"/>
      <c r="T27" s="294"/>
      <c r="U27" s="296">
        <f t="shared" si="1"/>
        <v>43972</v>
      </c>
      <c r="V27" s="6"/>
      <c r="W27" s="297">
        <v>346181</v>
      </c>
      <c r="X27" s="6"/>
      <c r="Y27" s="44">
        <v>0.214</v>
      </c>
      <c r="Z27" s="6"/>
      <c r="AA27" s="298">
        <f t="shared" si="2"/>
        <v>26987</v>
      </c>
      <c r="AB27" s="6"/>
      <c r="AC27" s="302"/>
      <c r="AD27" s="295"/>
    </row>
    <row r="28" spans="3:30" ht="15.6" thickTop="1" thickBot="1" x14ac:dyDescent="0.35">
      <c r="C28" s="10"/>
      <c r="D28" s="135"/>
      <c r="E28" s="630" t="s">
        <v>69</v>
      </c>
      <c r="F28" s="630"/>
      <c r="G28" s="630"/>
      <c r="H28" s="137"/>
      <c r="I28" s="275">
        <f>+I27/I32</f>
        <v>0.75435603507762505</v>
      </c>
      <c r="J28" s="140"/>
      <c r="K28" s="140"/>
      <c r="L28" s="140"/>
      <c r="M28" s="110"/>
      <c r="N28" s="507">
        <f>+N27/K27</f>
        <v>1.9366958185965209E-2</v>
      </c>
      <c r="O28" s="136"/>
      <c r="P28" s="1"/>
      <c r="Q28" s="1"/>
      <c r="R28" s="1"/>
      <c r="S28" s="1"/>
      <c r="T28" s="294"/>
      <c r="U28" s="296">
        <f t="shared" si="1"/>
        <v>43973</v>
      </c>
      <c r="V28" s="6"/>
      <c r="W28" s="297">
        <v>341216</v>
      </c>
      <c r="X28" s="6"/>
      <c r="Y28" s="44">
        <v>0.20699999999999999</v>
      </c>
      <c r="Z28" s="6"/>
      <c r="AA28" s="298">
        <f t="shared" si="2"/>
        <v>4965</v>
      </c>
      <c r="AB28" s="6"/>
      <c r="AC28" s="302"/>
      <c r="AD28" s="295"/>
    </row>
    <row r="29" spans="3:30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1"/>
      <c r="T29" s="294"/>
      <c r="U29" s="296">
        <f t="shared" si="1"/>
        <v>43974</v>
      </c>
      <c r="V29" s="6"/>
      <c r="W29" s="297">
        <v>336852</v>
      </c>
      <c r="X29" s="6"/>
      <c r="Y29" s="44">
        <v>0.20200000000000001</v>
      </c>
      <c r="Z29" s="6"/>
      <c r="AA29" s="298">
        <f t="shared" si="2"/>
        <v>4364</v>
      </c>
      <c r="AB29" s="6"/>
      <c r="AC29" s="302"/>
      <c r="AD29" s="295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70"/>
      <c r="T30" s="294"/>
      <c r="U30" s="296">
        <f t="shared" si="1"/>
        <v>43975</v>
      </c>
      <c r="V30" s="6"/>
      <c r="W30" s="297">
        <v>336142</v>
      </c>
      <c r="X30" s="6"/>
      <c r="Y30" s="44">
        <v>0.19900000000000001</v>
      </c>
      <c r="Z30" s="6"/>
      <c r="AA30" s="298">
        <f t="shared" si="2"/>
        <v>710</v>
      </c>
      <c r="AB30" s="6"/>
      <c r="AC30" s="302"/>
      <c r="AD30" s="295"/>
    </row>
    <row r="31" spans="3:30" ht="16.2" thickBot="1" x14ac:dyDescent="0.35">
      <c r="C31" s="90"/>
      <c r="D31" s="273"/>
      <c r="E31" s="609" t="s">
        <v>114</v>
      </c>
      <c r="F31" s="610"/>
      <c r="G31" s="610"/>
      <c r="H31" s="610"/>
      <c r="I31" s="610"/>
      <c r="J31" s="611"/>
      <c r="K31" s="272"/>
      <c r="L31" s="271" t="s">
        <v>10</v>
      </c>
      <c r="M31" s="270"/>
      <c r="N31" s="269"/>
      <c r="O31" s="110"/>
      <c r="P31" s="90"/>
      <c r="Q31" s="90"/>
      <c r="R31" s="90"/>
      <c r="S31" s="90"/>
      <c r="T31" s="294"/>
      <c r="U31" s="296">
        <f t="shared" si="1"/>
        <v>43976</v>
      </c>
      <c r="V31" s="6"/>
      <c r="W31" s="297">
        <v>337736</v>
      </c>
      <c r="X31" s="6"/>
      <c r="Y31" s="44">
        <v>0.19800000000000001</v>
      </c>
      <c r="Z31" s="6"/>
      <c r="AA31" s="298">
        <f t="shared" si="2"/>
        <v>-1594</v>
      </c>
      <c r="AB31" s="6"/>
      <c r="AC31" s="302"/>
      <c r="AD31" s="295"/>
    </row>
    <row r="32" spans="3:30" x14ac:dyDescent="0.3">
      <c r="C32" s="10"/>
      <c r="D32" s="260"/>
      <c r="E32" s="261" t="s">
        <v>88</v>
      </c>
      <c r="F32" s="24"/>
      <c r="G32" s="24"/>
      <c r="H32" s="24"/>
      <c r="I32" s="604">
        <f>+'Main Table'!H133</f>
        <v>3479483</v>
      </c>
      <c r="J32" s="604"/>
      <c r="K32" s="24"/>
      <c r="L32" s="25">
        <f>+I32/$I$32</f>
        <v>1</v>
      </c>
      <c r="M32" s="262"/>
      <c r="N32" s="90"/>
      <c r="O32" s="90"/>
      <c r="P32" s="90"/>
      <c r="Q32" s="90"/>
      <c r="R32" s="90"/>
      <c r="S32" s="90"/>
      <c r="T32" s="294"/>
      <c r="U32" s="296">
        <f t="shared" si="1"/>
        <v>43977</v>
      </c>
      <c r="V32" s="6"/>
      <c r="W32" s="297">
        <v>333791</v>
      </c>
      <c r="X32" s="6"/>
      <c r="Y32" s="44">
        <v>0.193</v>
      </c>
      <c r="Z32" s="6"/>
      <c r="AA32" s="298">
        <f t="shared" si="2"/>
        <v>3945</v>
      </c>
      <c r="AB32" s="6"/>
      <c r="AC32" s="302"/>
      <c r="AD32" s="295"/>
    </row>
    <row r="33" spans="3:30" x14ac:dyDescent="0.3">
      <c r="C33" s="10"/>
      <c r="D33" s="260"/>
      <c r="E33" s="261"/>
      <c r="F33" s="24"/>
      <c r="G33" s="24"/>
      <c r="H33" s="24"/>
      <c r="I33" s="24"/>
      <c r="J33" s="24"/>
      <c r="K33" s="24"/>
      <c r="L33" s="24"/>
      <c r="M33" s="262"/>
      <c r="N33" s="90"/>
      <c r="O33" s="90"/>
      <c r="P33" s="90"/>
      <c r="Q33" s="90"/>
      <c r="R33" s="90"/>
      <c r="S33" s="90"/>
      <c r="T33" s="294"/>
      <c r="U33" s="296">
        <f t="shared" si="1"/>
        <v>43978</v>
      </c>
      <c r="V33" s="6"/>
      <c r="W33" s="297">
        <v>332639</v>
      </c>
      <c r="X33" s="6"/>
      <c r="Y33" s="44">
        <v>0.191</v>
      </c>
      <c r="Z33" s="6"/>
      <c r="AA33" s="298">
        <f t="shared" si="2"/>
        <v>1152</v>
      </c>
      <c r="AB33" s="6"/>
      <c r="AC33" s="302"/>
      <c r="AD33" s="295"/>
    </row>
    <row r="34" spans="3:30" x14ac:dyDescent="0.3">
      <c r="D34" s="263"/>
      <c r="E34" s="22"/>
      <c r="F34" s="264" t="s">
        <v>113</v>
      </c>
      <c r="G34" s="264"/>
      <c r="H34" s="22"/>
      <c r="I34" s="605">
        <f>+I27</f>
        <v>2624769</v>
      </c>
      <c r="J34" s="606"/>
      <c r="K34" s="22"/>
      <c r="L34" s="25">
        <f>+I34/$I$32</f>
        <v>0.75435603507762505</v>
      </c>
      <c r="M34" s="265"/>
      <c r="P34" s="233"/>
      <c r="Q34" s="233"/>
      <c r="R34" s="233"/>
      <c r="S34" s="233"/>
      <c r="T34" s="294"/>
      <c r="U34" s="296">
        <f t="shared" si="1"/>
        <v>43979</v>
      </c>
      <c r="V34" s="6"/>
      <c r="W34" s="297">
        <v>328088</v>
      </c>
      <c r="X34" s="6"/>
      <c r="Y34" s="44">
        <v>0.186</v>
      </c>
      <c r="Z34" s="6"/>
      <c r="AA34" s="298">
        <f t="shared" si="2"/>
        <v>4551</v>
      </c>
      <c r="AB34" s="6"/>
      <c r="AC34" s="302"/>
      <c r="AD34" s="295"/>
    </row>
    <row r="35" spans="3:30" x14ac:dyDescent="0.3">
      <c r="D35" s="263"/>
      <c r="E35" s="22"/>
      <c r="F35" s="22" t="s">
        <v>89</v>
      </c>
      <c r="G35" s="22"/>
      <c r="H35" s="22"/>
      <c r="I35" s="612">
        <f>+I21</f>
        <v>138247</v>
      </c>
      <c r="J35" s="613"/>
      <c r="K35" s="22"/>
      <c r="L35" s="25">
        <f>+I35/$I$32</f>
        <v>3.9732052146827561E-2</v>
      </c>
      <c r="M35" s="265"/>
      <c r="P35" s="274"/>
      <c r="Q35" s="274"/>
      <c r="R35" s="274"/>
      <c r="S35" s="274"/>
      <c r="T35" s="294"/>
      <c r="U35" s="296">
        <f t="shared" si="1"/>
        <v>43980</v>
      </c>
      <c r="V35" s="6"/>
      <c r="W35" s="297">
        <v>326426</v>
      </c>
      <c r="X35" s="6"/>
      <c r="Y35" s="44">
        <v>0.182</v>
      </c>
      <c r="Z35" s="6"/>
      <c r="AA35" s="298">
        <f t="shared" si="2"/>
        <v>1662</v>
      </c>
      <c r="AB35" s="6"/>
      <c r="AC35" s="302"/>
      <c r="AD35" s="295"/>
    </row>
    <row r="36" spans="3:30" ht="15" thickBot="1" x14ac:dyDescent="0.35">
      <c r="D36" s="263"/>
      <c r="E36" s="631" t="s">
        <v>114</v>
      </c>
      <c r="F36" s="631"/>
      <c r="G36" s="631"/>
      <c r="H36" s="276"/>
      <c r="I36" s="607">
        <f>+I32-I34-I35</f>
        <v>716467</v>
      </c>
      <c r="J36" s="608"/>
      <c r="K36" s="303"/>
      <c r="L36" s="277">
        <f>+I36/$I$32</f>
        <v>0.20591191277554741</v>
      </c>
      <c r="M36" s="265"/>
      <c r="T36" s="294"/>
      <c r="U36" s="296">
        <f t="shared" si="1"/>
        <v>43981</v>
      </c>
      <c r="V36" s="6"/>
      <c r="W36" s="297">
        <v>326228</v>
      </c>
      <c r="X36" s="6"/>
      <c r="Y36" s="44">
        <v>0.16900000000000001</v>
      </c>
      <c r="Z36" s="6"/>
      <c r="AA36" s="298">
        <f t="shared" si="2"/>
        <v>198</v>
      </c>
      <c r="AB36" s="6"/>
      <c r="AC36" s="302"/>
      <c r="AD36" s="295"/>
    </row>
    <row r="37" spans="3:30" ht="15.6" thickTop="1" thickBot="1" x14ac:dyDescent="0.35">
      <c r="D37" s="266"/>
      <c r="E37" s="267"/>
      <c r="F37" s="267"/>
      <c r="G37" s="267"/>
      <c r="H37" s="267"/>
      <c r="I37" s="267"/>
      <c r="J37" s="267"/>
      <c r="K37" s="267"/>
      <c r="L37" s="267"/>
      <c r="M37" s="268"/>
      <c r="S37" s="473"/>
      <c r="T37" s="294"/>
      <c r="U37" s="296">
        <f t="shared" si="1"/>
        <v>43982</v>
      </c>
      <c r="V37" s="6"/>
      <c r="W37" s="297">
        <v>303951</v>
      </c>
      <c r="X37" s="6"/>
      <c r="Y37" s="44">
        <v>0.16500000000000001</v>
      </c>
      <c r="Z37" s="6"/>
      <c r="AA37" s="298">
        <f t="shared" si="2"/>
        <v>22277</v>
      </c>
      <c r="AB37" s="6"/>
      <c r="AC37" s="302"/>
      <c r="AD37" s="295"/>
    </row>
    <row r="38" spans="3:30" x14ac:dyDescent="0.3">
      <c r="T38" s="294"/>
      <c r="U38" s="296">
        <f t="shared" si="1"/>
        <v>43983</v>
      </c>
      <c r="V38" s="6"/>
      <c r="W38" s="297">
        <v>305817</v>
      </c>
      <c r="X38" s="6"/>
      <c r="Y38" s="44">
        <v>0.16400000000000001</v>
      </c>
      <c r="Z38" s="6"/>
      <c r="AA38" s="298">
        <f t="shared" si="2"/>
        <v>-1866</v>
      </c>
      <c r="AB38" s="6"/>
      <c r="AC38" s="302"/>
      <c r="AD38" s="295"/>
    </row>
    <row r="39" spans="3:30" x14ac:dyDescent="0.3">
      <c r="T39" s="294"/>
      <c r="U39" s="296">
        <f t="shared" si="1"/>
        <v>43984</v>
      </c>
      <c r="V39" s="6"/>
      <c r="W39" s="297">
        <v>305724</v>
      </c>
      <c r="X39" s="6"/>
      <c r="Y39" s="44">
        <v>0.16300000000000001</v>
      </c>
      <c r="Z39" s="6"/>
      <c r="AA39" s="298">
        <f t="shared" si="2"/>
        <v>93</v>
      </c>
      <c r="AB39" s="6"/>
      <c r="AC39" s="302"/>
      <c r="AD39" s="295"/>
    </row>
    <row r="40" spans="3:30" ht="15" thickBot="1" x14ac:dyDescent="0.35">
      <c r="T40" s="294"/>
      <c r="U40" s="296">
        <f t="shared" si="1"/>
        <v>43985</v>
      </c>
      <c r="V40" s="6"/>
      <c r="W40" s="297">
        <v>297824</v>
      </c>
      <c r="X40" s="6"/>
      <c r="Y40" s="44">
        <v>0.157</v>
      </c>
      <c r="Z40" s="6"/>
      <c r="AA40" s="298">
        <f t="shared" si="2"/>
        <v>7900</v>
      </c>
      <c r="AB40" s="6"/>
      <c r="AC40" s="302"/>
      <c r="AD40" s="295"/>
    </row>
    <row r="41" spans="3:30" ht="15" thickBot="1" x14ac:dyDescent="0.35">
      <c r="D41" s="619" t="s">
        <v>127</v>
      </c>
      <c r="E41" s="620"/>
      <c r="F41" s="620"/>
      <c r="G41" s="620"/>
      <c r="H41" s="620"/>
      <c r="I41" s="620"/>
      <c r="J41" s="620"/>
      <c r="K41" s="620"/>
      <c r="L41" s="620"/>
      <c r="M41" s="620"/>
      <c r="N41" s="620"/>
      <c r="O41" s="621"/>
      <c r="T41" s="294"/>
      <c r="U41" s="296">
        <f t="shared" si="1"/>
        <v>43986</v>
      </c>
      <c r="V41" s="6"/>
      <c r="W41" s="297">
        <v>296183</v>
      </c>
      <c r="X41" s="6"/>
      <c r="Y41" s="44">
        <v>0.154</v>
      </c>
      <c r="Z41" s="6"/>
      <c r="AA41" s="298">
        <f t="shared" si="2"/>
        <v>1641</v>
      </c>
      <c r="AB41" s="6"/>
      <c r="AC41" s="302"/>
      <c r="AD41" s="295"/>
    </row>
    <row r="42" spans="3:30" ht="15" thickBot="1" x14ac:dyDescent="0.35">
      <c r="D42" s="321"/>
      <c r="E42" s="622" t="s">
        <v>75</v>
      </c>
      <c r="F42" s="622"/>
      <c r="G42" s="622"/>
      <c r="H42" s="622"/>
      <c r="I42" s="304" t="s">
        <v>74</v>
      </c>
      <c r="J42" s="305"/>
      <c r="K42" s="623" t="s">
        <v>37</v>
      </c>
      <c r="L42" s="623"/>
      <c r="M42" s="306"/>
      <c r="N42" s="307" t="s">
        <v>73</v>
      </c>
      <c r="O42" s="322"/>
      <c r="T42" s="294"/>
      <c r="U42" s="296">
        <f t="shared" si="1"/>
        <v>43987</v>
      </c>
      <c r="V42" s="6"/>
      <c r="W42" s="297">
        <v>299564</v>
      </c>
      <c r="X42" s="6"/>
      <c r="Y42" s="44">
        <v>0.154</v>
      </c>
      <c r="Z42" s="6"/>
      <c r="AA42" s="298">
        <f t="shared" si="2"/>
        <v>-3381</v>
      </c>
      <c r="AB42" s="6"/>
      <c r="AC42" s="302"/>
      <c r="AD42" s="295"/>
    </row>
    <row r="43" spans="3:30" x14ac:dyDescent="0.3">
      <c r="D43" s="323"/>
      <c r="E43" s="308" t="s">
        <v>43</v>
      </c>
      <c r="F43" s="309"/>
      <c r="G43" s="308"/>
      <c r="H43" s="308"/>
      <c r="I43" s="380">
        <v>25405</v>
      </c>
      <c r="J43" s="380"/>
      <c r="K43" s="381"/>
      <c r="L43" s="381"/>
      <c r="M43" s="381"/>
      <c r="N43" s="381"/>
      <c r="O43" s="315"/>
      <c r="T43" s="294"/>
      <c r="U43" s="296">
        <f t="shared" si="1"/>
        <v>43988</v>
      </c>
      <c r="V43" s="6"/>
      <c r="W43" s="297">
        <v>299553</v>
      </c>
      <c r="X43" s="6"/>
      <c r="Y43" s="44">
        <v>0.154</v>
      </c>
      <c r="Z43" s="6"/>
      <c r="AA43" s="298">
        <f t="shared" si="2"/>
        <v>11</v>
      </c>
      <c r="AB43" s="6"/>
      <c r="AC43" s="302"/>
      <c r="AD43" s="295"/>
    </row>
    <row r="44" spans="3:30" x14ac:dyDescent="0.3">
      <c r="D44" s="323"/>
      <c r="E44" s="308" t="s">
        <v>44</v>
      </c>
      <c r="F44" s="308" t="s">
        <v>4</v>
      </c>
      <c r="G44" s="308"/>
      <c r="H44" s="308"/>
      <c r="I44" s="380">
        <v>1836</v>
      </c>
      <c r="J44" s="380"/>
      <c r="K44" s="381"/>
      <c r="L44" s="381"/>
      <c r="M44" s="381"/>
      <c r="N44" s="381"/>
      <c r="O44" s="315"/>
      <c r="T44" s="294"/>
      <c r="U44" s="296">
        <f t="shared" si="1"/>
        <v>43989</v>
      </c>
      <c r="V44" s="6"/>
      <c r="W44" s="297">
        <v>301798</v>
      </c>
      <c r="X44" s="6"/>
      <c r="Y44" s="44">
        <v>0.152</v>
      </c>
      <c r="Z44" s="6"/>
      <c r="AA44" s="298">
        <f t="shared" si="2"/>
        <v>-2245</v>
      </c>
      <c r="AB44" s="6"/>
      <c r="AC44" s="302"/>
      <c r="AD44" s="295"/>
    </row>
    <row r="45" spans="3:30" x14ac:dyDescent="0.3">
      <c r="D45" s="323"/>
      <c r="E45" s="308"/>
      <c r="F45" s="308" t="s">
        <v>45</v>
      </c>
      <c r="G45" s="308"/>
      <c r="H45" s="308"/>
      <c r="I45" s="382">
        <v>1397</v>
      </c>
      <c r="J45" s="380"/>
      <c r="K45" s="381"/>
      <c r="L45" s="380"/>
      <c r="M45" s="381"/>
      <c r="N45" s="383"/>
      <c r="O45" s="315"/>
      <c r="T45" s="294"/>
      <c r="U45" s="296">
        <f t="shared" si="1"/>
        <v>43990</v>
      </c>
      <c r="V45" s="6"/>
      <c r="W45" s="297">
        <v>301795</v>
      </c>
      <c r="X45" s="6"/>
      <c r="Y45" s="44">
        <v>0.15</v>
      </c>
      <c r="Z45" s="6"/>
      <c r="AA45" s="298">
        <f t="shared" si="2"/>
        <v>3</v>
      </c>
      <c r="AB45" s="6"/>
      <c r="AC45" s="302"/>
      <c r="AD45" s="295"/>
    </row>
    <row r="46" spans="3:30" x14ac:dyDescent="0.3">
      <c r="D46" s="323"/>
      <c r="E46" s="308"/>
      <c r="F46" s="312" t="s">
        <v>70</v>
      </c>
      <c r="G46" s="312"/>
      <c r="H46" s="312"/>
      <c r="I46" s="380">
        <f>+I43-I44-I45</f>
        <v>22172</v>
      </c>
      <c r="J46" s="380"/>
      <c r="K46" s="381"/>
      <c r="L46" s="381"/>
      <c r="M46" s="381"/>
      <c r="N46" s="381"/>
      <c r="O46" s="315"/>
      <c r="T46" s="294"/>
      <c r="U46" s="296">
        <f t="shared" si="1"/>
        <v>43991</v>
      </c>
      <c r="V46" s="6"/>
      <c r="W46" s="297">
        <v>300305</v>
      </c>
      <c r="X46" s="6"/>
      <c r="Y46" s="44">
        <v>0.14799999999999999</v>
      </c>
      <c r="Z46" s="6"/>
      <c r="AA46" s="298">
        <f t="shared" si="2"/>
        <v>1490</v>
      </c>
      <c r="AB46" s="6"/>
      <c r="AC46" s="302"/>
      <c r="AD46" s="295"/>
    </row>
    <row r="47" spans="3:30" x14ac:dyDescent="0.3">
      <c r="D47" s="323"/>
      <c r="E47" s="308" t="s">
        <v>77</v>
      </c>
      <c r="F47" s="310"/>
      <c r="G47" s="310"/>
      <c r="H47" s="310"/>
      <c r="I47" s="382">
        <f>+'Main Table'!AO151</f>
        <v>1356158</v>
      </c>
      <c r="J47" s="380"/>
      <c r="K47" s="381"/>
      <c r="L47" s="381"/>
      <c r="M47" s="381"/>
      <c r="N47" s="381"/>
      <c r="O47" s="315"/>
      <c r="T47" s="294"/>
      <c r="U47" s="296">
        <f t="shared" si="1"/>
        <v>43992</v>
      </c>
      <c r="V47" s="6"/>
      <c r="W47" s="297">
        <v>298430</v>
      </c>
      <c r="X47" s="6"/>
      <c r="Y47" s="44">
        <v>0.14599999999999999</v>
      </c>
      <c r="Z47" s="6"/>
      <c r="AA47" s="298">
        <f t="shared" si="2"/>
        <v>1875</v>
      </c>
      <c r="AB47" s="6"/>
      <c r="AC47" s="302"/>
      <c r="AD47" s="295"/>
    </row>
    <row r="48" spans="3:30" x14ac:dyDescent="0.3">
      <c r="D48" s="588" t="s">
        <v>49</v>
      </c>
      <c r="E48" s="589"/>
      <c r="F48" s="589"/>
      <c r="G48" s="589"/>
      <c r="H48" s="589"/>
      <c r="I48" s="313">
        <f>+I46-I47</f>
        <v>-1333986</v>
      </c>
      <c r="J48" s="380"/>
      <c r="K48" s="381"/>
      <c r="L48" s="381"/>
      <c r="M48" s="381"/>
      <c r="N48" s="381"/>
      <c r="O48" s="315"/>
      <c r="T48" s="294"/>
      <c r="U48" s="296">
        <f t="shared" si="1"/>
        <v>43993</v>
      </c>
      <c r="V48" s="6"/>
      <c r="W48" s="297">
        <v>296204</v>
      </c>
      <c r="X48" s="6"/>
      <c r="Y48" s="44">
        <v>0.14199999999999999</v>
      </c>
      <c r="Z48" s="6"/>
      <c r="AA48" s="298">
        <f t="shared" si="2"/>
        <v>2226</v>
      </c>
      <c r="AB48" s="6"/>
      <c r="AC48" s="302"/>
      <c r="AD48" s="295"/>
    </row>
    <row r="49" spans="4:32" x14ac:dyDescent="0.3">
      <c r="D49" s="323"/>
      <c r="E49" s="308" t="s">
        <v>71</v>
      </c>
      <c r="F49" s="310"/>
      <c r="G49" s="310"/>
      <c r="H49" s="310"/>
      <c r="I49" s="382">
        <f>+I47</f>
        <v>1356158</v>
      </c>
      <c r="J49" s="380"/>
      <c r="K49" s="381"/>
      <c r="L49" s="381"/>
      <c r="M49" s="381"/>
      <c r="N49" s="381"/>
      <c r="O49" s="315"/>
      <c r="T49" s="294"/>
      <c r="U49" s="296">
        <f t="shared" si="1"/>
        <v>43994</v>
      </c>
      <c r="V49" s="6"/>
      <c r="W49" s="297">
        <v>300135</v>
      </c>
      <c r="X49" s="6"/>
      <c r="Y49" s="44">
        <v>0.14199999999999999</v>
      </c>
      <c r="Z49" s="6"/>
      <c r="AA49" s="298">
        <f t="shared" si="2"/>
        <v>-3931</v>
      </c>
      <c r="AB49" s="6"/>
      <c r="AC49" s="302"/>
      <c r="AD49" s="295"/>
    </row>
    <row r="50" spans="4:32" ht="15" thickBot="1" x14ac:dyDescent="0.35">
      <c r="D50" s="588" t="s">
        <v>46</v>
      </c>
      <c r="E50" s="589"/>
      <c r="F50" s="589"/>
      <c r="G50" s="589"/>
      <c r="H50" s="589"/>
      <c r="I50" s="384">
        <f>+I48+I49</f>
        <v>22172</v>
      </c>
      <c r="J50" s="380"/>
      <c r="K50" s="590">
        <v>30167</v>
      </c>
      <c r="L50" s="590"/>
      <c r="M50" s="381"/>
      <c r="N50" s="385">
        <f>+K50-I50</f>
        <v>7995</v>
      </c>
      <c r="O50" s="315"/>
      <c r="T50" s="294"/>
      <c r="U50" s="296">
        <f t="shared" si="1"/>
        <v>43995</v>
      </c>
      <c r="V50" s="6"/>
      <c r="W50" s="297">
        <v>305087</v>
      </c>
      <c r="X50" s="6"/>
      <c r="Y50" s="44">
        <v>0.14199999999999999</v>
      </c>
      <c r="Z50" s="6"/>
      <c r="AA50" s="298">
        <f t="shared" si="2"/>
        <v>-4952</v>
      </c>
      <c r="AB50" s="6"/>
      <c r="AC50" s="302"/>
      <c r="AD50" s="295"/>
    </row>
    <row r="51" spans="4:32" ht="15.6" thickTop="1" thickBot="1" x14ac:dyDescent="0.35">
      <c r="D51" s="314"/>
      <c r="E51" s="591" t="s">
        <v>69</v>
      </c>
      <c r="F51" s="591"/>
      <c r="G51" s="591"/>
      <c r="H51" s="312"/>
      <c r="I51" s="386">
        <f>+I50/K50</f>
        <v>0.73497530414028578</v>
      </c>
      <c r="J51" s="381"/>
      <c r="K51" s="381"/>
      <c r="L51" s="381"/>
      <c r="M51" s="381"/>
      <c r="N51" s="387">
        <f>+N50/K50</f>
        <v>0.26502469585971428</v>
      </c>
      <c r="O51" s="315"/>
      <c r="S51" s="56"/>
      <c r="T51" s="294"/>
      <c r="U51" s="296">
        <f>+U50+1</f>
        <v>43996</v>
      </c>
      <c r="V51" s="6"/>
      <c r="W51" s="297">
        <v>302731</v>
      </c>
      <c r="X51" s="6"/>
      <c r="Y51" s="44">
        <v>0.14000000000000001</v>
      </c>
      <c r="Z51" s="6"/>
      <c r="AA51" s="298">
        <f t="shared" si="2"/>
        <v>2356</v>
      </c>
      <c r="AB51" s="6"/>
      <c r="AC51" s="302"/>
      <c r="AD51" s="295"/>
    </row>
    <row r="52" spans="4:32" ht="15.6" thickTop="1" thickBot="1" x14ac:dyDescent="0.35">
      <c r="D52" s="324"/>
      <c r="E52" s="325"/>
      <c r="F52" s="325"/>
      <c r="G52" s="325"/>
      <c r="H52" s="325"/>
      <c r="I52" s="388"/>
      <c r="J52" s="389"/>
      <c r="K52" s="390"/>
      <c r="L52" s="390"/>
      <c r="M52" s="390"/>
      <c r="N52" s="390"/>
      <c r="O52" s="318"/>
      <c r="T52" s="294"/>
      <c r="U52" s="296">
        <f t="shared" ref="U52:U88" si="3">+U51+1</f>
        <v>43997</v>
      </c>
      <c r="V52" s="6"/>
      <c r="W52" s="297">
        <v>301583</v>
      </c>
      <c r="X52" s="6"/>
      <c r="Y52" s="44">
        <v>0.13800000000000001</v>
      </c>
      <c r="Z52" s="6"/>
      <c r="AA52" s="298">
        <f t="shared" ref="AA52:AA63" si="4">+W51-W52</f>
        <v>1148</v>
      </c>
      <c r="AB52" s="6"/>
      <c r="AC52" s="302"/>
      <c r="AD52" s="295"/>
    </row>
    <row r="53" spans="4:32" ht="15" thickBot="1" x14ac:dyDescent="0.35">
      <c r="D53" s="90"/>
      <c r="E53" s="152"/>
      <c r="F53" s="152"/>
      <c r="G53" s="152"/>
      <c r="H53" s="152"/>
      <c r="I53" s="354"/>
      <c r="J53" s="90"/>
      <c r="K53" s="110"/>
      <c r="L53" s="110"/>
      <c r="M53" s="360"/>
      <c r="N53" s="110"/>
      <c r="O53" s="110"/>
      <c r="P53" s="61"/>
      <c r="Q53" s="61"/>
      <c r="R53" s="61"/>
      <c r="T53" s="294"/>
      <c r="U53" s="296">
        <f t="shared" si="3"/>
        <v>43998</v>
      </c>
      <c r="V53" s="6"/>
      <c r="W53" s="297">
        <v>306362</v>
      </c>
      <c r="X53" s="6"/>
      <c r="Y53" s="44">
        <v>0.13900000000000001</v>
      </c>
      <c r="Z53" s="6"/>
      <c r="AA53" s="298">
        <f t="shared" si="4"/>
        <v>-4779</v>
      </c>
      <c r="AB53" s="6"/>
      <c r="AC53" s="302"/>
      <c r="AD53" s="295"/>
    </row>
    <row r="54" spans="4:32" ht="16.2" thickBot="1" x14ac:dyDescent="0.35">
      <c r="D54" s="361"/>
      <c r="E54" s="592" t="s">
        <v>128</v>
      </c>
      <c r="F54" s="593"/>
      <c r="G54" s="593"/>
      <c r="H54" s="593"/>
      <c r="I54" s="593"/>
      <c r="J54" s="594"/>
      <c r="K54" s="362"/>
      <c r="L54" s="365" t="s">
        <v>10</v>
      </c>
      <c r="M54" s="364"/>
      <c r="N54" s="110"/>
      <c r="O54" s="110"/>
      <c r="P54" s="61"/>
      <c r="Q54" s="61"/>
      <c r="R54" s="61"/>
      <c r="T54" s="294"/>
      <c r="U54" s="296">
        <f t="shared" si="3"/>
        <v>43999</v>
      </c>
      <c r="V54" s="6"/>
      <c r="W54" s="297">
        <v>310165</v>
      </c>
      <c r="X54" s="6"/>
      <c r="Y54" s="44">
        <v>0.13900000000000001</v>
      </c>
      <c r="Z54" s="6"/>
      <c r="AA54" s="298">
        <f t="shared" si="4"/>
        <v>-3803</v>
      </c>
      <c r="AB54" s="6"/>
      <c r="AC54" s="302"/>
      <c r="AD54" s="295"/>
    </row>
    <row r="55" spans="4:32" x14ac:dyDescent="0.3">
      <c r="D55" s="323"/>
      <c r="E55" s="355" t="s">
        <v>88</v>
      </c>
      <c r="F55" s="310"/>
      <c r="G55" s="310"/>
      <c r="H55" s="310"/>
      <c r="I55" s="595">
        <f>+K50</f>
        <v>30167</v>
      </c>
      <c r="J55" s="595"/>
      <c r="K55" s="310"/>
      <c r="L55" s="356">
        <f>+I55/$I$55</f>
        <v>1</v>
      </c>
      <c r="M55" s="363"/>
      <c r="N55" s="110"/>
      <c r="O55" s="110"/>
      <c r="P55" s="61"/>
      <c r="Q55" s="61"/>
      <c r="R55" s="61"/>
      <c r="T55" s="294"/>
      <c r="U55" s="296">
        <f t="shared" si="3"/>
        <v>44000</v>
      </c>
      <c r="V55" s="6"/>
      <c r="W55" s="297">
        <v>321504</v>
      </c>
      <c r="X55" s="6"/>
      <c r="Y55" s="44">
        <v>0.13800000000000001</v>
      </c>
      <c r="Z55" s="6"/>
      <c r="AA55" s="298">
        <f t="shared" si="4"/>
        <v>-11339</v>
      </c>
      <c r="AB55" s="6"/>
      <c r="AC55" s="302"/>
      <c r="AD55" s="295"/>
    </row>
    <row r="56" spans="4:32" x14ac:dyDescent="0.3">
      <c r="D56" s="323"/>
      <c r="E56" s="355"/>
      <c r="F56" s="310"/>
      <c r="G56" s="310"/>
      <c r="H56" s="310"/>
      <c r="I56" s="310"/>
      <c r="J56" s="310"/>
      <c r="K56" s="310"/>
      <c r="L56" s="310"/>
      <c r="M56" s="363"/>
      <c r="N56" s="110"/>
      <c r="O56" s="110"/>
      <c r="P56" s="61"/>
      <c r="Q56" s="61"/>
      <c r="R56" s="61"/>
      <c r="T56" s="294"/>
      <c r="U56" s="296">
        <f t="shared" si="3"/>
        <v>44001</v>
      </c>
      <c r="V56" s="6"/>
      <c r="W56" s="297">
        <v>323237</v>
      </c>
      <c r="X56" s="6"/>
      <c r="Y56" s="44">
        <v>0.14099999999999999</v>
      </c>
      <c r="Z56" s="6"/>
      <c r="AA56" s="298">
        <f t="shared" si="4"/>
        <v>-1733</v>
      </c>
      <c r="AB56" s="6"/>
      <c r="AC56" s="302"/>
      <c r="AD56" s="295"/>
    </row>
    <row r="57" spans="4:32" x14ac:dyDescent="0.3">
      <c r="D57" s="314"/>
      <c r="E57" s="311"/>
      <c r="F57" s="357" t="s">
        <v>113</v>
      </c>
      <c r="G57" s="357"/>
      <c r="H57" s="311"/>
      <c r="I57" s="596">
        <f>+I50</f>
        <v>22172</v>
      </c>
      <c r="J57" s="597"/>
      <c r="K57" s="311"/>
      <c r="L57" s="356">
        <f>+I57/$I$55</f>
        <v>0.73497530414028578</v>
      </c>
      <c r="M57" s="315"/>
      <c r="N57" s="110"/>
      <c r="O57" s="110"/>
      <c r="P57" s="61"/>
      <c r="Q57" s="61"/>
      <c r="R57" s="61"/>
      <c r="T57" s="294"/>
      <c r="U57" s="296">
        <f t="shared" si="3"/>
        <v>44002</v>
      </c>
      <c r="V57" s="6"/>
      <c r="W57" s="297">
        <v>338196</v>
      </c>
      <c r="X57" s="6"/>
      <c r="Y57" s="44">
        <v>0.14499999999999999</v>
      </c>
      <c r="Z57" s="6"/>
      <c r="AA57" s="298">
        <f t="shared" si="4"/>
        <v>-14959</v>
      </c>
      <c r="AB57" s="6"/>
      <c r="AC57" s="302"/>
      <c r="AD57" s="295"/>
    </row>
    <row r="58" spans="4:32" x14ac:dyDescent="0.3">
      <c r="D58" s="314"/>
      <c r="E58" s="311"/>
      <c r="F58" s="311" t="s">
        <v>89</v>
      </c>
      <c r="G58" s="311"/>
      <c r="H58" s="311"/>
      <c r="I58" s="598">
        <f>+I44</f>
        <v>1836</v>
      </c>
      <c r="J58" s="599"/>
      <c r="K58" s="311"/>
      <c r="L58" s="356">
        <f>+I58/$I$55</f>
        <v>6.0861205953525378E-2</v>
      </c>
      <c r="M58" s="315"/>
      <c r="N58" s="110"/>
      <c r="O58" s="110"/>
      <c r="P58" s="61"/>
      <c r="Q58" s="61"/>
      <c r="R58" s="61"/>
      <c r="T58" s="294"/>
      <c r="U58" s="296">
        <f t="shared" si="3"/>
        <v>44003</v>
      </c>
      <c r="V58" s="6"/>
      <c r="W58" s="297">
        <v>345179</v>
      </c>
      <c r="X58" s="6"/>
      <c r="Y58" s="44">
        <v>0.14699999999999999</v>
      </c>
      <c r="Z58" s="6"/>
      <c r="AA58" s="298">
        <f t="shared" si="4"/>
        <v>-6983</v>
      </c>
      <c r="AB58" s="6"/>
      <c r="AC58" s="302"/>
      <c r="AD58" s="295"/>
    </row>
    <row r="59" spans="4:32" ht="15" thickBot="1" x14ac:dyDescent="0.35">
      <c r="D59" s="314"/>
      <c r="E59" s="600" t="s">
        <v>114</v>
      </c>
      <c r="F59" s="600"/>
      <c r="G59" s="600"/>
      <c r="H59" s="311"/>
      <c r="I59" s="601">
        <f>+I55-I57-I58</f>
        <v>6159</v>
      </c>
      <c r="J59" s="602"/>
      <c r="K59" s="358"/>
      <c r="L59" s="359">
        <f>+I59/$I$55</f>
        <v>0.20416348990618888</v>
      </c>
      <c r="M59" s="315"/>
      <c r="N59" s="110"/>
      <c r="O59" s="110"/>
      <c r="P59" s="158"/>
      <c r="Q59" s="158"/>
      <c r="R59" s="158"/>
      <c r="T59" s="294"/>
      <c r="U59" s="296">
        <f t="shared" si="3"/>
        <v>44004</v>
      </c>
      <c r="V59" s="6"/>
      <c r="W59" s="297">
        <v>336790</v>
      </c>
      <c r="X59" s="6"/>
      <c r="Y59" s="44">
        <v>0.14099999999999999</v>
      </c>
      <c r="Z59" s="6"/>
      <c r="AA59" s="298">
        <f t="shared" si="4"/>
        <v>8389</v>
      </c>
      <c r="AB59" s="6"/>
      <c r="AC59" s="302"/>
      <c r="AD59" s="295"/>
    </row>
    <row r="60" spans="4:32" ht="15" thickTop="1" x14ac:dyDescent="0.3">
      <c r="D60" s="314"/>
      <c r="E60" s="468"/>
      <c r="F60" s="468" t="s">
        <v>129</v>
      </c>
      <c r="G60" s="468"/>
      <c r="H60" s="311"/>
      <c r="I60" s="603">
        <f>+I45</f>
        <v>1397</v>
      </c>
      <c r="J60" s="603"/>
      <c r="K60" s="358"/>
      <c r="L60" s="378"/>
      <c r="M60" s="315"/>
      <c r="N60" s="110"/>
      <c r="O60" s="110"/>
      <c r="P60" s="158"/>
      <c r="Q60" s="158"/>
      <c r="R60" s="158"/>
      <c r="T60" s="294"/>
      <c r="U60" s="296">
        <f t="shared" si="3"/>
        <v>44005</v>
      </c>
      <c r="V60" s="6"/>
      <c r="W60" s="297">
        <v>349505</v>
      </c>
      <c r="X60" s="6"/>
      <c r="Y60" s="44">
        <v>0.14399999999999999</v>
      </c>
      <c r="Z60" s="6"/>
      <c r="AA60" s="298">
        <f t="shared" si="4"/>
        <v>-12715</v>
      </c>
      <c r="AB60" s="6"/>
      <c r="AC60" s="302"/>
      <c r="AD60" s="295"/>
      <c r="AF60" s="61"/>
    </row>
    <row r="61" spans="4:32" ht="15" thickBot="1" x14ac:dyDescent="0.35">
      <c r="D61" s="314"/>
      <c r="E61" s="377"/>
      <c r="F61" s="377" t="s">
        <v>130</v>
      </c>
      <c r="G61" s="377"/>
      <c r="H61" s="311"/>
      <c r="I61" s="601">
        <f>+I59-I60</f>
        <v>4762</v>
      </c>
      <c r="J61" s="601"/>
      <c r="K61" s="358"/>
      <c r="L61" s="359">
        <f>+I61/K50</f>
        <v>0.15785460934133325</v>
      </c>
      <c r="M61" s="315"/>
      <c r="N61" s="110"/>
      <c r="O61" s="110"/>
      <c r="P61" s="61"/>
      <c r="Q61" s="61"/>
      <c r="R61" s="61"/>
      <c r="T61" s="294"/>
      <c r="U61" s="296">
        <f t="shared" si="3"/>
        <v>44006</v>
      </c>
      <c r="V61" s="6"/>
      <c r="W61" s="297">
        <v>361428</v>
      </c>
      <c r="X61" s="6"/>
      <c r="Y61" s="44">
        <v>0.14699999999999999</v>
      </c>
      <c r="Z61" s="6"/>
      <c r="AA61" s="298">
        <f t="shared" si="4"/>
        <v>-11923</v>
      </c>
      <c r="AB61" s="6"/>
      <c r="AC61" s="302"/>
      <c r="AD61" s="295"/>
    </row>
    <row r="62" spans="4:32" ht="15.6" thickTop="1" thickBot="1" x14ac:dyDescent="0.35">
      <c r="D62" s="316"/>
      <c r="E62" s="317"/>
      <c r="F62" s="317"/>
      <c r="G62" s="317"/>
      <c r="H62" s="317"/>
      <c r="I62" s="317"/>
      <c r="J62" s="317"/>
      <c r="K62" s="317"/>
      <c r="L62" s="317"/>
      <c r="M62" s="318"/>
      <c r="N62" s="110"/>
      <c r="O62" s="110"/>
      <c r="P62" s="61"/>
      <c r="Q62" s="61"/>
      <c r="R62" s="61"/>
      <c r="T62" s="294"/>
      <c r="U62" s="296">
        <f t="shared" si="3"/>
        <v>44007</v>
      </c>
      <c r="V62" s="6"/>
      <c r="W62" s="297">
        <v>374775</v>
      </c>
      <c r="X62" s="6"/>
      <c r="Y62" s="44">
        <v>0.15</v>
      </c>
      <c r="Z62" s="6"/>
      <c r="AA62" s="298">
        <f t="shared" si="4"/>
        <v>-13347</v>
      </c>
      <c r="AB62" s="6"/>
      <c r="AC62" s="302"/>
      <c r="AD62" s="295"/>
    </row>
    <row r="63" spans="4:32" ht="15" thickBot="1" x14ac:dyDescent="0.35">
      <c r="T63" s="294"/>
      <c r="U63" s="296">
        <f t="shared" si="3"/>
        <v>44008</v>
      </c>
      <c r="V63" s="6"/>
      <c r="W63" s="297">
        <v>402712</v>
      </c>
      <c r="X63" s="6"/>
      <c r="Y63" s="44">
        <v>0.158</v>
      </c>
      <c r="Z63" s="6"/>
      <c r="AA63" s="298">
        <f t="shared" si="4"/>
        <v>-27937</v>
      </c>
      <c r="AB63" s="6"/>
      <c r="AC63" s="302"/>
      <c r="AD63" s="295"/>
    </row>
    <row r="64" spans="4:32" ht="15" thickBot="1" x14ac:dyDescent="0.35">
      <c r="E64" s="592" t="s">
        <v>117</v>
      </c>
      <c r="F64" s="593"/>
      <c r="G64" s="593"/>
      <c r="H64" s="593"/>
      <c r="I64" s="593"/>
      <c r="J64" s="593"/>
      <c r="K64" s="593"/>
      <c r="L64" s="593"/>
      <c r="M64" s="594"/>
      <c r="P64" s="371"/>
      <c r="Q64" s="371"/>
      <c r="R64" s="371"/>
      <c r="T64" s="294"/>
      <c r="U64" s="296">
        <f t="shared" si="3"/>
        <v>44009</v>
      </c>
      <c r="V64" s="6"/>
      <c r="W64" s="297">
        <v>425664</v>
      </c>
      <c r="X64" s="6"/>
      <c r="Y64" s="44">
        <v>0.16400000000000001</v>
      </c>
      <c r="Z64" s="6"/>
      <c r="AA64" s="298">
        <f t="shared" ref="AA64" si="5">+W63-W64</f>
        <v>-22952</v>
      </c>
      <c r="AB64" s="6"/>
      <c r="AC64" s="302"/>
      <c r="AD64" s="295"/>
    </row>
    <row r="65" spans="4:30" x14ac:dyDescent="0.3">
      <c r="E65" s="366"/>
      <c r="F65" s="319" t="s">
        <v>109</v>
      </c>
      <c r="G65" s="319"/>
      <c r="H65" s="319"/>
      <c r="I65" s="587">
        <v>11690000</v>
      </c>
      <c r="J65" s="587"/>
      <c r="K65" s="587"/>
      <c r="L65" s="587"/>
      <c r="M65" s="367"/>
      <c r="P65" s="57"/>
      <c r="Q65" s="57"/>
      <c r="R65" s="57"/>
      <c r="S65" s="57"/>
      <c r="T65" s="294"/>
      <c r="U65" s="296">
        <f t="shared" si="3"/>
        <v>44010</v>
      </c>
      <c r="V65" s="6"/>
      <c r="W65" s="297">
        <v>440910</v>
      </c>
      <c r="X65" s="6"/>
      <c r="Y65" s="44">
        <v>0.16700000000000001</v>
      </c>
      <c r="Z65" s="6"/>
      <c r="AA65" s="298">
        <f t="shared" ref="AA65" si="6">+W64-W65</f>
        <v>-15246</v>
      </c>
      <c r="AB65" s="6"/>
      <c r="AC65" s="302"/>
      <c r="AD65" s="295"/>
    </row>
    <row r="66" spans="4:30" x14ac:dyDescent="0.3">
      <c r="E66" s="366"/>
      <c r="F66" s="319" t="s">
        <v>110</v>
      </c>
      <c r="G66" s="319"/>
      <c r="H66" s="319"/>
      <c r="I66" s="319"/>
      <c r="J66" s="319"/>
      <c r="K66" s="319"/>
      <c r="L66" s="320">
        <f>+I59/I65</f>
        <v>5.2686056458511551E-4</v>
      </c>
      <c r="M66" s="367"/>
      <c r="T66" s="294"/>
      <c r="U66" s="296">
        <f t="shared" si="3"/>
        <v>44011</v>
      </c>
      <c r="V66" s="6"/>
      <c r="W66" s="297">
        <v>459097</v>
      </c>
      <c r="X66" s="6"/>
      <c r="Y66" s="44">
        <v>0.17100000000000001</v>
      </c>
      <c r="Z66" s="6"/>
      <c r="AA66" s="298">
        <f t="shared" ref="AA66" si="7">+W65-W66</f>
        <v>-18187</v>
      </c>
      <c r="AB66" s="6"/>
      <c r="AC66" s="302"/>
      <c r="AD66" s="295"/>
    </row>
    <row r="67" spans="4:30" x14ac:dyDescent="0.3">
      <c r="E67" s="366"/>
      <c r="F67" s="614" t="s">
        <v>108</v>
      </c>
      <c r="G67" s="614"/>
      <c r="H67" s="319"/>
      <c r="I67" s="319"/>
      <c r="J67" s="319"/>
      <c r="K67" s="319"/>
      <c r="L67" s="379">
        <f>+I59/(I65/100000)</f>
        <v>52.686056458511544</v>
      </c>
      <c r="M67" s="367"/>
      <c r="T67" s="294"/>
      <c r="U67" s="296">
        <f t="shared" si="3"/>
        <v>44012</v>
      </c>
      <c r="V67" s="6"/>
      <c r="W67" s="297">
        <v>477287</v>
      </c>
      <c r="X67" s="6"/>
      <c r="Y67" s="44">
        <v>0.17499999999999999</v>
      </c>
      <c r="Z67" s="6"/>
      <c r="AA67" s="298">
        <f t="shared" ref="AA67" si="8">+W66-W67</f>
        <v>-18190</v>
      </c>
      <c r="AB67" s="6"/>
      <c r="AC67" s="302"/>
      <c r="AD67" s="295"/>
    </row>
    <row r="68" spans="4:30" ht="15" thickBot="1" x14ac:dyDescent="0.35">
      <c r="E68" s="368"/>
      <c r="F68" s="369"/>
      <c r="G68" s="369"/>
      <c r="H68" s="369"/>
      <c r="I68" s="369"/>
      <c r="J68" s="369"/>
      <c r="K68" s="369"/>
      <c r="L68" s="369"/>
      <c r="M68" s="370"/>
      <c r="T68" s="294"/>
      <c r="U68" s="296">
        <f t="shared" si="3"/>
        <v>44013</v>
      </c>
      <c r="V68" s="6"/>
      <c r="W68" s="297">
        <v>494808</v>
      </c>
      <c r="X68" s="6"/>
      <c r="Y68" s="44">
        <v>0.17799999999999999</v>
      </c>
      <c r="Z68" s="6"/>
      <c r="AA68" s="298">
        <f t="shared" ref="AA68" si="9">+W67-W68</f>
        <v>-17521</v>
      </c>
      <c r="AB68" s="6"/>
      <c r="AC68" s="302"/>
      <c r="AD68" s="295"/>
    </row>
    <row r="69" spans="4:30" x14ac:dyDescent="0.3">
      <c r="T69" s="294"/>
      <c r="U69" s="296">
        <f t="shared" si="3"/>
        <v>44014</v>
      </c>
      <c r="V69" s="6"/>
      <c r="W69" s="297">
        <v>518711</v>
      </c>
      <c r="X69" s="6"/>
      <c r="Y69" s="44">
        <v>0.183</v>
      </c>
      <c r="Z69" s="6"/>
      <c r="AA69" s="298">
        <f t="shared" ref="AA69" si="10">+W68-W69</f>
        <v>-23903</v>
      </c>
      <c r="AB69" s="6"/>
      <c r="AC69" s="302"/>
      <c r="AD69" s="295"/>
    </row>
    <row r="70" spans="4:30" x14ac:dyDescent="0.3">
      <c r="T70" s="294"/>
      <c r="U70" s="296">
        <f t="shared" si="3"/>
        <v>44015</v>
      </c>
      <c r="V70" s="6"/>
      <c r="W70" s="297">
        <v>537924</v>
      </c>
      <c r="X70" s="6"/>
      <c r="Y70" s="44">
        <v>0.187</v>
      </c>
      <c r="Z70" s="6"/>
      <c r="AA70" s="298">
        <f t="shared" ref="AA70" si="11">+W69-W70</f>
        <v>-19213</v>
      </c>
      <c r="AB70" s="6"/>
      <c r="AC70" s="302"/>
      <c r="AD70" s="295"/>
    </row>
    <row r="71" spans="4:30" ht="15" thickBot="1" x14ac:dyDescent="0.35">
      <c r="T71" s="294"/>
      <c r="U71" s="296">
        <f t="shared" si="3"/>
        <v>44016</v>
      </c>
      <c r="V71" s="6"/>
      <c r="W71" s="297">
        <v>561332</v>
      </c>
      <c r="X71" s="6"/>
      <c r="Y71" s="44">
        <v>0.191</v>
      </c>
      <c r="Z71" s="6"/>
      <c r="AA71" s="298">
        <f t="shared" ref="AA71" si="12">+W70-W71</f>
        <v>-23408</v>
      </c>
      <c r="AB71" s="6"/>
      <c r="AC71" s="302"/>
      <c r="AD71" s="295"/>
    </row>
    <row r="72" spans="4:30" ht="15" thickBot="1" x14ac:dyDescent="0.35">
      <c r="D72" s="562" t="s">
        <v>131</v>
      </c>
      <c r="E72" s="563"/>
      <c r="F72" s="563"/>
      <c r="G72" s="563"/>
      <c r="H72" s="563"/>
      <c r="I72" s="563"/>
      <c r="J72" s="563"/>
      <c r="K72" s="563"/>
      <c r="L72" s="563"/>
      <c r="M72" s="563"/>
      <c r="N72" s="563"/>
      <c r="O72" s="564"/>
      <c r="T72" s="294"/>
      <c r="U72" s="296">
        <f t="shared" si="3"/>
        <v>44017</v>
      </c>
      <c r="V72" s="6"/>
      <c r="W72" s="297">
        <v>569824</v>
      </c>
      <c r="X72" s="6"/>
      <c r="Y72" s="44">
        <v>0.191</v>
      </c>
      <c r="Z72" s="6"/>
      <c r="AA72" s="298">
        <f t="shared" ref="AA72" si="13">+W71-W72</f>
        <v>-8492</v>
      </c>
      <c r="AB72" s="6"/>
      <c r="AC72" s="302"/>
      <c r="AD72" s="295"/>
    </row>
    <row r="73" spans="4:30" ht="15" thickBot="1" x14ac:dyDescent="0.35">
      <c r="D73" s="398"/>
      <c r="E73" s="565" t="s">
        <v>75</v>
      </c>
      <c r="F73" s="565"/>
      <c r="G73" s="565"/>
      <c r="H73" s="565"/>
      <c r="I73" s="399" t="s">
        <v>74</v>
      </c>
      <c r="J73" s="400"/>
      <c r="K73" s="566" t="s">
        <v>37</v>
      </c>
      <c r="L73" s="566"/>
      <c r="M73" s="401"/>
      <c r="N73" s="402" t="s">
        <v>73</v>
      </c>
      <c r="O73" s="403"/>
      <c r="T73" s="294"/>
      <c r="U73" s="296">
        <f t="shared" si="3"/>
        <v>44018</v>
      </c>
      <c r="V73" s="6"/>
      <c r="W73" s="297">
        <v>581179</v>
      </c>
      <c r="X73" s="6"/>
      <c r="Y73" s="44">
        <v>0.192</v>
      </c>
      <c r="Z73" s="6"/>
      <c r="AA73" s="298">
        <f t="shared" ref="AA73" si="14">+W72-W73</f>
        <v>-11355</v>
      </c>
      <c r="AB73" s="6"/>
      <c r="AC73" s="302"/>
      <c r="AD73" s="295"/>
    </row>
    <row r="74" spans="4:30" x14ac:dyDescent="0.3">
      <c r="D74" s="404"/>
      <c r="E74" s="405" t="s">
        <v>43</v>
      </c>
      <c r="F74" s="406"/>
      <c r="G74" s="405"/>
      <c r="H74" s="405"/>
      <c r="I74" s="407">
        <v>38828</v>
      </c>
      <c r="J74" s="407"/>
      <c r="K74" s="408"/>
      <c r="L74" s="408"/>
      <c r="M74" s="408"/>
      <c r="N74" s="408"/>
      <c r="O74" s="409"/>
      <c r="T74" s="294"/>
      <c r="U74" s="296">
        <f t="shared" si="3"/>
        <v>44019</v>
      </c>
      <c r="V74" s="6"/>
      <c r="W74" s="297">
        <v>606840</v>
      </c>
      <c r="X74" s="6"/>
      <c r="Y74" s="44">
        <v>0.19600000000000001</v>
      </c>
      <c r="Z74" s="6"/>
      <c r="AA74" s="298">
        <f t="shared" ref="AA74" si="15">+W73-W74</f>
        <v>-25661</v>
      </c>
      <c r="AB74" s="6"/>
      <c r="AC74" s="302"/>
      <c r="AD74" s="295"/>
    </row>
    <row r="75" spans="4:30" x14ac:dyDescent="0.3">
      <c r="D75" s="404"/>
      <c r="E75" s="405" t="s">
        <v>44</v>
      </c>
      <c r="F75" s="405" t="s">
        <v>4</v>
      </c>
      <c r="G75" s="405"/>
      <c r="H75" s="405"/>
      <c r="I75" s="407">
        <v>2144</v>
      </c>
      <c r="J75" s="407"/>
      <c r="K75" s="408"/>
      <c r="L75" s="408"/>
      <c r="M75" s="408"/>
      <c r="N75" s="408"/>
      <c r="O75" s="409"/>
      <c r="T75" s="294"/>
      <c r="U75" s="296">
        <f t="shared" si="3"/>
        <v>44020</v>
      </c>
      <c r="V75" s="6"/>
      <c r="W75" s="297">
        <v>621347</v>
      </c>
      <c r="X75" s="6"/>
      <c r="Y75" s="44">
        <v>0.19700000000000001</v>
      </c>
      <c r="Z75" s="6"/>
      <c r="AA75" s="298">
        <f t="shared" ref="AA75" si="16">+W74-W75</f>
        <v>-14507</v>
      </c>
      <c r="AB75" s="6"/>
      <c r="AC75" s="302"/>
      <c r="AD75" s="295"/>
    </row>
    <row r="76" spans="4:30" x14ac:dyDescent="0.3">
      <c r="D76" s="404"/>
      <c r="E76" s="405"/>
      <c r="F76" s="405" t="s">
        <v>45</v>
      </c>
      <c r="G76" s="405"/>
      <c r="H76" s="405"/>
      <c r="I76" s="410"/>
      <c r="J76" s="407"/>
      <c r="K76" s="408"/>
      <c r="L76" s="407"/>
      <c r="M76" s="408"/>
      <c r="N76" s="411"/>
      <c r="O76" s="409"/>
      <c r="T76" s="294"/>
      <c r="U76" s="296">
        <f t="shared" si="3"/>
        <v>44021</v>
      </c>
      <c r="V76" s="6"/>
      <c r="W76" s="297">
        <v>639107</v>
      </c>
      <c r="X76" s="6"/>
      <c r="Y76" s="44">
        <v>0.19800000000000001</v>
      </c>
      <c r="Z76" s="6"/>
      <c r="AA76" s="298">
        <f t="shared" ref="AA76" si="17">+W75-W76</f>
        <v>-17760</v>
      </c>
      <c r="AB76" s="6"/>
      <c r="AC76" s="302"/>
      <c r="AD76" s="295"/>
    </row>
    <row r="77" spans="4:30" x14ac:dyDescent="0.3">
      <c r="D77" s="404"/>
      <c r="E77" s="405"/>
      <c r="F77" s="412" t="s">
        <v>70</v>
      </c>
      <c r="G77" s="412"/>
      <c r="H77" s="412"/>
      <c r="I77" s="407">
        <f>+I74-I75-I76</f>
        <v>36684</v>
      </c>
      <c r="J77" s="407"/>
      <c r="K77" s="408"/>
      <c r="L77" s="408"/>
      <c r="M77" s="408"/>
      <c r="N77" s="408"/>
      <c r="O77" s="409"/>
      <c r="T77" s="294"/>
      <c r="U77" s="296">
        <f t="shared" si="3"/>
        <v>44022</v>
      </c>
      <c r="V77" s="6"/>
      <c r="W77" s="297">
        <v>670486</v>
      </c>
      <c r="X77" s="6"/>
      <c r="Y77" s="44">
        <v>0.20399999999999999</v>
      </c>
      <c r="Z77" s="6"/>
      <c r="AA77" s="298">
        <f t="shared" ref="AA77" si="18">+W76-W77</f>
        <v>-31379</v>
      </c>
      <c r="AB77" s="6"/>
      <c r="AC77" s="302"/>
      <c r="AD77" s="295"/>
    </row>
    <row r="78" spans="4:30" x14ac:dyDescent="0.3">
      <c r="D78" s="404"/>
      <c r="E78" s="405" t="s">
        <v>77</v>
      </c>
      <c r="F78" s="16"/>
      <c r="G78" s="16"/>
      <c r="H78" s="16"/>
      <c r="I78" s="410">
        <f>+'Main Table'!AO185</f>
        <v>0</v>
      </c>
      <c r="J78" s="407"/>
      <c r="K78" s="408"/>
      <c r="L78" s="408"/>
      <c r="M78" s="408"/>
      <c r="N78" s="408"/>
      <c r="O78" s="409"/>
      <c r="T78" s="294"/>
      <c r="U78" s="296">
        <f t="shared" si="3"/>
        <v>44023</v>
      </c>
      <c r="V78" s="6"/>
      <c r="W78" s="297">
        <v>687513</v>
      </c>
      <c r="X78" s="6"/>
      <c r="Y78" s="44">
        <v>0.20499999999999999</v>
      </c>
      <c r="Z78" s="6"/>
      <c r="AA78" s="298">
        <f t="shared" ref="AA78" si="19">+W77-W78</f>
        <v>-17027</v>
      </c>
      <c r="AB78" s="6"/>
      <c r="AC78" s="302"/>
      <c r="AD78" s="295"/>
    </row>
    <row r="79" spans="4:30" x14ac:dyDescent="0.3">
      <c r="D79" s="567" t="s">
        <v>49</v>
      </c>
      <c r="E79" s="568"/>
      <c r="F79" s="568"/>
      <c r="G79" s="568"/>
      <c r="H79" s="568"/>
      <c r="I79" s="413">
        <f>+I77-I78</f>
        <v>36684</v>
      </c>
      <c r="J79" s="407"/>
      <c r="K79" s="408"/>
      <c r="L79" s="408"/>
      <c r="M79" s="408"/>
      <c r="N79" s="408"/>
      <c r="O79" s="409"/>
      <c r="T79" s="294"/>
      <c r="U79" s="296">
        <f t="shared" si="3"/>
        <v>44024</v>
      </c>
      <c r="V79" s="6"/>
      <c r="W79" s="297">
        <v>699823</v>
      </c>
      <c r="X79" s="6"/>
      <c r="Y79" s="44">
        <v>0.20499999999999999</v>
      </c>
      <c r="Z79" s="6"/>
      <c r="AA79" s="298">
        <f t="shared" ref="AA79" si="20">+W78-W79</f>
        <v>-12310</v>
      </c>
      <c r="AB79" s="6"/>
      <c r="AC79" s="302"/>
      <c r="AD79" s="295"/>
    </row>
    <row r="80" spans="4:30" x14ac:dyDescent="0.3">
      <c r="D80" s="404"/>
      <c r="E80" s="405" t="s">
        <v>71</v>
      </c>
      <c r="F80" s="16"/>
      <c r="G80" s="16"/>
      <c r="H80" s="16"/>
      <c r="I80" s="410">
        <f>+I78</f>
        <v>0</v>
      </c>
      <c r="J80" s="407"/>
      <c r="K80" s="408"/>
      <c r="L80" s="408"/>
      <c r="M80" s="408"/>
      <c r="N80" s="408"/>
      <c r="O80" s="409"/>
      <c r="T80" s="294"/>
      <c r="U80" s="296">
        <f t="shared" si="3"/>
        <v>44025</v>
      </c>
      <c r="V80" s="6"/>
      <c r="W80" s="297">
        <f>+I$36</f>
        <v>716467</v>
      </c>
      <c r="X80" s="6"/>
      <c r="Y80" s="44">
        <f>+L$36</f>
        <v>0.20591191277554741</v>
      </c>
      <c r="Z80" s="6"/>
      <c r="AA80" s="298">
        <f t="shared" ref="AA80" si="21">+W79-W80</f>
        <v>-16644</v>
      </c>
      <c r="AB80" s="6"/>
      <c r="AC80" s="302"/>
      <c r="AD80" s="295"/>
    </row>
    <row r="81" spans="4:36" ht="15" thickBot="1" x14ac:dyDescent="0.35">
      <c r="D81" s="567" t="s">
        <v>46</v>
      </c>
      <c r="E81" s="568"/>
      <c r="F81" s="568"/>
      <c r="G81" s="568"/>
      <c r="H81" s="568"/>
      <c r="I81" s="414">
        <f>+I79+I80</f>
        <v>36684</v>
      </c>
      <c r="J81" s="407"/>
      <c r="K81" s="570">
        <v>48675</v>
      </c>
      <c r="L81" s="570"/>
      <c r="M81" s="408"/>
      <c r="N81" s="415">
        <f>+K81-I81</f>
        <v>11991</v>
      </c>
      <c r="O81" s="409"/>
      <c r="S81" s="57"/>
      <c r="T81" s="294"/>
      <c r="U81" s="296">
        <f t="shared" si="3"/>
        <v>44026</v>
      </c>
      <c r="V81" s="6"/>
      <c r="W81" s="297"/>
      <c r="X81" s="6"/>
      <c r="Y81" s="44"/>
      <c r="Z81" s="6"/>
      <c r="AA81" s="298"/>
      <c r="AB81" s="6"/>
      <c r="AC81" s="302"/>
      <c r="AD81" s="295"/>
    </row>
    <row r="82" spans="4:36" ht="15.6" thickTop="1" thickBot="1" x14ac:dyDescent="0.35">
      <c r="D82" s="416"/>
      <c r="E82" s="569" t="s">
        <v>69</v>
      </c>
      <c r="F82" s="569"/>
      <c r="G82" s="569"/>
      <c r="H82" s="412"/>
      <c r="I82" s="417">
        <f>+I81/K81</f>
        <v>0.75365177195685673</v>
      </c>
      <c r="J82" s="408"/>
      <c r="K82" s="408"/>
      <c r="L82" s="408"/>
      <c r="M82" s="408"/>
      <c r="N82" s="418">
        <f>+N81/K81</f>
        <v>0.2463482280431433</v>
      </c>
      <c r="O82" s="409"/>
      <c r="T82" s="294"/>
      <c r="U82" s="296">
        <f t="shared" si="3"/>
        <v>44027</v>
      </c>
      <c r="V82" s="6"/>
      <c r="W82" s="297"/>
      <c r="X82" s="6"/>
      <c r="Y82" s="44"/>
      <c r="Z82" s="6"/>
      <c r="AA82" s="298"/>
      <c r="AB82" s="6"/>
      <c r="AC82" s="302"/>
      <c r="AD82" s="295"/>
    </row>
    <row r="83" spans="4:36" ht="15.6" thickTop="1" thickBot="1" x14ac:dyDescent="0.35">
      <c r="D83" s="419"/>
      <c r="E83" s="420"/>
      <c r="F83" s="420"/>
      <c r="G83" s="420"/>
      <c r="H83" s="420"/>
      <c r="I83" s="421"/>
      <c r="J83" s="422"/>
      <c r="K83" s="423"/>
      <c r="L83" s="423"/>
      <c r="M83" s="423"/>
      <c r="N83" s="423"/>
      <c r="O83" s="424"/>
      <c r="T83" s="294"/>
      <c r="U83" s="296">
        <f t="shared" si="3"/>
        <v>44028</v>
      </c>
      <c r="V83" s="6"/>
      <c r="W83" s="297"/>
      <c r="X83" s="6"/>
      <c r="Y83" s="44"/>
      <c r="Z83" s="6"/>
      <c r="AA83" s="298"/>
      <c r="AB83" s="6"/>
      <c r="AC83" s="302"/>
      <c r="AD83" s="295"/>
    </row>
    <row r="84" spans="4:36" ht="15" thickBot="1" x14ac:dyDescent="0.35">
      <c r="D84" s="90"/>
      <c r="E84" s="152"/>
      <c r="F84" s="152"/>
      <c r="G84" s="152"/>
      <c r="H84" s="152"/>
      <c r="I84" s="354"/>
      <c r="J84" s="90"/>
      <c r="K84" s="110"/>
      <c r="L84" s="110"/>
      <c r="M84" s="360"/>
      <c r="N84" s="110"/>
      <c r="O84" s="110"/>
      <c r="T84" s="294"/>
      <c r="U84" s="296">
        <f t="shared" si="3"/>
        <v>44029</v>
      </c>
      <c r="V84" s="6"/>
      <c r="W84" s="297"/>
      <c r="X84" s="6"/>
      <c r="Y84" s="44"/>
      <c r="Z84" s="6"/>
      <c r="AA84" s="298"/>
      <c r="AB84" s="6"/>
      <c r="AC84" s="302"/>
      <c r="AD84" s="295"/>
    </row>
    <row r="85" spans="4:36" ht="16.2" thickBot="1" x14ac:dyDescent="0.35">
      <c r="D85" s="425"/>
      <c r="E85" s="571" t="s">
        <v>132</v>
      </c>
      <c r="F85" s="572"/>
      <c r="G85" s="572"/>
      <c r="H85" s="572"/>
      <c r="I85" s="572"/>
      <c r="J85" s="573"/>
      <c r="K85" s="426"/>
      <c r="L85" s="438" t="s">
        <v>10</v>
      </c>
      <c r="M85" s="427"/>
      <c r="N85" s="110"/>
      <c r="O85" s="110"/>
      <c r="T85" s="294"/>
      <c r="U85" s="296">
        <f t="shared" si="3"/>
        <v>44030</v>
      </c>
      <c r="V85" s="6"/>
      <c r="W85" s="297"/>
      <c r="X85" s="6"/>
      <c r="Y85" s="44"/>
      <c r="Z85" s="6"/>
      <c r="AA85" s="298"/>
      <c r="AB85" s="6"/>
      <c r="AC85" s="302"/>
      <c r="AD85" s="295"/>
    </row>
    <row r="86" spans="4:36" x14ac:dyDescent="0.3">
      <c r="D86" s="404"/>
      <c r="E86" s="428" t="s">
        <v>88</v>
      </c>
      <c r="F86" s="16"/>
      <c r="G86" s="16"/>
      <c r="H86" s="16"/>
      <c r="I86" s="574">
        <f>+K81</f>
        <v>48675</v>
      </c>
      <c r="J86" s="574"/>
      <c r="K86" s="16"/>
      <c r="L86" s="60">
        <f>+I86/$I$86</f>
        <v>1</v>
      </c>
      <c r="M86" s="429"/>
      <c r="N86" s="110"/>
      <c r="O86" s="110"/>
      <c r="T86" s="294"/>
      <c r="U86" s="296">
        <f t="shared" si="3"/>
        <v>44031</v>
      </c>
      <c r="V86" s="6"/>
      <c r="W86" s="297"/>
      <c r="X86" s="6"/>
      <c r="Y86" s="44"/>
      <c r="Z86" s="6"/>
      <c r="AA86" s="298"/>
      <c r="AB86" s="6"/>
      <c r="AC86" s="302"/>
      <c r="AD86" s="295"/>
    </row>
    <row r="87" spans="4:36" x14ac:dyDescent="0.3">
      <c r="D87" s="404"/>
      <c r="E87" s="428"/>
      <c r="F87" s="16"/>
      <c r="G87" s="16"/>
      <c r="H87" s="16"/>
      <c r="I87" s="16"/>
      <c r="J87" s="16"/>
      <c r="K87" s="16"/>
      <c r="L87" s="16"/>
      <c r="M87" s="429"/>
      <c r="N87" s="110"/>
      <c r="O87" s="110"/>
      <c r="T87" s="294"/>
      <c r="U87" s="296">
        <f t="shared" si="3"/>
        <v>44032</v>
      </c>
      <c r="V87" s="6"/>
      <c r="W87" s="297"/>
      <c r="X87" s="6"/>
      <c r="Y87" s="44"/>
      <c r="Z87" s="6"/>
      <c r="AA87" s="298"/>
      <c r="AB87" s="6"/>
      <c r="AC87" s="302"/>
      <c r="AD87" s="295"/>
    </row>
    <row r="88" spans="4:36" ht="15" thickBot="1" x14ac:dyDescent="0.35">
      <c r="D88" s="416"/>
      <c r="E88" s="15"/>
      <c r="F88" s="430" t="s">
        <v>113</v>
      </c>
      <c r="G88" s="430"/>
      <c r="H88" s="15"/>
      <c r="I88" s="575">
        <f>+I81</f>
        <v>36684</v>
      </c>
      <c r="J88" s="576"/>
      <c r="K88" s="15"/>
      <c r="L88" s="60">
        <f>+I88/$I$86</f>
        <v>0.75365177195685673</v>
      </c>
      <c r="M88" s="409"/>
      <c r="N88" s="110"/>
      <c r="O88" s="110"/>
      <c r="T88" s="299"/>
      <c r="U88" s="394">
        <f t="shared" si="3"/>
        <v>44033</v>
      </c>
      <c r="V88" s="291"/>
      <c r="W88" s="395"/>
      <c r="X88" s="291"/>
      <c r="Y88" s="300"/>
      <c r="Z88" s="291"/>
      <c r="AA88" s="396"/>
      <c r="AB88" s="291"/>
      <c r="AC88" s="397"/>
      <c r="AD88" s="301"/>
    </row>
    <row r="89" spans="4:36" x14ac:dyDescent="0.3">
      <c r="D89" s="416"/>
      <c r="E89" s="15"/>
      <c r="F89" s="15" t="s">
        <v>89</v>
      </c>
      <c r="G89" s="15"/>
      <c r="H89" s="15"/>
      <c r="I89" s="577">
        <f>+I75</f>
        <v>2144</v>
      </c>
      <c r="J89" s="578"/>
      <c r="K89" s="15"/>
      <c r="L89" s="60">
        <f>+I89/$I$86</f>
        <v>4.4047252182845401E-2</v>
      </c>
      <c r="M89" s="409"/>
      <c r="N89" s="110"/>
      <c r="O89" s="110"/>
    </row>
    <row r="90" spans="4:36" ht="15" thickBot="1" x14ac:dyDescent="0.35">
      <c r="D90" s="416"/>
      <c r="E90" s="580" t="s">
        <v>114</v>
      </c>
      <c r="F90" s="580"/>
      <c r="G90" s="580"/>
      <c r="H90" s="15"/>
      <c r="I90" s="581">
        <f>+I86-I88-I89</f>
        <v>9847</v>
      </c>
      <c r="J90" s="582"/>
      <c r="K90" s="431"/>
      <c r="L90" s="432">
        <f>+I90/$I$86</f>
        <v>0.20230097586029788</v>
      </c>
      <c r="M90" s="409"/>
      <c r="N90" s="110"/>
      <c r="O90" s="110"/>
      <c r="P90" s="57">
        <f>+I90/I95</f>
        <v>4.5847474526762295E-4</v>
      </c>
      <c r="Q90" s="57"/>
      <c r="R90" s="57"/>
    </row>
    <row r="91" spans="4:36" ht="15" thickTop="1" x14ac:dyDescent="0.3">
      <c r="D91" s="416"/>
      <c r="E91" s="433"/>
      <c r="F91" s="433"/>
      <c r="G91" s="433"/>
      <c r="H91" s="15"/>
      <c r="I91" s="434"/>
      <c r="J91" s="433"/>
      <c r="K91" s="431"/>
      <c r="L91" s="435"/>
      <c r="M91" s="409"/>
      <c r="N91" s="110"/>
      <c r="O91" s="110"/>
    </row>
    <row r="92" spans="4:36" ht="15" thickBot="1" x14ac:dyDescent="0.35">
      <c r="D92" s="436"/>
      <c r="E92" s="437"/>
      <c r="F92" s="437"/>
      <c r="G92" s="437"/>
      <c r="H92" s="437"/>
      <c r="I92" s="437"/>
      <c r="J92" s="437"/>
      <c r="K92" s="437"/>
      <c r="L92" s="437"/>
      <c r="M92" s="424"/>
      <c r="N92" s="110"/>
      <c r="O92" s="110"/>
    </row>
    <row r="93" spans="4:36" ht="15.6" thickTop="1" thickBot="1" x14ac:dyDescent="0.35">
      <c r="Q93" s="485"/>
      <c r="R93" s="486"/>
      <c r="S93" s="486"/>
      <c r="T93" s="486"/>
      <c r="U93" s="486"/>
      <c r="V93" s="486"/>
      <c r="W93" s="486"/>
      <c r="X93" s="486"/>
      <c r="Y93" s="486"/>
      <c r="Z93" s="486"/>
      <c r="AA93" s="486"/>
      <c r="AB93" s="487"/>
    </row>
    <row r="94" spans="4:36" ht="15" thickBot="1" x14ac:dyDescent="0.35">
      <c r="E94" s="583" t="s">
        <v>119</v>
      </c>
      <c r="F94" s="584"/>
      <c r="G94" s="584"/>
      <c r="H94" s="584"/>
      <c r="I94" s="584"/>
      <c r="J94" s="584"/>
      <c r="K94" s="584"/>
      <c r="L94" s="584"/>
      <c r="M94" s="585"/>
      <c r="Q94" s="488"/>
      <c r="R94" s="6"/>
      <c r="S94" s="6"/>
      <c r="T94" s="6"/>
      <c r="U94" s="5" t="s">
        <v>146</v>
      </c>
      <c r="V94" s="5"/>
      <c r="W94" s="5"/>
      <c r="X94" s="5"/>
      <c r="Y94" s="5"/>
      <c r="Z94" s="5"/>
      <c r="AA94" s="5" t="s">
        <v>30</v>
      </c>
      <c r="AB94" s="489"/>
    </row>
    <row r="95" spans="4:36" x14ac:dyDescent="0.3">
      <c r="E95" s="439"/>
      <c r="F95" s="440" t="s">
        <v>120</v>
      </c>
      <c r="G95" s="440"/>
      <c r="H95" s="440"/>
      <c r="I95" s="586">
        <v>21477737</v>
      </c>
      <c r="J95" s="586"/>
      <c r="K95" s="586"/>
      <c r="L95" s="586"/>
      <c r="M95" s="441"/>
      <c r="Q95" s="488"/>
      <c r="R95" s="481" t="s">
        <v>148</v>
      </c>
      <c r="S95" s="6"/>
      <c r="T95" s="6"/>
      <c r="U95" s="481" t="s">
        <v>147</v>
      </c>
      <c r="V95" s="5"/>
      <c r="W95" s="481" t="s">
        <v>20</v>
      </c>
      <c r="X95" s="5"/>
      <c r="Y95" s="481" t="s">
        <v>4</v>
      </c>
      <c r="Z95" s="5"/>
      <c r="AA95" s="490" t="s">
        <v>145</v>
      </c>
      <c r="AB95" s="489"/>
    </row>
    <row r="96" spans="4:36" x14ac:dyDescent="0.3">
      <c r="E96" s="439"/>
      <c r="F96" s="440" t="s">
        <v>110</v>
      </c>
      <c r="G96" s="440"/>
      <c r="H96" s="440"/>
      <c r="I96" s="440"/>
      <c r="J96" s="440"/>
      <c r="K96" s="440"/>
      <c r="L96" s="442">
        <f>+I90/I95</f>
        <v>4.5847474526762295E-4</v>
      </c>
      <c r="M96" s="441"/>
      <c r="Q96" s="488"/>
      <c r="R96" s="6" t="s">
        <v>135</v>
      </c>
      <c r="S96" s="6"/>
      <c r="T96" s="6"/>
      <c r="U96" s="7">
        <v>2003</v>
      </c>
      <c r="V96" s="6"/>
      <c r="W96" s="7">
        <v>389666</v>
      </c>
      <c r="X96" s="6"/>
      <c r="Y96" s="7">
        <v>31257</v>
      </c>
      <c r="Z96" s="6"/>
      <c r="AA96" s="297">
        <f>+AJ96</f>
        <v>19500</v>
      </c>
      <c r="AB96" s="489"/>
      <c r="AJ96" s="1">
        <v>19500</v>
      </c>
    </row>
    <row r="97" spans="5:36" x14ac:dyDescent="0.3">
      <c r="E97" s="439"/>
      <c r="F97" s="579" t="s">
        <v>108</v>
      </c>
      <c r="G97" s="579"/>
      <c r="H97" s="440"/>
      <c r="I97" s="440"/>
      <c r="J97" s="440"/>
      <c r="K97" s="440"/>
      <c r="L97" s="443">
        <f>+I90/(I95/100000)</f>
        <v>45.847474526762298</v>
      </c>
      <c r="M97" s="441"/>
      <c r="Q97" s="488"/>
      <c r="R97" s="6" t="s">
        <v>136</v>
      </c>
      <c r="S97" s="6"/>
      <c r="T97" s="6"/>
      <c r="U97" s="7">
        <v>1913</v>
      </c>
      <c r="V97" s="6"/>
      <c r="W97" s="7">
        <v>169892</v>
      </c>
      <c r="X97" s="6"/>
      <c r="Y97" s="7">
        <v>13076</v>
      </c>
      <c r="Z97" s="6"/>
      <c r="AA97" s="297">
        <f t="shared" ref="AA97:AA105" si="22">+AJ97</f>
        <v>8900</v>
      </c>
      <c r="AB97" s="489"/>
      <c r="AJ97" s="1">
        <v>8900</v>
      </c>
    </row>
    <row r="98" spans="5:36" x14ac:dyDescent="0.3">
      <c r="E98" s="439"/>
      <c r="F98" s="444"/>
      <c r="G98" s="444"/>
      <c r="H98" s="440"/>
      <c r="I98" s="440"/>
      <c r="J98" s="440"/>
      <c r="K98" s="440"/>
      <c r="L98" s="443"/>
      <c r="M98" s="441"/>
      <c r="Q98" s="488"/>
      <c r="R98" s="6" t="s">
        <v>137</v>
      </c>
      <c r="S98" s="6"/>
      <c r="T98" s="6"/>
      <c r="U98" s="7">
        <v>1568</v>
      </c>
      <c r="V98" s="6"/>
      <c r="W98" s="7">
        <v>16606</v>
      </c>
      <c r="X98" s="6"/>
      <c r="Y98" s="7">
        <v>912</v>
      </c>
      <c r="Z98" s="6"/>
      <c r="AA98" s="297">
        <f t="shared" si="22"/>
        <v>1100</v>
      </c>
      <c r="AB98" s="489"/>
      <c r="AJ98" s="1">
        <v>1100</v>
      </c>
    </row>
    <row r="99" spans="5:36" x14ac:dyDescent="0.3">
      <c r="E99" s="439"/>
      <c r="F99" s="444" t="s">
        <v>121</v>
      </c>
      <c r="G99" s="444"/>
      <c r="H99" s="579" t="s">
        <v>122</v>
      </c>
      <c r="I99" s="579"/>
      <c r="J99" s="440"/>
      <c r="K99" s="440"/>
      <c r="L99" s="443"/>
      <c r="M99" s="441"/>
      <c r="Q99" s="488"/>
      <c r="R99" s="6" t="s">
        <v>58</v>
      </c>
      <c r="S99" s="6"/>
      <c r="T99" s="6"/>
      <c r="U99" s="7">
        <v>1561</v>
      </c>
      <c r="V99" s="6"/>
      <c r="W99" s="7">
        <v>107611</v>
      </c>
      <c r="X99" s="6"/>
      <c r="Y99" s="7">
        <v>7937</v>
      </c>
      <c r="Z99" s="6"/>
      <c r="AA99" s="297">
        <f t="shared" si="22"/>
        <v>7000</v>
      </c>
      <c r="AB99" s="489"/>
      <c r="AJ99" s="1">
        <v>7000</v>
      </c>
    </row>
    <row r="100" spans="5:36" ht="15" thickBot="1" x14ac:dyDescent="0.35">
      <c r="E100" s="445"/>
      <c r="F100" s="446"/>
      <c r="G100" s="446"/>
      <c r="H100" s="446"/>
      <c r="I100" s="446"/>
      <c r="J100" s="446"/>
      <c r="K100" s="446"/>
      <c r="L100" s="446"/>
      <c r="M100" s="447"/>
      <c r="Q100" s="488"/>
      <c r="R100" s="6" t="s">
        <v>142</v>
      </c>
      <c r="S100" s="6"/>
      <c r="T100" s="6"/>
      <c r="U100" s="7">
        <v>1435</v>
      </c>
      <c r="V100" s="6"/>
      <c r="W100" s="7">
        <v>10128</v>
      </c>
      <c r="X100" s="6"/>
      <c r="Y100" s="7">
        <v>541</v>
      </c>
      <c r="Z100" s="6"/>
      <c r="AA100" s="297">
        <f t="shared" si="22"/>
        <v>700</v>
      </c>
      <c r="AB100" s="489"/>
      <c r="AJ100" s="1">
        <v>700</v>
      </c>
    </row>
    <row r="101" spans="5:36" x14ac:dyDescent="0.3">
      <c r="Q101" s="488"/>
      <c r="R101" s="6" t="s">
        <v>138</v>
      </c>
      <c r="S101" s="6"/>
      <c r="T101" s="6"/>
      <c r="U101" s="7">
        <v>1288</v>
      </c>
      <c r="V101" s="6"/>
      <c r="W101" s="7">
        <v>45913</v>
      </c>
      <c r="X101" s="6"/>
      <c r="Y101" s="7">
        <v>4287</v>
      </c>
      <c r="Z101" s="6"/>
      <c r="AA101" s="297">
        <f t="shared" si="22"/>
        <v>3600</v>
      </c>
      <c r="AB101" s="489"/>
      <c r="AJ101" s="1">
        <v>3600</v>
      </c>
    </row>
    <row r="102" spans="5:36" x14ac:dyDescent="0.3">
      <c r="Q102" s="488"/>
      <c r="R102" s="6" t="s">
        <v>143</v>
      </c>
      <c r="S102" s="6"/>
      <c r="T102" s="6"/>
      <c r="U102" s="7">
        <v>1129</v>
      </c>
      <c r="V102" s="6"/>
      <c r="W102" s="7">
        <v>52477</v>
      </c>
      <c r="X102" s="6"/>
      <c r="Y102" s="7">
        <v>3152</v>
      </c>
      <c r="Z102" s="6"/>
      <c r="AA102" s="297">
        <f t="shared" si="22"/>
        <v>4600</v>
      </c>
      <c r="AB102" s="489"/>
      <c r="AJ102" s="1">
        <v>4600</v>
      </c>
    </row>
    <row r="103" spans="5:36" x14ac:dyDescent="0.3">
      <c r="Q103" s="488"/>
      <c r="R103" s="6" t="s">
        <v>139</v>
      </c>
      <c r="S103" s="6"/>
      <c r="T103" s="6"/>
      <c r="U103" s="7">
        <v>1118</v>
      </c>
      <c r="V103" s="6"/>
      <c r="W103" s="7">
        <v>10889</v>
      </c>
      <c r="X103" s="6"/>
      <c r="Y103" s="7">
        <v>505</v>
      </c>
      <c r="Z103" s="6"/>
      <c r="AA103" s="297">
        <f t="shared" si="22"/>
        <v>980</v>
      </c>
      <c r="AB103" s="489"/>
      <c r="AJ103" s="1">
        <v>980</v>
      </c>
    </row>
    <row r="104" spans="5:36" x14ac:dyDescent="0.3">
      <c r="Q104" s="488"/>
      <c r="R104" s="6" t="s">
        <v>140</v>
      </c>
      <c r="S104" s="6"/>
      <c r="T104" s="6"/>
      <c r="U104" s="7">
        <v>1093</v>
      </c>
      <c r="V104" s="6"/>
      <c r="W104" s="7">
        <v>138546</v>
      </c>
      <c r="X104" s="6"/>
      <c r="Y104" s="7">
        <v>6770</v>
      </c>
      <c r="Z104" s="6"/>
      <c r="AA104" s="297">
        <f t="shared" si="22"/>
        <v>12700</v>
      </c>
      <c r="AB104" s="489"/>
      <c r="AJ104" s="1">
        <v>12700</v>
      </c>
    </row>
    <row r="105" spans="5:36" x14ac:dyDescent="0.3">
      <c r="Q105" s="488"/>
      <c r="R105" s="6" t="s">
        <v>141</v>
      </c>
      <c r="S105" s="6"/>
      <c r="T105" s="6"/>
      <c r="U105" s="491">
        <v>1081</v>
      </c>
      <c r="V105" s="6"/>
      <c r="W105" s="491">
        <v>65337</v>
      </c>
      <c r="X105" s="6"/>
      <c r="Y105" s="491">
        <v>3108</v>
      </c>
      <c r="Z105" s="6"/>
      <c r="AA105" s="492">
        <f t="shared" si="22"/>
        <v>6100</v>
      </c>
      <c r="AB105" s="489"/>
      <c r="AJ105" s="483">
        <v>6100</v>
      </c>
    </row>
    <row r="106" spans="5:36" x14ac:dyDescent="0.3">
      <c r="Q106" s="488"/>
      <c r="R106" s="5" t="s">
        <v>33</v>
      </c>
      <c r="S106" s="6"/>
      <c r="T106" s="6"/>
      <c r="U106" s="297">
        <f>+W106/(AA106/100)</f>
        <v>1545.0521632402579</v>
      </c>
      <c r="V106" s="6"/>
      <c r="W106" s="297">
        <f>SUM(W96:W105)</f>
        <v>1007065</v>
      </c>
      <c r="X106" s="6"/>
      <c r="Y106" s="297">
        <f>SUM(Y96:Y105)</f>
        <v>71545</v>
      </c>
      <c r="Z106" s="6"/>
      <c r="AA106" s="297">
        <f>SUM(AA96:AA105)</f>
        <v>65180</v>
      </c>
      <c r="AB106" s="489"/>
      <c r="AJ106" s="56">
        <f>SUM(AJ96:AJ105)</f>
        <v>65180</v>
      </c>
    </row>
    <row r="107" spans="5:36" x14ac:dyDescent="0.3">
      <c r="Q107" s="488"/>
      <c r="R107" s="5"/>
      <c r="S107" s="6"/>
      <c r="T107" s="6"/>
      <c r="U107" s="6"/>
      <c r="V107" s="6"/>
      <c r="W107" s="297"/>
      <c r="X107" s="6"/>
      <c r="Y107" s="297"/>
      <c r="Z107" s="6"/>
      <c r="AA107" s="6"/>
      <c r="AB107" s="489"/>
      <c r="AJ107" s="56"/>
    </row>
    <row r="108" spans="5:36" x14ac:dyDescent="0.3">
      <c r="Q108" s="488"/>
      <c r="R108" s="5" t="s">
        <v>59</v>
      </c>
      <c r="S108" s="6"/>
      <c r="T108" s="6"/>
      <c r="U108" s="7">
        <v>7441</v>
      </c>
      <c r="V108" s="6"/>
      <c r="W108" s="7">
        <f>+'Main Table'!H106</f>
        <v>2465403</v>
      </c>
      <c r="X108" s="6"/>
      <c r="Y108" s="7">
        <f>+'Main Table'!Z106</f>
        <v>126977</v>
      </c>
      <c r="Z108" s="6"/>
      <c r="AA108" s="297">
        <v>331000</v>
      </c>
      <c r="AB108" s="489"/>
      <c r="AJ108" s="56">
        <v>333000</v>
      </c>
    </row>
    <row r="109" spans="5:36" ht="15" thickBot="1" x14ac:dyDescent="0.35">
      <c r="Q109" s="488"/>
      <c r="R109" s="5" t="s">
        <v>144</v>
      </c>
      <c r="S109" s="6"/>
      <c r="T109" s="6"/>
      <c r="U109" s="493"/>
      <c r="V109" s="6"/>
      <c r="W109" s="494">
        <f>+W106/W108</f>
        <v>0.40847885720914595</v>
      </c>
      <c r="X109" s="6"/>
      <c r="Y109" s="494">
        <f>+Y106/Y108</f>
        <v>0.56344849854698098</v>
      </c>
      <c r="Z109" s="6"/>
      <c r="AA109" s="494">
        <f>+AA106/AA108</f>
        <v>0.19691842900302114</v>
      </c>
      <c r="AB109" s="489"/>
      <c r="AJ109" s="484">
        <f>+AJ106/AJ108</f>
        <v>0.19573573573573574</v>
      </c>
    </row>
    <row r="110" spans="5:36" ht="15.6" thickTop="1" thickBot="1" x14ac:dyDescent="0.35">
      <c r="Q110" s="495"/>
      <c r="R110" s="496"/>
      <c r="S110" s="496"/>
      <c r="T110" s="496"/>
      <c r="U110" s="496"/>
      <c r="V110" s="496"/>
      <c r="W110" s="496"/>
      <c r="X110" s="496"/>
      <c r="Y110" s="496"/>
      <c r="Z110" s="496"/>
      <c r="AA110" s="496"/>
      <c r="AB110" s="497"/>
    </row>
    <row r="111" spans="5:36" ht="15" thickTop="1" x14ac:dyDescent="0.3"/>
    <row r="114" spans="6:23" x14ac:dyDescent="0.3">
      <c r="F114" s="1">
        <v>1248371</v>
      </c>
    </row>
    <row r="115" spans="6:23" x14ac:dyDescent="0.3">
      <c r="W115" s="1"/>
    </row>
    <row r="116" spans="6:23" x14ac:dyDescent="0.3">
      <c r="F116">
        <v>700</v>
      </c>
    </row>
    <row r="117" spans="6:23" x14ac:dyDescent="0.3">
      <c r="F117" s="87">
        <f>+F116/F114</f>
        <v>5.6073074430597954E-4</v>
      </c>
    </row>
    <row r="119" spans="6:23" x14ac:dyDescent="0.3">
      <c r="F119" s="1">
        <v>60000</v>
      </c>
    </row>
    <row r="120" spans="6:23" x14ac:dyDescent="0.3">
      <c r="F120">
        <f>+F117*F119</f>
        <v>33.643844658358773</v>
      </c>
    </row>
  </sheetData>
  <mergeCells count="50"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E85:J85"/>
    <mergeCell ref="I86:J86"/>
    <mergeCell ref="I88:J88"/>
    <mergeCell ref="I89:J89"/>
    <mergeCell ref="H99:I99"/>
    <mergeCell ref="E90:G90"/>
    <mergeCell ref="I90:J90"/>
    <mergeCell ref="E94:M94"/>
    <mergeCell ref="I95:L95"/>
    <mergeCell ref="F97:G97"/>
    <mergeCell ref="D72:O72"/>
    <mergeCell ref="E73:H73"/>
    <mergeCell ref="K73:L73"/>
    <mergeCell ref="D79:H79"/>
    <mergeCell ref="E82:G82"/>
    <mergeCell ref="D81:H81"/>
    <mergeCell ref="K81:L8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7" workbookViewId="0">
      <selection activeCell="AG35" sqref="AG3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527" t="s">
        <v>5</v>
      </c>
      <c r="C1" s="527"/>
      <c r="D1" s="527"/>
    </row>
    <row r="2" spans="2:31" ht="15.6" x14ac:dyDescent="0.3">
      <c r="B2" s="527" t="s">
        <v>6</v>
      </c>
      <c r="C2" s="527"/>
      <c r="D2" s="527"/>
    </row>
    <row r="3" spans="2:31" ht="15.6" x14ac:dyDescent="0.3">
      <c r="B3" s="257" t="s">
        <v>13</v>
      </c>
      <c r="C3" s="257"/>
      <c r="D3" s="167"/>
    </row>
    <row r="4" spans="2:31" ht="15.6" x14ac:dyDescent="0.3">
      <c r="B4" s="168"/>
      <c r="C4" s="168"/>
      <c r="D4" s="167"/>
    </row>
    <row r="5" spans="2:31" ht="15.6" x14ac:dyDescent="0.3">
      <c r="B5" s="168"/>
      <c r="C5" s="168"/>
      <c r="D5" s="167" t="s">
        <v>83</v>
      </c>
      <c r="F5" s="258" t="s">
        <v>84</v>
      </c>
    </row>
    <row r="6" spans="2:31" ht="15.6" x14ac:dyDescent="0.3">
      <c r="B6" s="168"/>
      <c r="C6" s="168"/>
      <c r="D6" s="167"/>
      <c r="F6" t="s">
        <v>87</v>
      </c>
    </row>
    <row r="7" spans="2:31" ht="15.6" x14ac:dyDescent="0.3">
      <c r="B7" s="168"/>
      <c r="C7" s="168"/>
      <c r="D7" s="167"/>
      <c r="F7" s="258" t="s">
        <v>86</v>
      </c>
    </row>
    <row r="8" spans="2:31" ht="15.6" x14ac:dyDescent="0.3">
      <c r="B8" s="168"/>
      <c r="C8" s="168"/>
      <c r="D8" s="167"/>
      <c r="F8" s="258" t="s">
        <v>85</v>
      </c>
    </row>
    <row r="9" spans="2:31" ht="15.6" x14ac:dyDescent="0.3">
      <c r="B9" s="168"/>
      <c r="C9" s="168"/>
      <c r="D9" s="167"/>
      <c r="F9" s="258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35" t="s">
        <v>23</v>
      </c>
      <c r="E12" s="636"/>
      <c r="F12" s="636"/>
      <c r="G12" s="636"/>
      <c r="H12" s="636"/>
      <c r="I12" s="636"/>
      <c r="J12" s="636"/>
      <c r="K12" s="636"/>
      <c r="L12" s="636"/>
      <c r="M12" s="636"/>
      <c r="N12" s="636"/>
      <c r="O12" s="636"/>
      <c r="P12" s="636"/>
      <c r="Q12" s="636"/>
      <c r="R12" s="636"/>
      <c r="S12" s="636"/>
      <c r="T12" s="636"/>
      <c r="U12" s="637"/>
      <c r="V12" s="59"/>
    </row>
    <row r="13" spans="2:31" ht="15" thickBot="1" x14ac:dyDescent="0.35">
      <c r="D13" s="227" t="s">
        <v>19</v>
      </c>
      <c r="E13" s="76"/>
      <c r="F13" s="228" t="s">
        <v>20</v>
      </c>
      <c r="G13" s="77"/>
      <c r="H13" s="77"/>
      <c r="I13" s="77"/>
      <c r="J13" s="229" t="s">
        <v>21</v>
      </c>
      <c r="K13" s="77"/>
      <c r="L13" s="228" t="s">
        <v>18</v>
      </c>
      <c r="M13" s="78"/>
      <c r="N13" s="78"/>
      <c r="O13" s="78"/>
      <c r="P13" s="228" t="s">
        <v>20</v>
      </c>
      <c r="Q13" s="78"/>
      <c r="R13" s="78"/>
      <c r="S13" s="78"/>
      <c r="T13" s="228" t="s">
        <v>22</v>
      </c>
      <c r="U13" s="230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2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2">
        <f>+'Main Table'!J133</f>
        <v>1.9182219071791261E-2</v>
      </c>
      <c r="U14" s="230"/>
      <c r="V14" s="1"/>
      <c r="X14" s="234"/>
      <c r="Y14" s="634" t="s">
        <v>62</v>
      </c>
      <c r="Z14" s="634"/>
      <c r="AA14" s="634"/>
      <c r="AB14" s="634"/>
      <c r="AC14" s="634"/>
      <c r="AD14" s="235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87073.832886398479</v>
      </c>
      <c r="Q15" s="81"/>
      <c r="R15" s="81"/>
      <c r="S15" s="81"/>
      <c r="T15" s="82">
        <f t="shared" ref="T15:T59" si="5">+T14</f>
        <v>1.9182219071791261E-2</v>
      </c>
      <c r="U15" s="230"/>
      <c r="V15" s="1"/>
      <c r="X15" s="236"/>
      <c r="Y15" s="237" t="s">
        <v>63</v>
      </c>
      <c r="Z15" s="238"/>
      <c r="AA15" s="237" t="s">
        <v>64</v>
      </c>
      <c r="AB15" s="239"/>
      <c r="AC15" s="240" t="s">
        <v>10</v>
      </c>
      <c r="AD15" s="241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88744.102224245915</v>
      </c>
      <c r="Q16" s="81"/>
      <c r="R16" s="81"/>
      <c r="S16" s="81"/>
      <c r="T16" s="82">
        <f t="shared" si="5"/>
        <v>1.9182219071791261E-2</v>
      </c>
      <c r="U16" s="230"/>
      <c r="V16" s="1"/>
      <c r="X16" s="236"/>
      <c r="Y16" s="242" t="s">
        <v>59</v>
      </c>
      <c r="Z16" s="242"/>
      <c r="AA16" s="243">
        <v>330</v>
      </c>
      <c r="AB16" s="242"/>
      <c r="AC16" s="244">
        <f>+AA16/AA16</f>
        <v>1</v>
      </c>
      <c r="AD16" s="241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90446.411034440825</v>
      </c>
      <c r="Q17" s="81"/>
      <c r="R17" s="81"/>
      <c r="S17" s="81"/>
      <c r="T17" s="82">
        <f t="shared" si="5"/>
        <v>1.9182219071791261E-2</v>
      </c>
      <c r="U17" s="230"/>
      <c r="V17" s="1"/>
      <c r="X17" s="236"/>
      <c r="Y17" s="245" t="s">
        <v>61</v>
      </c>
      <c r="Z17" s="242"/>
      <c r="AA17" s="246">
        <v>53.42</v>
      </c>
      <c r="AB17" s="242"/>
      <c r="AC17" s="244">
        <f>+AA17/AA16</f>
        <v>0.16187878787878787</v>
      </c>
      <c r="AD17" s="241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92181.373905160741</v>
      </c>
      <c r="Q18" s="81"/>
      <c r="R18" s="81"/>
      <c r="S18" s="81"/>
      <c r="T18" s="82">
        <f t="shared" si="5"/>
        <v>1.9182219071791261E-2</v>
      </c>
      <c r="U18" s="230"/>
      <c r="V18" s="1"/>
      <c r="X18" s="236"/>
      <c r="Y18" s="247" t="s">
        <v>65</v>
      </c>
      <c r="Z18" s="247"/>
      <c r="AA18" s="243">
        <f>+AC18*AA17</f>
        <v>11.37846</v>
      </c>
      <c r="AB18" s="242"/>
      <c r="AC18" s="244">
        <v>0.21299999999999999</v>
      </c>
      <c r="AD18" s="241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93949.617213748235</v>
      </c>
      <c r="Q19" s="81"/>
      <c r="R19" s="81"/>
      <c r="S19" s="81"/>
      <c r="T19" s="82">
        <f t="shared" si="5"/>
        <v>1.9182219071791261E-2</v>
      </c>
      <c r="U19" s="230"/>
      <c r="V19" s="1"/>
      <c r="X19" s="248"/>
      <c r="Y19" s="249" t="s">
        <v>66</v>
      </c>
      <c r="Z19" s="249"/>
      <c r="AA19" s="250"/>
      <c r="AB19" s="251"/>
      <c r="AC19" s="250">
        <f>+AA18/AA16</f>
        <v>3.448018181818182E-2</v>
      </c>
      <c r="AD19" s="252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95751.779352853278</v>
      </c>
      <c r="Q20" s="81"/>
      <c r="R20" s="81"/>
      <c r="S20" s="81"/>
      <c r="T20" s="82">
        <f t="shared" si="5"/>
        <v>1.9182219071791261E-2</v>
      </c>
      <c r="U20" s="230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97588.510960913525</v>
      </c>
      <c r="Q21" s="81"/>
      <c r="R21" s="81"/>
      <c r="S21" s="81"/>
      <c r="T21" s="82">
        <f t="shared" si="5"/>
        <v>1.9182219071791261E-2</v>
      </c>
      <c r="U21" s="230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99460.475157055669</v>
      </c>
      <c r="Q22" s="81"/>
      <c r="R22" s="81"/>
      <c r="S22" s="81"/>
      <c r="T22" s="82">
        <f t="shared" si="5"/>
        <v>1.9182219071791261E-2</v>
      </c>
      <c r="U22" s="230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101368.34778050275</v>
      </c>
      <c r="Q23" s="81"/>
      <c r="R23" s="81"/>
      <c r="S23" s="81"/>
      <c r="T23" s="82">
        <f t="shared" si="5"/>
        <v>1.9182219071791261E-2</v>
      </c>
      <c r="U23" s="230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103312.81763457388</v>
      </c>
      <c r="Q24" s="81"/>
      <c r="R24" s="81"/>
      <c r="S24" s="81"/>
      <c r="T24" s="82">
        <f t="shared" si="5"/>
        <v>1.9182219071791261E-2</v>
      </c>
      <c r="U24" s="230"/>
      <c r="V24" s="1"/>
      <c r="X24" s="110"/>
      <c r="Y24" s="114"/>
      <c r="Z24" s="256"/>
      <c r="AA24" s="256"/>
      <c r="AB24" s="256"/>
      <c r="AC24" s="256"/>
      <c r="AD24" s="256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105294.58673536428</v>
      </c>
      <c r="Q25" s="81"/>
      <c r="R25" s="81"/>
      <c r="S25" s="81"/>
      <c r="T25" s="82">
        <f t="shared" si="5"/>
        <v>1.9182219071791261E-2</v>
      </c>
      <c r="U25" s="230"/>
      <c r="V25" s="1"/>
      <c r="X25" s="110"/>
      <c r="Y25" s="255"/>
      <c r="Z25" s="255"/>
      <c r="AA25" s="255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107314.37056519576</v>
      </c>
      <c r="Q26" s="81"/>
      <c r="R26" s="81"/>
      <c r="S26" s="81"/>
      <c r="T26" s="82">
        <f t="shared" si="5"/>
        <v>1.9182219071791261E-2</v>
      </c>
      <c r="U26" s="230"/>
      <c r="V26" s="1"/>
      <c r="X26" s="110"/>
      <c r="Y26" s="114"/>
      <c r="Z26" s="114"/>
      <c r="AA26" s="114"/>
      <c r="AB26" s="110"/>
      <c r="AC26" s="253"/>
      <c r="AD26" s="110"/>
      <c r="AE26" s="254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109372.89833092873</v>
      </c>
      <c r="Q27" s="81"/>
      <c r="R27" s="81"/>
      <c r="S27" s="81"/>
      <c r="T27" s="82">
        <f t="shared" si="5"/>
        <v>1.9182219071791261E-2</v>
      </c>
      <c r="U27" s="230"/>
      <c r="V27" s="1"/>
      <c r="X27" s="110"/>
      <c r="Y27" s="114"/>
      <c r="Z27" s="114"/>
      <c r="AA27" s="114"/>
      <c r="AB27" s="110"/>
      <c r="AC27" s="253"/>
      <c r="AD27" s="110"/>
      <c r="AE27" s="254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111470.91322722935</v>
      </c>
      <c r="Q28" s="81"/>
      <c r="R28" s="81"/>
      <c r="S28" s="81"/>
      <c r="T28" s="82">
        <f t="shared" si="5"/>
        <v>1.9182219071791261E-2</v>
      </c>
      <c r="U28" s="230"/>
      <c r="V28" s="1"/>
      <c r="X28" s="110"/>
      <c r="Y28" s="256"/>
      <c r="Z28" s="256"/>
      <c r="AA28" s="256"/>
      <c r="AB28" s="110"/>
      <c r="AC28" s="253"/>
      <c r="AD28" s="110"/>
      <c r="AE28" s="254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113609.17270488669</v>
      </c>
      <c r="Q29" s="81"/>
      <c r="R29" s="81"/>
      <c r="S29" s="81"/>
      <c r="T29" s="82">
        <f t="shared" si="5"/>
        <v>1.9182219071791261E-2</v>
      </c>
      <c r="U29" s="230"/>
      <c r="V29" s="88"/>
      <c r="X29" s="110"/>
      <c r="Y29" s="256"/>
      <c r="Z29" s="256"/>
      <c r="AA29" s="256"/>
      <c r="AB29" s="110"/>
      <c r="AC29" s="254"/>
      <c r="AD29" s="110"/>
      <c r="AE29" s="254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115788.44874427679</v>
      </c>
      <c r="Q30" s="81"/>
      <c r="R30" s="81"/>
      <c r="S30" s="81"/>
      <c r="T30" s="82">
        <f t="shared" si="5"/>
        <v>1.9182219071791261E-2</v>
      </c>
      <c r="U30" s="230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118009.52813407237</v>
      </c>
      <c r="Q31" s="81"/>
      <c r="R31" s="81"/>
      <c r="S31" s="81"/>
      <c r="T31" s="82">
        <f t="shared" si="5"/>
        <v>1.9182219071791261E-2</v>
      </c>
      <c r="U31" s="230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120273.21275529885</v>
      </c>
      <c r="Q32" s="81"/>
      <c r="R32" s="81"/>
      <c r="S32" s="81"/>
      <c r="T32" s="82">
        <f t="shared" si="5"/>
        <v>1.9182219071791261E-2</v>
      </c>
      <c r="U32" s="230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122580.31987083914</v>
      </c>
      <c r="Q33" s="81"/>
      <c r="R33" s="81"/>
      <c r="S33" s="81"/>
      <c r="T33" s="82">
        <f t="shared" si="5"/>
        <v>1.9182219071791261E-2</v>
      </c>
      <c r="U33" s="230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124931.68242049182</v>
      </c>
      <c r="Q34" s="81"/>
      <c r="R34" s="81"/>
      <c r="S34" s="81"/>
      <c r="T34" s="82">
        <f t="shared" si="5"/>
        <v>1.9182219071791261E-2</v>
      </c>
      <c r="U34" s="230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127328.14932168914</v>
      </c>
      <c r="Q35" s="81"/>
      <c r="R35" s="81"/>
      <c r="S35" s="81"/>
      <c r="T35" s="82">
        <f t="shared" si="5"/>
        <v>1.9182219071791261E-2</v>
      </c>
      <c r="U35" s="230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129770.58577598352</v>
      </c>
      <c r="Q36" s="81"/>
      <c r="R36" s="81"/>
      <c r="S36" s="81"/>
      <c r="T36" s="82">
        <f t="shared" si="5"/>
        <v>1.9182219071791261E-2</v>
      </c>
      <c r="U36" s="230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132259.87358141309</v>
      </c>
      <c r="Q37" s="81"/>
      <c r="R37" s="81"/>
      <c r="S37" s="81"/>
      <c r="T37" s="82">
        <f t="shared" si="5"/>
        <v>1.9182219071791261E-2</v>
      </c>
      <c r="U37" s="230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134796.91145085916</v>
      </c>
      <c r="Q38" s="81"/>
      <c r="R38" s="81"/>
      <c r="S38" s="81"/>
      <c r="T38" s="82">
        <f t="shared" si="5"/>
        <v>1.9182219071791261E-2</v>
      </c>
      <c r="U38" s="230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137382.61533651038</v>
      </c>
      <c r="Q39" s="81"/>
      <c r="R39" s="81"/>
      <c r="S39" s="81"/>
      <c r="T39" s="82">
        <f t="shared" si="5"/>
        <v>1.9182219071791261E-2</v>
      </c>
      <c r="U39" s="230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140017.91876055094</v>
      </c>
      <c r="Q40" s="81"/>
      <c r="R40" s="81"/>
      <c r="S40" s="81"/>
      <c r="T40" s="82">
        <f t="shared" si="5"/>
        <v>1.9182219071791261E-2</v>
      </c>
      <c r="U40" s="230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142703.77315219209</v>
      </c>
      <c r="Q41" s="81"/>
      <c r="R41" s="81"/>
      <c r="S41" s="81"/>
      <c r="T41" s="82">
        <f t="shared" si="5"/>
        <v>1.9182219071791261E-2</v>
      </c>
      <c r="U41" s="230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145441.14819116864</v>
      </c>
      <c r="Q42" s="81"/>
      <c r="R42" s="81"/>
      <c r="S42" s="81"/>
      <c r="T42" s="82">
        <f t="shared" si="5"/>
        <v>1.9182219071791261E-2</v>
      </c>
      <c r="U42" s="230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148231.03215782449</v>
      </c>
      <c r="Q43" s="81"/>
      <c r="R43" s="81"/>
      <c r="S43" s="81"/>
      <c r="T43" s="82">
        <f t="shared" si="5"/>
        <v>1.9182219071791261E-2</v>
      </c>
      <c r="U43" s="230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151074.43228991362</v>
      </c>
      <c r="Q44" s="81"/>
      <c r="R44" s="81"/>
      <c r="S44" s="81"/>
      <c r="T44" s="82">
        <f t="shared" si="5"/>
        <v>1.9182219071791261E-2</v>
      </c>
      <c r="U44" s="230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153972.37514624523</v>
      </c>
      <c r="Q45" s="81"/>
      <c r="R45" s="81"/>
      <c r="S45" s="81"/>
      <c r="T45" s="82">
        <f t="shared" si="5"/>
        <v>1.9182219071791261E-2</v>
      </c>
      <c r="U45" s="230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156925.90697730452</v>
      </c>
      <c r="Q46" s="81"/>
      <c r="R46" s="81"/>
      <c r="S46" s="81"/>
      <c r="T46" s="82">
        <f t="shared" si="5"/>
        <v>1.9182219071791261E-2</v>
      </c>
      <c r="U46" s="230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159936.09410298269</v>
      </c>
      <c r="Q47" s="81"/>
      <c r="R47" s="81"/>
      <c r="S47" s="81"/>
      <c r="T47" s="82">
        <f t="shared" si="5"/>
        <v>1.9182219071791261E-2</v>
      </c>
      <c r="U47" s="230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163004.02329755272</v>
      </c>
      <c r="Q48" s="81"/>
      <c r="R48" s="81"/>
      <c r="S48" s="81"/>
      <c r="T48" s="82">
        <f t="shared" si="5"/>
        <v>1.9182219071791261E-2</v>
      </c>
      <c r="U48" s="230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166130.80218202973</v>
      </c>
      <c r="Q49" s="81"/>
      <c r="R49" s="81"/>
      <c r="S49" s="81"/>
      <c r="T49" s="82">
        <f t="shared" si="5"/>
        <v>1.9182219071791261E-2</v>
      </c>
      <c r="U49" s="230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169317.55962405782</v>
      </c>
      <c r="Q50" s="81"/>
      <c r="R50" s="81"/>
      <c r="S50" s="81"/>
      <c r="T50" s="82">
        <f t="shared" si="5"/>
        <v>1.9182219071791261E-2</v>
      </c>
      <c r="U50" s="230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172565.44614546755</v>
      </c>
      <c r="Q51" s="81"/>
      <c r="R51" s="81"/>
      <c r="S51" s="81"/>
      <c r="T51" s="82">
        <f t="shared" si="5"/>
        <v>1.9182219071791261E-2</v>
      </c>
      <c r="U51" s="230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175875.63433765128</v>
      </c>
      <c r="Q52" s="81"/>
      <c r="R52" s="81"/>
      <c r="S52" s="81"/>
      <c r="T52" s="82">
        <f t="shared" si="5"/>
        <v>1.9182219071791261E-2</v>
      </c>
      <c r="U52" s="230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179249.31928490635</v>
      </c>
      <c r="Q53" s="81"/>
      <c r="R53" s="81"/>
      <c r="S53" s="81"/>
      <c r="T53" s="82">
        <f t="shared" si="5"/>
        <v>1.9182219071791261E-2</v>
      </c>
      <c r="U53" s="230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182687.71899589887</v>
      </c>
      <c r="Q54" s="81"/>
      <c r="R54" s="81"/>
      <c r="S54" s="81"/>
      <c r="T54" s="82">
        <f t="shared" si="5"/>
        <v>1.9182219071791261E-2</v>
      </c>
      <c r="U54" s="230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186192.07484340403</v>
      </c>
      <c r="Q55" s="81"/>
      <c r="R55" s="81"/>
      <c r="S55" s="81"/>
      <c r="T55" s="82">
        <f t="shared" si="5"/>
        <v>1.9182219071791261E-2</v>
      </c>
      <c r="U55" s="230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189763.65201248156</v>
      </c>
      <c r="Q56" s="81"/>
      <c r="R56" s="81"/>
      <c r="S56" s="81"/>
      <c r="T56" s="82">
        <f t="shared" si="5"/>
        <v>1.9182219071791261E-2</v>
      </c>
      <c r="U56" s="230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193403.73995724812</v>
      </c>
      <c r="Q57" s="81"/>
      <c r="R57" s="81"/>
      <c r="S57" s="81"/>
      <c r="T57" s="82">
        <f t="shared" si="5"/>
        <v>1.9182219071791261E-2</v>
      </c>
      <c r="U57" s="230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197113.65286641178</v>
      </c>
      <c r="Q58" s="81"/>
      <c r="R58" s="81"/>
      <c r="S58" s="81"/>
      <c r="T58" s="82">
        <f t="shared" si="5"/>
        <v>1.9182219071791261E-2</v>
      </c>
      <c r="U58" s="230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200894.7301377363</v>
      </c>
      <c r="Q59" s="81"/>
      <c r="R59" s="81"/>
      <c r="S59" s="81"/>
      <c r="T59" s="82">
        <f t="shared" si="5"/>
        <v>1.9182219071791261E-2</v>
      </c>
      <c r="U59" s="230"/>
      <c r="V59" s="10"/>
    </row>
    <row r="60" spans="4:22" ht="15" thickBot="1" x14ac:dyDescent="0.35">
      <c r="D60" s="280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1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8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2020-05-22T00:26:28Z</cp:lastPrinted>
  <dcterms:created xsi:type="dcterms:W3CDTF">2020-03-28T00:34:23Z</dcterms:created>
  <dcterms:modified xsi:type="dcterms:W3CDTF">2020-07-14T02:23:57Z</dcterms:modified>
</cp:coreProperties>
</file>