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CC7566EA-2DBE-4CA7-8C46-D27DCFE60D95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8" i="1" l="1"/>
  <c r="S126" i="2"/>
  <c r="H114" i="1"/>
  <c r="Z24" i="1"/>
  <c r="BJ130" i="1"/>
  <c r="BJ129" i="1"/>
  <c r="BJ128" i="1"/>
  <c r="BJ127" i="1"/>
  <c r="I20" i="3" l="1"/>
  <c r="BN134" i="1" l="1"/>
  <c r="BH134" i="1"/>
  <c r="BG134" i="1"/>
  <c r="BE134" i="1"/>
  <c r="AY134" i="1"/>
  <c r="AX134" i="1"/>
  <c r="AR134" i="1"/>
  <c r="AP134" i="1"/>
  <c r="AJ134" i="1"/>
  <c r="AI134" i="1"/>
  <c r="AA134" i="1"/>
  <c r="Y134" i="1"/>
  <c r="T134" i="1"/>
  <c r="S134" i="1"/>
  <c r="Q134" i="1"/>
  <c r="L134" i="1"/>
  <c r="K134" i="1"/>
  <c r="I134" i="1"/>
  <c r="BN133" i="1"/>
  <c r="BK133" i="1"/>
  <c r="BK134" i="1" s="1"/>
  <c r="BI133" i="1"/>
  <c r="BI134" i="1" s="1"/>
  <c r="BH133" i="1"/>
  <c r="BG133" i="1"/>
  <c r="BE133" i="1"/>
  <c r="BC133" i="1"/>
  <c r="BC134" i="1" s="1"/>
  <c r="BB133" i="1"/>
  <c r="BB134" i="1" s="1"/>
  <c r="BA133" i="1"/>
  <c r="BA134" i="1" s="1"/>
  <c r="AY133" i="1"/>
  <c r="AX133" i="1"/>
  <c r="AV133" i="1"/>
  <c r="AV134" i="1" s="1"/>
  <c r="AT133" i="1"/>
  <c r="AT134" i="1" s="1"/>
  <c r="AS133" i="1"/>
  <c r="AS134" i="1" s="1"/>
  <c r="AR133" i="1"/>
  <c r="AP133" i="1"/>
  <c r="AO133" i="1"/>
  <c r="AO134" i="1" s="1"/>
  <c r="AN133" i="1"/>
  <c r="AN134" i="1" s="1"/>
  <c r="AM133" i="1"/>
  <c r="AM134" i="1" s="1"/>
  <c r="AL133" i="1"/>
  <c r="AL134" i="1" s="1"/>
  <c r="AJ133" i="1"/>
  <c r="AI133" i="1"/>
  <c r="AE133" i="1"/>
  <c r="AE134" i="1" s="1"/>
  <c r="AC133" i="1"/>
  <c r="AC134" i="1" s="1"/>
  <c r="AA133" i="1"/>
  <c r="Y133" i="1"/>
  <c r="X133" i="1"/>
  <c r="X134" i="1" s="1"/>
  <c r="W133" i="1"/>
  <c r="W134" i="1" s="1"/>
  <c r="V133" i="1"/>
  <c r="V134" i="1" s="1"/>
  <c r="U133" i="1"/>
  <c r="U134" i="1" s="1"/>
  <c r="T133" i="1"/>
  <c r="S133" i="1"/>
  <c r="Q133" i="1"/>
  <c r="O133" i="1"/>
  <c r="O134" i="1" s="1"/>
  <c r="M133" i="1"/>
  <c r="M134" i="1" s="1"/>
  <c r="L133" i="1"/>
  <c r="K133" i="1"/>
  <c r="I133" i="1"/>
  <c r="D133" i="1"/>
  <c r="D134" i="1" s="1"/>
  <c r="BM125" i="1"/>
  <c r="BM133" i="1" s="1"/>
  <c r="BM134" i="1" s="1"/>
  <c r="BD125" i="1"/>
  <c r="BO125" i="1" s="1"/>
  <c r="BQ125" i="1" s="1"/>
  <c r="J145" i="1" s="1"/>
  <c r="AZ125" i="1"/>
  <c r="BJ125" i="1" s="1"/>
  <c r="BJ133" i="1" s="1"/>
  <c r="BJ134" i="1" s="1"/>
  <c r="AW125" i="1"/>
  <c r="AW133" i="1" s="1"/>
  <c r="AW134" i="1" s="1"/>
  <c r="AK125" i="1"/>
  <c r="AQ125" i="1" s="1"/>
  <c r="AQ133" i="1" s="1"/>
  <c r="AQ134" i="1" s="1"/>
  <c r="AG125" i="1"/>
  <c r="AG133" i="1" s="1"/>
  <c r="AF125" i="1"/>
  <c r="AH125" i="1" s="1"/>
  <c r="AH133" i="1" s="1"/>
  <c r="P125" i="1"/>
  <c r="R125" i="1" s="1"/>
  <c r="R133" i="1" s="1"/>
  <c r="R134" i="1" s="1"/>
  <c r="W126" i="2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K126" i="2"/>
  <c r="M126" i="2" s="1"/>
  <c r="C126" i="2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BD133" i="1" l="1"/>
  <c r="BD134" i="1" s="1"/>
  <c r="AK133" i="1"/>
  <c r="AK134" i="1" s="1"/>
  <c r="AZ133" i="1"/>
  <c r="AZ134" i="1" s="1"/>
  <c r="AF133" i="1"/>
  <c r="BF125" i="1"/>
  <c r="BF133" i="1" s="1"/>
  <c r="BF134" i="1" s="1"/>
  <c r="P133" i="1"/>
  <c r="P134" i="1" s="1"/>
  <c r="BO133" i="1"/>
  <c r="BO134" i="1" s="1"/>
  <c r="BL125" i="1"/>
  <c r="BL133" i="1" s="1"/>
  <c r="BL134" i="1" s="1"/>
  <c r="U126" i="2"/>
  <c r="Q126" i="2"/>
  <c r="S125" i="2" l="1"/>
  <c r="AG128" i="1"/>
  <c r="AG129" i="1" s="1"/>
  <c r="AQ151" i="1"/>
  <c r="AQ154" i="1"/>
  <c r="AU148" i="1"/>
  <c r="AQ148" i="1"/>
  <c r="AO148" i="1"/>
  <c r="AG49" i="1"/>
  <c r="AG50" i="1"/>
  <c r="AG51" i="1"/>
  <c r="AU150" i="1"/>
  <c r="AU149" i="1"/>
  <c r="AQ150" i="1"/>
  <c r="AO150" i="1"/>
  <c r="AQ149" i="1"/>
  <c r="AO149" i="1"/>
  <c r="AG115" i="1"/>
  <c r="AG114" i="1"/>
  <c r="AG113" i="1"/>
  <c r="AO152" i="1"/>
  <c r="AQ152" i="1"/>
  <c r="AG124" i="1"/>
  <c r="AF84" i="1"/>
  <c r="AF83" i="1"/>
  <c r="AF85" i="1" s="1"/>
  <c r="BM124" i="1"/>
  <c r="BD124" i="1"/>
  <c r="AZ124" i="1"/>
  <c r="BJ124" i="1" s="1"/>
  <c r="AW124" i="1"/>
  <c r="AK124" i="1"/>
  <c r="AF124" i="1"/>
  <c r="AF134" i="1" s="1"/>
  <c r="P124" i="1"/>
  <c r="K125" i="2"/>
  <c r="Q125" i="2" s="1"/>
  <c r="S124" i="2"/>
  <c r="AO151" i="1" l="1"/>
  <c r="AG134" i="1"/>
  <c r="AU152" i="1"/>
  <c r="AQ155" i="1"/>
  <c r="AQ156" i="1" s="1"/>
  <c r="AU156" i="1" s="1"/>
  <c r="AH124" i="1"/>
  <c r="AH134" i="1" s="1"/>
  <c r="AF128" i="1"/>
  <c r="AF129" i="1" s="1"/>
  <c r="AU151" i="1"/>
  <c r="AG126" i="1"/>
  <c r="BF124" i="1"/>
  <c r="AQ124" i="1"/>
  <c r="BO124" i="1"/>
  <c r="BL124" i="1"/>
  <c r="R124" i="1"/>
  <c r="U125" i="2"/>
  <c r="M125" i="2"/>
  <c r="BQ124" i="1" l="1"/>
  <c r="BM123" i="1"/>
  <c r="BD123" i="1"/>
  <c r="AZ123" i="1"/>
  <c r="BF123" i="1" s="1"/>
  <c r="AW123" i="1"/>
  <c r="AK123" i="1"/>
  <c r="AQ123" i="1" s="1"/>
  <c r="P123" i="1"/>
  <c r="S138" i="2"/>
  <c r="R138" i="2"/>
  <c r="P138" i="2"/>
  <c r="O138" i="2"/>
  <c r="N138" i="2"/>
  <c r="L138" i="2"/>
  <c r="J138" i="2"/>
  <c r="I138" i="2"/>
  <c r="H138" i="2"/>
  <c r="G138" i="2"/>
  <c r="E138" i="2"/>
  <c r="K124" i="2"/>
  <c r="Q124" i="2" s="1"/>
  <c r="Q138" i="2" s="1"/>
  <c r="K138" i="2" l="1"/>
  <c r="BO123" i="1"/>
  <c r="BQ123" i="1" s="1"/>
  <c r="BJ123" i="1"/>
  <c r="U124" i="2"/>
  <c r="M124" i="2"/>
  <c r="M138" i="2" s="1"/>
  <c r="S123" i="2"/>
  <c r="BL123" i="1" l="1"/>
  <c r="BV122" i="1"/>
  <c r="AW122" i="1" s="1"/>
  <c r="BD122" i="1"/>
  <c r="BO122" i="1" s="1"/>
  <c r="BQ122" i="1" s="1"/>
  <c r="AZ122" i="1"/>
  <c r="BJ122" i="1" s="1"/>
  <c r="AK122" i="1"/>
  <c r="AQ122" i="1" s="1"/>
  <c r="P122" i="1"/>
  <c r="B122" i="1"/>
  <c r="B123" i="1" s="1"/>
  <c r="B124" i="1" s="1"/>
  <c r="B125" i="1" s="1"/>
  <c r="B126" i="1" s="1"/>
  <c r="B127" i="1" s="1"/>
  <c r="B128" i="1" s="1"/>
  <c r="B129" i="1" s="1"/>
  <c r="B130" i="1" s="1"/>
  <c r="B131" i="1" s="1"/>
  <c r="K123" i="2"/>
  <c r="Q123" i="2" s="1"/>
  <c r="BL122" i="1" l="1"/>
  <c r="BV123" i="1"/>
  <c r="BV124" i="1" s="1"/>
  <c r="BV125" i="1" s="1"/>
  <c r="BV126" i="1" s="1"/>
  <c r="BV127" i="1" s="1"/>
  <c r="BV128" i="1" s="1"/>
  <c r="BV129" i="1" s="1"/>
  <c r="BV130" i="1" s="1"/>
  <c r="BV131" i="1" s="1"/>
  <c r="BF122" i="1"/>
  <c r="BM122" i="1"/>
  <c r="U123" i="2"/>
  <c r="M123" i="2"/>
  <c r="S122" i="2"/>
  <c r="D168" i="1"/>
  <c r="BD121" i="1"/>
  <c r="AZ121" i="1"/>
  <c r="BJ121" i="1" s="1"/>
  <c r="AK121" i="1"/>
  <c r="AQ121" i="1" s="1"/>
  <c r="P121" i="1"/>
  <c r="K122" i="2"/>
  <c r="M122" i="2" s="1"/>
  <c r="BF121" i="1" l="1"/>
  <c r="BL121" i="1"/>
  <c r="U122" i="2"/>
  <c r="Q122" i="2"/>
  <c r="E121" i="2" l="1"/>
  <c r="S121" i="2"/>
  <c r="G134" i="1" l="1"/>
  <c r="F134" i="1"/>
  <c r="E134" i="1"/>
  <c r="G133" i="1"/>
  <c r="F133" i="1"/>
  <c r="E133" i="1"/>
  <c r="BD120" i="1"/>
  <c r="AZ120" i="1"/>
  <c r="BJ120" i="1" s="1"/>
  <c r="AK120" i="1"/>
  <c r="AQ120" i="1" s="1"/>
  <c r="P120" i="1"/>
  <c r="K121" i="2"/>
  <c r="Q121" i="2" s="1"/>
  <c r="BF120" i="1" l="1"/>
  <c r="BL120" i="1"/>
  <c r="U121" i="2"/>
  <c r="M121" i="2"/>
  <c r="D118" i="1" l="1"/>
  <c r="D116" i="1"/>
  <c r="D115" i="1"/>
  <c r="D114" i="1"/>
  <c r="S120" i="2" l="1"/>
  <c r="BD119" i="1" l="1"/>
  <c r="AZ119" i="1"/>
  <c r="BJ119" i="1" s="1"/>
  <c r="AK119" i="1"/>
  <c r="AQ119" i="1" s="1"/>
  <c r="P119" i="1"/>
  <c r="K120" i="2"/>
  <c r="Q120" i="2" s="1"/>
  <c r="BF119" i="1" l="1"/>
  <c r="BL119" i="1"/>
  <c r="U120" i="2"/>
  <c r="M120" i="2"/>
  <c r="S119" i="2"/>
  <c r="BD118" i="1" l="1"/>
  <c r="AZ118" i="1"/>
  <c r="BJ118" i="1" s="1"/>
  <c r="AK118" i="1"/>
  <c r="AQ118" i="1" s="1"/>
  <c r="P118" i="1"/>
  <c r="K119" i="2"/>
  <c r="Q119" i="2" s="1"/>
  <c r="BF118" i="1" l="1"/>
  <c r="BL118" i="1"/>
  <c r="U119" i="2"/>
  <c r="M119" i="2"/>
  <c r="S118" i="2" l="1"/>
  <c r="K118" i="2"/>
  <c r="Q118" i="2" s="1"/>
  <c r="BD117" i="1"/>
  <c r="AZ117" i="1"/>
  <c r="BJ117" i="1" s="1"/>
  <c r="AK117" i="1"/>
  <c r="AQ117" i="1" s="1"/>
  <c r="AF117" i="1"/>
  <c r="AH117" i="1" s="1"/>
  <c r="P117" i="1"/>
  <c r="U118" i="2" l="1"/>
  <c r="M118" i="2"/>
  <c r="BL117" i="1"/>
  <c r="R117" i="1"/>
  <c r="BF117" i="1"/>
  <c r="BD116" i="1"/>
  <c r="BF116" i="1" s="1"/>
  <c r="AZ116" i="1"/>
  <c r="AK116" i="1"/>
  <c r="AQ116" i="1" s="1"/>
  <c r="S117" i="2"/>
  <c r="K117" i="2"/>
  <c r="Q117" i="2" s="1"/>
  <c r="S116" i="2"/>
  <c r="K116" i="2"/>
  <c r="Q116" i="2" s="1"/>
  <c r="BD115" i="1"/>
  <c r="AZ115" i="1"/>
  <c r="AK115" i="1"/>
  <c r="AQ115" i="1" s="1"/>
  <c r="U73" i="3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S115" i="2"/>
  <c r="U117" i="2" l="1"/>
  <c r="M117" i="2"/>
  <c r="U116" i="2"/>
  <c r="M116" i="2"/>
  <c r="BF115" i="1"/>
  <c r="BD114" i="1" l="1"/>
  <c r="AZ114" i="1"/>
  <c r="AK114" i="1"/>
  <c r="AQ114" i="1" s="1"/>
  <c r="K115" i="2"/>
  <c r="M115" i="2" s="1"/>
  <c r="S114" i="2"/>
  <c r="Q115" i="2" l="1"/>
  <c r="U115" i="2"/>
  <c r="BF114" i="1"/>
  <c r="BD113" i="1" l="1"/>
  <c r="AZ113" i="1"/>
  <c r="AK113" i="1"/>
  <c r="K114" i="2"/>
  <c r="AQ113" i="1" l="1"/>
  <c r="BF113" i="1"/>
  <c r="U114" i="2"/>
  <c r="S113" i="2" l="1"/>
  <c r="BD112" i="1"/>
  <c r="AZ112" i="1"/>
  <c r="AK112" i="1"/>
  <c r="K113" i="2"/>
  <c r="M114" i="2" l="1"/>
  <c r="Q114" i="2"/>
  <c r="AQ112" i="1"/>
  <c r="BF112" i="1"/>
  <c r="U113" i="2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S112" i="2" l="1"/>
  <c r="BD111" i="1" l="1"/>
  <c r="K112" i="2"/>
  <c r="Q113" i="2" l="1"/>
  <c r="M113" i="2"/>
  <c r="U112" i="2"/>
  <c r="Q112" i="2"/>
  <c r="S111" i="2"/>
  <c r="AO110" i="1"/>
  <c r="BB110" i="1"/>
  <c r="K111" i="2"/>
  <c r="BD110" i="1"/>
  <c r="AF110" i="1"/>
  <c r="P110" i="1"/>
  <c r="BD109" i="1"/>
  <c r="AZ109" i="1"/>
  <c r="AK109" i="1"/>
  <c r="AQ109" i="1" s="1"/>
  <c r="S110" i="2"/>
  <c r="K110" i="2"/>
  <c r="S109" i="2"/>
  <c r="U70" i="3"/>
  <c r="U71" i="3" s="1"/>
  <c r="U72" i="3" s="1"/>
  <c r="Q111" i="2" l="1"/>
  <c r="M112" i="2"/>
  <c r="AZ111" i="1"/>
  <c r="AK110" i="1"/>
  <c r="AQ110" i="1" s="1"/>
  <c r="AK111" i="1"/>
  <c r="AZ110" i="1"/>
  <c r="U111" i="2"/>
  <c r="M111" i="2"/>
  <c r="BF109" i="1"/>
  <c r="U110" i="2"/>
  <c r="K109" i="2"/>
  <c r="BD108" i="1"/>
  <c r="AZ108" i="1"/>
  <c r="AK108" i="1"/>
  <c r="AQ108" i="1" s="1"/>
  <c r="Q110" i="2" l="1"/>
  <c r="M110" i="2"/>
  <c r="AQ111" i="1"/>
  <c r="BF111" i="1"/>
  <c r="BF110" i="1"/>
  <c r="U109" i="2"/>
  <c r="BF108" i="1"/>
  <c r="S108" i="2" l="1"/>
  <c r="BD107" i="1" l="1"/>
  <c r="AK107" i="1"/>
  <c r="AQ107" i="1" s="1"/>
  <c r="K108" i="2"/>
  <c r="AA61" i="3"/>
  <c r="BB106" i="1"/>
  <c r="AZ107" i="1" s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Q109" i="2" l="1"/>
  <c r="M109" i="2"/>
  <c r="BF107" i="1"/>
  <c r="U108" i="2"/>
  <c r="M108" i="2"/>
  <c r="BD106" i="1"/>
  <c r="AZ106" i="1"/>
  <c r="AK106" i="1"/>
  <c r="AQ106" i="1" s="1"/>
  <c r="K107" i="2"/>
  <c r="Q108" i="2" s="1"/>
  <c r="BF106" i="1" l="1"/>
  <c r="U107" i="2"/>
  <c r="S106" i="2" l="1"/>
  <c r="BD105" i="1"/>
  <c r="AZ105" i="1"/>
  <c r="AK105" i="1"/>
  <c r="AQ105" i="1" s="1"/>
  <c r="K106" i="2"/>
  <c r="S105" i="2"/>
  <c r="Q107" i="2" l="1"/>
  <c r="M107" i="2"/>
  <c r="BF105" i="1"/>
  <c r="U106" i="2"/>
  <c r="BD104" i="1" l="1"/>
  <c r="AZ104" i="1"/>
  <c r="BJ110" i="1" s="1"/>
  <c r="BL110" i="1" s="1"/>
  <c r="AK104" i="1"/>
  <c r="AQ104" i="1" s="1"/>
  <c r="K105" i="2"/>
  <c r="Q106" i="2" l="1"/>
  <c r="M106" i="2"/>
  <c r="BF104" i="1"/>
  <c r="U105" i="2"/>
  <c r="S104" i="2"/>
  <c r="K104" i="2"/>
  <c r="M105" i="2" s="1"/>
  <c r="BD103" i="1"/>
  <c r="AZ103" i="1"/>
  <c r="AK103" i="1"/>
  <c r="AQ103" i="1" s="1"/>
  <c r="AF103" i="1"/>
  <c r="P103" i="1"/>
  <c r="R110" i="1" s="1"/>
  <c r="S103" i="2"/>
  <c r="Q105" i="2" l="1"/>
  <c r="AH110" i="1"/>
  <c r="U104" i="2"/>
  <c r="BF103" i="1"/>
  <c r="BD102" i="1"/>
  <c r="AZ102" i="1"/>
  <c r="AK102" i="1"/>
  <c r="AQ102" i="1" s="1"/>
  <c r="K103" i="2"/>
  <c r="Q104" i="2" s="1"/>
  <c r="S102" i="2"/>
  <c r="BD101" i="1"/>
  <c r="AZ101" i="1"/>
  <c r="AK101" i="1"/>
  <c r="AQ101" i="1" s="1"/>
  <c r="S101" i="2"/>
  <c r="K102" i="2"/>
  <c r="M104" i="2" l="1"/>
  <c r="Q103" i="2"/>
  <c r="BF102" i="1"/>
  <c r="U103" i="2"/>
  <c r="M103" i="2"/>
  <c r="BF101" i="1"/>
  <c r="U102" i="2"/>
  <c r="BD100" i="1" l="1"/>
  <c r="AZ100" i="1"/>
  <c r="AK100" i="1"/>
  <c r="K101" i="2"/>
  <c r="S100" i="2"/>
  <c r="Q102" i="2" l="1"/>
  <c r="M102" i="2"/>
  <c r="AQ100" i="1"/>
  <c r="BF100" i="1"/>
  <c r="U101" i="2"/>
  <c r="BD99" i="1"/>
  <c r="AZ99" i="1"/>
  <c r="AK99" i="1"/>
  <c r="AQ99" i="1" s="1"/>
  <c r="K100" i="2"/>
  <c r="Q101" i="2" l="1"/>
  <c r="M101" i="2"/>
  <c r="BF99" i="1"/>
  <c r="U100" i="2"/>
  <c r="S99" i="2" l="1"/>
  <c r="BD98" i="1"/>
  <c r="AZ98" i="1"/>
  <c r="AK98" i="1"/>
  <c r="AQ98" i="1" s="1"/>
  <c r="K99" i="2"/>
  <c r="M100" i="2" l="1"/>
  <c r="Q100" i="2"/>
  <c r="BF98" i="1"/>
  <c r="U99" i="2"/>
  <c r="S98" i="2"/>
  <c r="BD97" i="1" l="1"/>
  <c r="AZ97" i="1"/>
  <c r="AK97" i="1"/>
  <c r="AQ97" i="1" s="1"/>
  <c r="K98" i="2"/>
  <c r="Q99" i="2" l="1"/>
  <c r="M99" i="2"/>
  <c r="BJ103" i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52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R82" i="1" s="1"/>
  <c r="P75" i="1"/>
  <c r="P61" i="1"/>
  <c r="P54" i="1"/>
  <c r="R54" i="1" s="1"/>
  <c r="P47" i="1"/>
  <c r="P40" i="1"/>
  <c r="P33" i="1"/>
  <c r="BD89" i="1"/>
  <c r="AZ89" i="1"/>
  <c r="AK89" i="1"/>
  <c r="AQ89" i="1" s="1"/>
  <c r="AF89" i="1"/>
  <c r="AH96" i="1" s="1"/>
  <c r="P89" i="1"/>
  <c r="R89" i="1" l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S87" i="2"/>
  <c r="K87" i="2"/>
  <c r="Q88" i="2" s="1"/>
  <c r="BD86" i="1"/>
  <c r="AZ86" i="1"/>
  <c r="AK86" i="1"/>
  <c r="AQ86" i="1" s="1"/>
  <c r="U87" i="2" l="1"/>
  <c r="M88" i="2"/>
  <c r="BF86" i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AF82" i="1" s="1"/>
  <c r="K83" i="2"/>
  <c r="BD82" i="1"/>
  <c r="AZ82" i="1"/>
  <c r="AK82" i="1"/>
  <c r="S82" i="2"/>
  <c r="K82" i="2"/>
  <c r="BD81" i="1"/>
  <c r="AZ81" i="1"/>
  <c r="AK81" i="1"/>
  <c r="AH82" i="1" l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9" i="2" l="1"/>
  <c r="M79" i="2"/>
  <c r="BF77" i="1"/>
  <c r="U78" i="2"/>
  <c r="BD76" i="1"/>
  <c r="AZ76" i="1"/>
  <c r="BJ82" i="1" s="1"/>
  <c r="AK76" i="1"/>
  <c r="AQ76" i="1" s="1"/>
  <c r="S77" i="2"/>
  <c r="K77" i="2"/>
  <c r="Q78" i="2" s="1"/>
  <c r="M78" i="2" l="1"/>
  <c r="BL82" i="1"/>
  <c r="BJ136" i="1"/>
  <c r="BF76" i="1"/>
  <c r="U77" i="2"/>
  <c r="S76" i="2"/>
  <c r="BD75" i="1" l="1"/>
  <c r="AZ75" i="1"/>
  <c r="AK75" i="1"/>
  <c r="AQ75" i="1" s="1"/>
  <c r="K76" i="2"/>
  <c r="Q77" i="2" l="1"/>
  <c r="M77" i="2"/>
  <c r="BF75" i="1"/>
  <c r="U76" i="2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49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BF68" i="1"/>
  <c r="S68" i="2"/>
  <c r="D65" i="1"/>
  <c r="P68" i="1" s="1"/>
  <c r="K68" i="2"/>
  <c r="M69" i="2" s="1"/>
  <c r="BD67" i="1"/>
  <c r="AZ67" i="1"/>
  <c r="AK67" i="1"/>
  <c r="R68" i="1" l="1"/>
  <c r="R75" i="1"/>
  <c r="Q69" i="2"/>
  <c r="AQ67" i="1"/>
  <c r="U68" i="2"/>
  <c r="BF67" i="1"/>
  <c r="D161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38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50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3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1" i="2" l="1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W113" i="2" l="1"/>
  <c r="W114" i="2" s="1"/>
  <c r="W115" i="2" s="1"/>
  <c r="W116" i="2" s="1"/>
  <c r="W117" i="2" s="1"/>
  <c r="W118" i="2" s="1"/>
  <c r="W119" i="2" s="1"/>
  <c r="W120" i="2" s="1"/>
  <c r="W121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W122" i="2" l="1"/>
  <c r="W123" i="2" s="1"/>
  <c r="W124" i="2" s="1"/>
  <c r="W125" i="2" s="1"/>
  <c r="BV15" i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87" i="1"/>
  <c r="B19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V113" i="1" l="1"/>
  <c r="BV114" i="1" s="1"/>
  <c r="BM112" i="1"/>
  <c r="AW112" i="1"/>
  <c r="BQ84" i="1"/>
  <c r="BO85" i="1"/>
  <c r="BO86" i="1" s="1"/>
  <c r="BO87" i="1" s="1"/>
  <c r="BQ83" i="1"/>
  <c r="AD62" i="1"/>
  <c r="Z63" i="1"/>
  <c r="J61" i="1"/>
  <c r="H61" i="1"/>
  <c r="AU60" i="1"/>
  <c r="N60" i="1"/>
  <c r="AB60" i="1"/>
  <c r="BV115" i="1" l="1"/>
  <c r="BM114" i="1"/>
  <c r="AW114" i="1"/>
  <c r="BM113" i="1"/>
  <c r="AW113" i="1"/>
  <c r="BQ87" i="1"/>
  <c r="BO88" i="1"/>
  <c r="BQ86" i="1"/>
  <c r="BQ85" i="1"/>
  <c r="Z64" i="1"/>
  <c r="Z65" i="1" s="1"/>
  <c r="H62" i="1"/>
  <c r="J62" i="1"/>
  <c r="AD63" i="1"/>
  <c r="AU61" i="1"/>
  <c r="N61" i="1"/>
  <c r="AB61" i="1"/>
  <c r="BV116" i="1" l="1"/>
  <c r="AW115" i="1"/>
  <c r="BM115" i="1"/>
  <c r="BO89" i="1"/>
  <c r="BQ88" i="1"/>
  <c r="AD65" i="1"/>
  <c r="Z66" i="1"/>
  <c r="AD64" i="1"/>
  <c r="AU62" i="1"/>
  <c r="H63" i="1"/>
  <c r="J63" i="1"/>
  <c r="N62" i="1"/>
  <c r="AB62" i="1"/>
  <c r="BV117" i="1" l="1"/>
  <c r="AW116" i="1"/>
  <c r="BM116" i="1"/>
  <c r="BQ89" i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V118" i="1" l="1"/>
  <c r="AW117" i="1"/>
  <c r="BM117" i="1"/>
  <c r="BQ91" i="1"/>
  <c r="BO92" i="1"/>
  <c r="BQ90" i="1"/>
  <c r="Z68" i="1"/>
  <c r="Z69" i="1" s="1"/>
  <c r="AD67" i="1"/>
  <c r="H65" i="1"/>
  <c r="J65" i="1"/>
  <c r="AU64" i="1"/>
  <c r="N64" i="1"/>
  <c r="AB64" i="1"/>
  <c r="BV119" i="1" l="1"/>
  <c r="BM118" i="1"/>
  <c r="AW118" i="1"/>
  <c r="BQ92" i="1"/>
  <c r="BO93" i="1"/>
  <c r="Z70" i="1"/>
  <c r="Z71" i="1" s="1"/>
  <c r="AD69" i="1"/>
  <c r="AD68" i="1"/>
  <c r="AB65" i="1"/>
  <c r="J66" i="1"/>
  <c r="H66" i="1"/>
  <c r="AU65" i="1"/>
  <c r="N65" i="1"/>
  <c r="BV120" i="1" l="1"/>
  <c r="BM119" i="1"/>
  <c r="AW119" i="1"/>
  <c r="BQ93" i="1"/>
  <c r="BO94" i="1"/>
  <c r="Z72" i="1"/>
  <c r="AD71" i="1"/>
  <c r="AD70" i="1"/>
  <c r="J67" i="1"/>
  <c r="H67" i="1"/>
  <c r="AU66" i="1"/>
  <c r="N66" i="1"/>
  <c r="AB66" i="1"/>
  <c r="AA20" i="3"/>
  <c r="AA19" i="3"/>
  <c r="BV121" i="1" l="1"/>
  <c r="AW120" i="1"/>
  <c r="BM120" i="1"/>
  <c r="BO95" i="1"/>
  <c r="BO96" i="1" s="1"/>
  <c r="BQ94" i="1"/>
  <c r="Z73" i="1"/>
  <c r="AD72" i="1"/>
  <c r="H68" i="1"/>
  <c r="J68" i="1"/>
  <c r="AU67" i="1"/>
  <c r="N67" i="1"/>
  <c r="AB67" i="1"/>
  <c r="BM121" i="1" l="1"/>
  <c r="AW121" i="1"/>
  <c r="BQ96" i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O100" i="1" s="1"/>
  <c r="BQ98" i="1"/>
  <c r="Z76" i="1"/>
  <c r="AD75" i="1"/>
  <c r="H71" i="1"/>
  <c r="J71" i="1"/>
  <c r="N70" i="1"/>
  <c r="AU70" i="1"/>
  <c r="AB70" i="1"/>
  <c r="BQ100" i="1" l="1"/>
  <c r="BO101" i="1"/>
  <c r="BQ99" i="1"/>
  <c r="Z77" i="1"/>
  <c r="AD76" i="1"/>
  <c r="AU71" i="1"/>
  <c r="H72" i="1"/>
  <c r="AB71" i="1"/>
  <c r="N71" i="1"/>
  <c r="J72" i="1"/>
  <c r="AA24" i="3"/>
  <c r="AA23" i="3"/>
  <c r="BO102" i="1" l="1"/>
  <c r="BQ101" i="1"/>
  <c r="AD77" i="1"/>
  <c r="Z78" i="1"/>
  <c r="Z79" i="1" s="1"/>
  <c r="J73" i="1"/>
  <c r="H73" i="1"/>
  <c r="AU72" i="1"/>
  <c r="AB72" i="1"/>
  <c r="N72" i="1"/>
  <c r="BO103" i="1" l="1"/>
  <c r="BQ102" i="1"/>
  <c r="AD79" i="1"/>
  <c r="Z80" i="1"/>
  <c r="AD78" i="1"/>
  <c r="J74" i="1"/>
  <c r="H74" i="1"/>
  <c r="AU73" i="1"/>
  <c r="AB73" i="1"/>
  <c r="N73" i="1"/>
  <c r="AA26" i="3"/>
  <c r="AA25" i="3"/>
  <c r="BQ103" i="1" l="1"/>
  <c r="BO104" i="1"/>
  <c r="AD80" i="1"/>
  <c r="Z81" i="1"/>
  <c r="AU74" i="1"/>
  <c r="J75" i="1"/>
  <c r="H75" i="1"/>
  <c r="AB74" i="1"/>
  <c r="N74" i="1"/>
  <c r="BO105" i="1" l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O106" i="1" l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Q106" i="1" l="1"/>
  <c r="BO107" i="1"/>
  <c r="AD87" i="1"/>
  <c r="Z88" i="1"/>
  <c r="AD86" i="1"/>
  <c r="AD85" i="1"/>
  <c r="H78" i="1"/>
  <c r="J78" i="1"/>
  <c r="N77" i="1"/>
  <c r="AU77" i="1"/>
  <c r="AB77" i="1"/>
  <c r="BO108" i="1" l="1"/>
  <c r="BO109" i="1" s="1"/>
  <c r="BQ107" i="1"/>
  <c r="Z89" i="1"/>
  <c r="AD88" i="1"/>
  <c r="J79" i="1"/>
  <c r="H79" i="1"/>
  <c r="AU78" i="1"/>
  <c r="N78" i="1"/>
  <c r="AB78" i="1"/>
  <c r="BQ109" i="1" l="1"/>
  <c r="BO110" i="1"/>
  <c r="BQ108" i="1"/>
  <c r="AD89" i="1"/>
  <c r="Z90" i="1"/>
  <c r="Z91" i="1" s="1"/>
  <c r="N79" i="1"/>
  <c r="J80" i="1"/>
  <c r="H80" i="1"/>
  <c r="AB79" i="1"/>
  <c r="AU79" i="1"/>
  <c r="AA32" i="3"/>
  <c r="BO111" i="1" l="1"/>
  <c r="BO112" i="1" s="1"/>
  <c r="BQ110" i="1"/>
  <c r="Z92" i="1"/>
  <c r="AD91" i="1"/>
  <c r="AD90" i="1"/>
  <c r="H81" i="1"/>
  <c r="J81" i="1"/>
  <c r="AU80" i="1"/>
  <c r="N80" i="1"/>
  <c r="AB80" i="1"/>
  <c r="BQ112" i="1" l="1"/>
  <c r="BO113" i="1"/>
  <c r="BO114" i="1" s="1"/>
  <c r="BO115" i="1" s="1"/>
  <c r="BQ111" i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BO116" i="1" l="1"/>
  <c r="BQ115" i="1"/>
  <c r="BQ114" i="1"/>
  <c r="BQ113" i="1"/>
  <c r="Z95" i="1"/>
  <c r="Z96" i="1" s="1"/>
  <c r="AD94" i="1"/>
  <c r="AD93" i="1"/>
  <c r="J83" i="1"/>
  <c r="H83" i="1"/>
  <c r="AU82" i="1"/>
  <c r="N82" i="1"/>
  <c r="AB82" i="1"/>
  <c r="BQ116" i="1" l="1"/>
  <c r="BO117" i="1"/>
  <c r="Z97" i="1"/>
  <c r="AD96" i="1"/>
  <c r="AD95" i="1"/>
  <c r="J84" i="1"/>
  <c r="H84" i="1"/>
  <c r="AU83" i="1"/>
  <c r="N83" i="1"/>
  <c r="AB83" i="1"/>
  <c r="BQ117" i="1" l="1"/>
  <c r="BO118" i="1"/>
  <c r="AD97" i="1"/>
  <c r="Z98" i="1"/>
  <c r="AU84" i="1"/>
  <c r="J85" i="1"/>
  <c r="H85" i="1"/>
  <c r="N84" i="1"/>
  <c r="AB84" i="1"/>
  <c r="BO119" i="1" l="1"/>
  <c r="BO120" i="1" s="1"/>
  <c r="BQ118" i="1"/>
  <c r="Z99" i="1"/>
  <c r="Z100" i="1" s="1"/>
  <c r="AD98" i="1"/>
  <c r="H86" i="1"/>
  <c r="J86" i="1"/>
  <c r="AU85" i="1"/>
  <c r="N85" i="1"/>
  <c r="AB85" i="1"/>
  <c r="AA39" i="3"/>
  <c r="AA38" i="3"/>
  <c r="AA37" i="3"/>
  <c r="BO121" i="1" l="1"/>
  <c r="BQ120" i="1"/>
  <c r="BQ119" i="1"/>
  <c r="AD100" i="1"/>
  <c r="Z101" i="1"/>
  <c r="AD99" i="1"/>
  <c r="J87" i="1"/>
  <c r="H87" i="1"/>
  <c r="AU86" i="1"/>
  <c r="N86" i="1"/>
  <c r="AB86" i="1"/>
  <c r="BQ121" i="1" l="1"/>
  <c r="AD101" i="1"/>
  <c r="Z102" i="1"/>
  <c r="AU87" i="1"/>
  <c r="J88" i="1"/>
  <c r="H88" i="1"/>
  <c r="N87" i="1"/>
  <c r="AB87" i="1"/>
  <c r="Z103" i="1" l="1"/>
  <c r="AD102" i="1"/>
  <c r="AU88" i="1"/>
  <c r="J89" i="1"/>
  <c r="H89" i="1"/>
  <c r="N88" i="1"/>
  <c r="AB88" i="1"/>
  <c r="AA45" i="3"/>
  <c r="AA43" i="3"/>
  <c r="AA44" i="3"/>
  <c r="AA41" i="3"/>
  <c r="AA42" i="3"/>
  <c r="AA40" i="3"/>
  <c r="AD103" i="1" l="1"/>
  <c r="Z104" i="1"/>
  <c r="J90" i="1"/>
  <c r="H90" i="1"/>
  <c r="N89" i="1"/>
  <c r="AU89" i="1"/>
  <c r="AB89" i="1"/>
  <c r="AD104" i="1" l="1"/>
  <c r="Z105" i="1"/>
  <c r="J91" i="1"/>
  <c r="H91" i="1"/>
  <c r="AU90" i="1"/>
  <c r="N90" i="1"/>
  <c r="AB90" i="1"/>
  <c r="Z106" i="1" l="1"/>
  <c r="AD105" i="1"/>
  <c r="N91" i="1"/>
  <c r="H92" i="1"/>
  <c r="J92" i="1"/>
  <c r="AU91" i="1"/>
  <c r="AB91" i="1"/>
  <c r="Z107" i="1" l="1"/>
  <c r="Z108" i="1" s="1"/>
  <c r="Z109" i="1" s="1"/>
  <c r="AD106" i="1"/>
  <c r="Y108" i="3"/>
  <c r="Y109" i="3" s="1"/>
  <c r="N92" i="1"/>
  <c r="H93" i="1"/>
  <c r="J93" i="1"/>
  <c r="AB92" i="1"/>
  <c r="AU92" i="1"/>
  <c r="Z110" i="1" l="1"/>
  <c r="AD109" i="1"/>
  <c r="AD108" i="1"/>
  <c r="AD107" i="1"/>
  <c r="H94" i="1"/>
  <c r="J94" i="1"/>
  <c r="N93" i="1"/>
  <c r="AU93" i="1"/>
  <c r="AB93" i="1"/>
  <c r="AA46" i="3"/>
  <c r="Z111" i="1" l="1"/>
  <c r="Z112" i="1" s="1"/>
  <c r="AD110" i="1"/>
  <c r="H95" i="1"/>
  <c r="J95" i="1"/>
  <c r="N94" i="1"/>
  <c r="AU94" i="1"/>
  <c r="AB94" i="1"/>
  <c r="Z113" i="1" l="1"/>
  <c r="Z114" i="1" s="1"/>
  <c r="AD112" i="1"/>
  <c r="AD111" i="1"/>
  <c r="J96" i="1"/>
  <c r="H96" i="1"/>
  <c r="N95" i="1"/>
  <c r="AU95" i="1"/>
  <c r="AB95" i="1"/>
  <c r="AA48" i="3"/>
  <c r="AA49" i="3"/>
  <c r="AA47" i="3"/>
  <c r="Z115" i="1" l="1"/>
  <c r="AD114" i="1"/>
  <c r="AD113" i="1"/>
  <c r="AU96" i="1"/>
  <c r="H97" i="1"/>
  <c r="J97" i="1"/>
  <c r="N96" i="1"/>
  <c r="AB96" i="1"/>
  <c r="Z116" i="1" l="1"/>
  <c r="AD115" i="1"/>
  <c r="N97" i="1"/>
  <c r="H98" i="1"/>
  <c r="J98" i="1"/>
  <c r="AU97" i="1"/>
  <c r="AB97" i="1"/>
  <c r="Z117" i="1" l="1"/>
  <c r="AD116" i="1"/>
  <c r="J99" i="1"/>
  <c r="H99" i="1"/>
  <c r="N98" i="1"/>
  <c r="AU98" i="1"/>
  <c r="AB98" i="1"/>
  <c r="AA53" i="3"/>
  <c r="AA51" i="3"/>
  <c r="AA52" i="3"/>
  <c r="AA50" i="3"/>
  <c r="AD117" i="1" l="1"/>
  <c r="Z118" i="1"/>
  <c r="H100" i="1"/>
  <c r="J100" i="1"/>
  <c r="N99" i="1"/>
  <c r="AU99" i="1"/>
  <c r="AB99" i="1"/>
  <c r="AD118" i="1" l="1"/>
  <c r="Z119" i="1"/>
  <c r="AU100" i="1"/>
  <c r="J101" i="1"/>
  <c r="H101" i="1"/>
  <c r="N100" i="1"/>
  <c r="AB100" i="1"/>
  <c r="Z120" i="1" l="1"/>
  <c r="AD119" i="1"/>
  <c r="N101" i="1"/>
  <c r="J102" i="1"/>
  <c r="H102" i="1"/>
  <c r="AU101" i="1"/>
  <c r="AB101" i="1"/>
  <c r="AD120" i="1" l="1"/>
  <c r="Z121" i="1"/>
  <c r="Z122" i="1" s="1"/>
  <c r="N102" i="1"/>
  <c r="J103" i="1"/>
  <c r="H103" i="1"/>
  <c r="AU102" i="1"/>
  <c r="AB102" i="1"/>
  <c r="AA59" i="3"/>
  <c r="AA60" i="3"/>
  <c r="AA57" i="3"/>
  <c r="AA58" i="3"/>
  <c r="AA55" i="3"/>
  <c r="AA56" i="3"/>
  <c r="AA54" i="3"/>
  <c r="Z123" i="1" l="1"/>
  <c r="AD122" i="1"/>
  <c r="AD121" i="1"/>
  <c r="J104" i="1"/>
  <c r="H104" i="1"/>
  <c r="AU103" i="1"/>
  <c r="N103" i="1"/>
  <c r="AB103" i="1"/>
  <c r="AD123" i="1" l="1"/>
  <c r="Z124" i="1"/>
  <c r="N104" i="1"/>
  <c r="H105" i="1"/>
  <c r="J105" i="1"/>
  <c r="AU104" i="1"/>
  <c r="AB104" i="1"/>
  <c r="AD124" i="1" l="1"/>
  <c r="Z125" i="1"/>
  <c r="N105" i="1"/>
  <c r="J106" i="1"/>
  <c r="H106" i="1"/>
  <c r="H107" i="1" s="1"/>
  <c r="AU105" i="1"/>
  <c r="AB105" i="1"/>
  <c r="Z133" i="1" l="1"/>
  <c r="AD125" i="1"/>
  <c r="AD133" i="1" s="1"/>
  <c r="AD134" i="1" s="1"/>
  <c r="AU106" i="1"/>
  <c r="J107" i="1"/>
  <c r="N106" i="1"/>
  <c r="W108" i="3"/>
  <c r="W109" i="3" s="1"/>
  <c r="AB106" i="1"/>
  <c r="Z134" i="1" l="1"/>
  <c r="AD49" i="2"/>
  <c r="AD51" i="2" s="1"/>
  <c r="AD53" i="2" s="1"/>
  <c r="AD55" i="2" s="1"/>
  <c r="AD57" i="2" s="1"/>
  <c r="I21" i="3"/>
  <c r="I35" i="3" s="1"/>
  <c r="AJ21" i="2"/>
  <c r="J108" i="1"/>
  <c r="H108" i="1"/>
  <c r="N107" i="1"/>
  <c r="AU107" i="1"/>
  <c r="AB107" i="1"/>
  <c r="H109" i="1" l="1"/>
  <c r="J109" i="1"/>
  <c r="AU108" i="1"/>
  <c r="N108" i="1"/>
  <c r="AB108" i="1"/>
  <c r="N109" i="1" l="1"/>
  <c r="J110" i="1"/>
  <c r="H110" i="1"/>
  <c r="I23" i="3" s="1"/>
  <c r="I25" i="3" s="1"/>
  <c r="I27" i="3" s="1"/>
  <c r="AB109" i="1"/>
  <c r="AU109" i="1"/>
  <c r="N27" i="3" l="1"/>
  <c r="N28" i="3" s="1"/>
  <c r="I34" i="3"/>
  <c r="N110" i="1"/>
  <c r="J111" i="1"/>
  <c r="H111" i="1"/>
  <c r="AB110" i="1"/>
  <c r="AU110" i="1"/>
  <c r="AA65" i="3"/>
  <c r="AA63" i="3"/>
  <c r="AA64" i="3"/>
  <c r="AA62" i="3"/>
  <c r="J112" i="1" l="1"/>
  <c r="H112" i="1"/>
  <c r="N111" i="1"/>
  <c r="AB111" i="1"/>
  <c r="AU111" i="1"/>
  <c r="AU112" i="1" l="1"/>
  <c r="J113" i="1"/>
  <c r="H113" i="1"/>
  <c r="N112" i="1"/>
  <c r="AB112" i="1"/>
  <c r="J114" i="1" l="1"/>
  <c r="N113" i="1"/>
  <c r="AU113" i="1"/>
  <c r="AB113" i="1"/>
  <c r="H115" i="1" l="1"/>
  <c r="J115" i="1"/>
  <c r="N114" i="1"/>
  <c r="AU114" i="1"/>
  <c r="AB114" i="1"/>
  <c r="AA67" i="3"/>
  <c r="AA66" i="3"/>
  <c r="N115" i="1" l="1"/>
  <c r="J116" i="1"/>
  <c r="AU115" i="1"/>
  <c r="H116" i="1"/>
  <c r="AB115" i="1"/>
  <c r="N116" i="1" l="1"/>
  <c r="J117" i="1"/>
  <c r="H117" i="1"/>
  <c r="AB116" i="1"/>
  <c r="AU116" i="1"/>
  <c r="AA71" i="3"/>
  <c r="AA72" i="3"/>
  <c r="AA69" i="3"/>
  <c r="AA70" i="3"/>
  <c r="AA68" i="3"/>
  <c r="AU117" i="1" l="1"/>
  <c r="H118" i="1"/>
  <c r="J118" i="1"/>
  <c r="AB117" i="1"/>
  <c r="N117" i="1"/>
  <c r="H119" i="1" l="1"/>
  <c r="J119" i="1"/>
  <c r="N118" i="1"/>
  <c r="AB118" i="1"/>
  <c r="AU118" i="1"/>
  <c r="H120" i="1" l="1"/>
  <c r="J120" i="1"/>
  <c r="N119" i="1"/>
  <c r="AU119" i="1"/>
  <c r="AB119" i="1"/>
  <c r="N120" i="1" l="1"/>
  <c r="J121" i="1"/>
  <c r="H121" i="1"/>
  <c r="AU120" i="1"/>
  <c r="AB120" i="1"/>
  <c r="J122" i="1" l="1"/>
  <c r="H122" i="1"/>
  <c r="N121" i="1"/>
  <c r="AU121" i="1"/>
  <c r="AB121" i="1"/>
  <c r="AA75" i="3"/>
  <c r="AA76" i="3"/>
  <c r="AA73" i="3"/>
  <c r="AA74" i="3"/>
  <c r="AU122" i="1" l="1"/>
  <c r="J123" i="1"/>
  <c r="H123" i="1"/>
  <c r="N122" i="1"/>
  <c r="AB122" i="1"/>
  <c r="N123" i="1" l="1"/>
  <c r="J124" i="1"/>
  <c r="H124" i="1"/>
  <c r="AU123" i="1"/>
  <c r="AB123" i="1"/>
  <c r="N124" i="1" l="1"/>
  <c r="H125" i="1"/>
  <c r="J125" i="1"/>
  <c r="J133" i="1" s="1"/>
  <c r="AU124" i="1"/>
  <c r="AB124" i="1"/>
  <c r="AA78" i="3"/>
  <c r="AA79" i="3"/>
  <c r="AA77" i="3"/>
  <c r="J134" i="1" l="1"/>
  <c r="T14" i="7"/>
  <c r="AU125" i="1"/>
  <c r="AU133" i="1" s="1"/>
  <c r="AU134" i="1" s="1"/>
  <c r="H133" i="1"/>
  <c r="N125" i="1"/>
  <c r="N133" i="1" s="1"/>
  <c r="N134" i="1" s="1"/>
  <c r="AB125" i="1"/>
  <c r="AB133" i="1" l="1"/>
  <c r="AB134" i="1" s="1"/>
  <c r="J146" i="1"/>
  <c r="J147" i="1" s="1"/>
  <c r="H134" i="1"/>
  <c r="I32" i="3"/>
  <c r="AF21" i="2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2" i="3" l="1"/>
  <c r="L35" i="3"/>
  <c r="L34" i="3"/>
  <c r="I36" i="3"/>
  <c r="I28" i="3"/>
  <c r="W80" i="3" l="1"/>
  <c r="AA80" i="3" s="1"/>
  <c r="L36" i="3"/>
  <c r="Y80" i="3" l="1"/>
  <c r="Y12" i="3"/>
</calcChain>
</file>

<file path=xl/sharedStrings.xml><?xml version="1.0" encoding="utf-8"?>
<sst xmlns="http://schemas.openxmlformats.org/spreadsheetml/2006/main" count="281" uniqueCount="159">
  <si>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</si>
  <si>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</si>
  <si>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</si>
  <si>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</si>
  <si>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</si>
  <si>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</si>
  <si>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</si>
  <si>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</si>
  <si>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</si>
  <si>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</si>
  <si>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</si>
  <si>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</si>
  <si>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</si>
  <si>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</si>
  <si>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</si>
  <si>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</si>
  <si>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</si>
  <si>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</si>
  <si>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</si>
  <si>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</si>
  <si>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</si>
  <si>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</si>
  <si>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</si>
  <si>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</si>
  <si>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</si>
  <si>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</si>
  <si>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</si>
  <si>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</si>
  <si>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</si>
  <si>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</si>
  <si>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</si>
  <si>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</si>
  <si>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</si>
  <si>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</si>
  <si>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</si>
  <si>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</si>
  <si>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</si>
  <si>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</si>
  <si>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</si>
  <si>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</si>
  <si>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</si>
  <si>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</si>
  <si>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</si>
  <si>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</si>
  <si>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</si>
  <si>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</si>
  <si>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</si>
  <si>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</si>
  <si>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</si>
  <si>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</si>
  <si>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</si>
  <si>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</si>
  <si>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</si>
  <si>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</si>
  <si>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</si>
  <si>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</si>
  <si>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</si>
  <si>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</si>
  <si>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</si>
  <si>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</si>
  <si>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</si>
  <si>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</si>
  <si>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</si>
  <si>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</si>
  <si>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</si>
  <si>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</si>
  <si>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</si>
  <si>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</si>
  <si>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</si>
  <si>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</si>
  <si>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</si>
  <si>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</si>
  <si>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</si>
  <si>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</si>
  <si>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</si>
  <si>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</si>
  <si>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</si>
  <si>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</si>
  <si>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</si>
  <si>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</si>
  <si>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</si>
  <si>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</si>
  <si>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</si>
  <si>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</si>
  <si>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</si>
  <si>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</si>
  <si>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</si>
  <si>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</si>
  <si>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</si>
  <si>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</si>
  <si>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</si>
  <si>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</si>
  <si>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</si>
  <si>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</si>
  <si>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</si>
  <si>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</si>
  <si>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</si>
  <si>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</si>
  <si>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</si>
  <si>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</si>
  <si>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</si>
  <si>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</si>
  <si>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</si>
  <si>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</si>
  <si>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</si>
  <si>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</si>
  <si>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</si>
  <si>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</si>
  <si>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</si>
  <si>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</si>
  <si>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</si>
  <si>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</si>
  <si>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</si>
  <si>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</si>
  <si>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</si>
  <si>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</si>
  <si>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</si>
  <si>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</si>
  <si>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</si>
  <si>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</si>
  <si>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</si>
  <si>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</si>
  <si>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</si>
  <si>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</si>
  <si>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</si>
  <si>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</si>
  <si>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</si>
  <si>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</si>
  <si>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</si>
  <si>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</si>
  <si>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</si>
  <si>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</si>
  <si>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</si>
  <si>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</si>
  <si>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</si>
  <si>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</si>
  <si>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</si>
  <si>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</si>
  <si>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</si>
  <si>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</si>
  <si>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</si>
  <si>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</si>
  <si>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</si>
  <si>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</si>
  <si>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</si>
  <si>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</si>
  <si>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</si>
  <si>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</si>
  <si>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</si>
  <si>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</si>
  <si>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</si>
  <si>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</si>
  <si>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</si>
  <si>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</si>
  <si>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</si>
  <si>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7/5 -7/12</t>
  </si>
  <si>
    <t>Time Frame</t>
  </si>
  <si>
    <t>US COVID Death Rates</t>
  </si>
  <si>
    <t>6/13 - 7/12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</si>
</sst>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7" fontId="0" fillId="13" borderId="0" xfId="0" applyNumberForma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0" fontId="0" fillId="13" borderId="23" xfId="0" applyFont="1" applyFill="1" applyBorder="1" applyAlignment="1">
      <alignment horizontal="center"/>
    </xf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165" fontId="1" fillId="13" borderId="0" xfId="2" applyNumberFormat="1" applyFont="1" applyFill="1" applyBorder="1" applyAlignment="1">
      <alignment horizontal="right"/>
    </xf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Table'!$BJ$40:$BJ$124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136</xdr:row>
      <xdr:rowOff>0</xdr:rowOff>
    </xdr:from>
    <xdr:to>
      <xdr:col>53</xdr:col>
      <xdr:colOff>160020</xdr:colOff>
      <xdr:row>136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137</xdr:row>
      <xdr:rowOff>0</xdr:rowOff>
    </xdr:from>
    <xdr:to>
      <xdr:col>53</xdr:col>
      <xdr:colOff>160020</xdr:colOff>
      <xdr:row>137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146</xdr:row>
      <xdr:rowOff>99060</xdr:rowOff>
    </xdr:from>
    <xdr:to>
      <xdr:col>21</xdr:col>
      <xdr:colOff>312420</xdr:colOff>
      <xdr:row>147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146</xdr:row>
      <xdr:rowOff>129540</xdr:rowOff>
    </xdr:from>
    <xdr:to>
      <xdr:col>22</xdr:col>
      <xdr:colOff>68580</xdr:colOff>
      <xdr:row>147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426720</xdr:colOff>
      <xdr:row>13</xdr:row>
      <xdr:rowOff>91440</xdr:rowOff>
    </xdr:from>
    <xdr:to>
      <xdr:col>88</xdr:col>
      <xdr:colOff>518160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91440</xdr:colOff>
      <xdr:row>26</xdr:row>
      <xdr:rowOff>160020</xdr:rowOff>
    </xdr:from>
    <xdr:to>
      <xdr:col>89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160020</xdr:colOff>
      <xdr:row>4</xdr:row>
      <xdr:rowOff>99060</xdr:rowOff>
    </xdr:from>
    <xdr:to>
      <xdr:col>89</xdr:col>
      <xdr:colOff>304800</xdr:colOff>
      <xdr:row>22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112</xdr:row>
      <xdr:rowOff>0</xdr:rowOff>
    </xdr:from>
    <xdr:to>
      <xdr:col>44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113</xdr:row>
      <xdr:rowOff>0</xdr:rowOff>
    </xdr:from>
    <xdr:to>
      <xdr:col>44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112</xdr:row>
      <xdr:rowOff>0</xdr:rowOff>
    </xdr:from>
    <xdr:to>
      <xdr:col>23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112</xdr:row>
      <xdr:rowOff>0</xdr:rowOff>
    </xdr:from>
    <xdr:to>
      <xdr:col>38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112</xdr:row>
      <xdr:rowOff>0</xdr:rowOff>
    </xdr:from>
    <xdr:to>
      <xdr:col>59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70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114</xdr:row>
      <xdr:rowOff>0</xdr:rowOff>
    </xdr:from>
    <xdr:to>
      <xdr:col>38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114</xdr:row>
      <xdr:rowOff>0</xdr:rowOff>
    </xdr:from>
    <xdr:to>
      <xdr:col>59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113</xdr:row>
      <xdr:rowOff>0</xdr:rowOff>
    </xdr:from>
    <xdr:to>
      <xdr:col>38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113</xdr:row>
      <xdr:rowOff>0</xdr:rowOff>
    </xdr:from>
    <xdr:to>
      <xdr:col>59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70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114</xdr:row>
      <xdr:rowOff>0</xdr:rowOff>
    </xdr:from>
    <xdr:to>
      <xdr:col>70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115</xdr:row>
      <xdr:rowOff>0</xdr:rowOff>
    </xdr:from>
    <xdr:to>
      <xdr:col>59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115</xdr:row>
      <xdr:rowOff>0</xdr:rowOff>
    </xdr:from>
    <xdr:to>
      <xdr:col>70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115</xdr:row>
      <xdr:rowOff>0</xdr:rowOff>
    </xdr:from>
    <xdr:to>
      <xdr:col>23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115</xdr:row>
      <xdr:rowOff>0</xdr:rowOff>
    </xdr:from>
    <xdr:to>
      <xdr:col>38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116</xdr:row>
      <xdr:rowOff>0</xdr:rowOff>
    </xdr:from>
    <xdr:to>
      <xdr:col>59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70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116</xdr:row>
      <xdr:rowOff>0</xdr:rowOff>
    </xdr:from>
    <xdr:to>
      <xdr:col>38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117</xdr:row>
      <xdr:rowOff>0</xdr:rowOff>
    </xdr:from>
    <xdr:to>
      <xdr:col>38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117</xdr:row>
      <xdr:rowOff>0</xdr:rowOff>
    </xdr:from>
    <xdr:to>
      <xdr:col>59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117</xdr:row>
      <xdr:rowOff>0</xdr:rowOff>
    </xdr:from>
    <xdr:to>
      <xdr:col>70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118</xdr:row>
      <xdr:rowOff>0</xdr:rowOff>
    </xdr:from>
    <xdr:to>
      <xdr:col>59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70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118</xdr:row>
      <xdr:rowOff>0</xdr:rowOff>
    </xdr:from>
    <xdr:to>
      <xdr:col>38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119</xdr:row>
      <xdr:rowOff>0</xdr:rowOff>
    </xdr:from>
    <xdr:to>
      <xdr:col>70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23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119</xdr:row>
      <xdr:rowOff>0</xdr:rowOff>
    </xdr:from>
    <xdr:to>
      <xdr:col>38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120</xdr:row>
      <xdr:rowOff>0</xdr:rowOff>
    </xdr:from>
    <xdr:to>
      <xdr:col>59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23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120</xdr:row>
      <xdr:rowOff>0</xdr:rowOff>
    </xdr:from>
    <xdr:to>
      <xdr:col>38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70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121</xdr:row>
      <xdr:rowOff>0</xdr:rowOff>
    </xdr:from>
    <xdr:to>
      <xdr:col>59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121</xdr:row>
      <xdr:rowOff>0</xdr:rowOff>
    </xdr:from>
    <xdr:to>
      <xdr:col>70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121</xdr:row>
      <xdr:rowOff>0</xdr:rowOff>
    </xdr:from>
    <xdr:to>
      <xdr:col>38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122</xdr:row>
      <xdr:rowOff>0</xdr:rowOff>
    </xdr:from>
    <xdr:to>
      <xdr:col>59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122</xdr:row>
      <xdr:rowOff>0</xdr:rowOff>
    </xdr:from>
    <xdr:to>
      <xdr:col>70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122</xdr:row>
      <xdr:rowOff>0</xdr:rowOff>
    </xdr:from>
    <xdr:to>
      <xdr:col>38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123</xdr:row>
      <xdr:rowOff>0</xdr:rowOff>
    </xdr:from>
    <xdr:to>
      <xdr:col>70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123</xdr:row>
      <xdr:rowOff>0</xdr:rowOff>
    </xdr:from>
    <xdr:to>
      <xdr:col>38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123</xdr:row>
      <xdr:rowOff>0</xdr:rowOff>
    </xdr:from>
    <xdr:to>
      <xdr:col>59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124</xdr:row>
      <xdr:rowOff>0</xdr:rowOff>
    </xdr:from>
    <xdr:to>
      <xdr:col>70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124</xdr:row>
      <xdr:rowOff>0</xdr:rowOff>
    </xdr:from>
    <xdr:to>
      <xdr:col>23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124</xdr:row>
      <xdr:rowOff>0</xdr:rowOff>
    </xdr:from>
    <xdr:to>
      <xdr:col>38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124</xdr:row>
      <xdr:rowOff>0</xdr:rowOff>
    </xdr:from>
    <xdr:to>
      <xdr:col>59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53</xdr:col>
      <xdr:colOff>0</xdr:colOff>
      <xdr:row>129</xdr:row>
      <xdr:rowOff>0</xdr:rowOff>
    </xdr:from>
    <xdr:to>
      <xdr:col>53</xdr:col>
      <xdr:colOff>83820</xdr:colOff>
      <xdr:row>129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65B3D213-7A37-414E-8CF2-BFC069011061}"/>
            </a:ext>
          </a:extLst>
        </xdr:cNvPr>
        <xdr:cNvSpPr/>
      </xdr:nvSpPr>
      <xdr:spPr>
        <a:xfrm rot="10800000">
          <a:off x="1307592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207"/>
  <sheetViews>
    <sheetView tabSelected="1" zoomScaleNormal="100" workbookViewId="0">
      <selection activeCell="BB130" sqref="BB130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9.77734375" hidden="1" customWidth="1" outlineLevel="1"/>
    <col min="33" max="33" width="10.33203125" hidden="1" customWidth="1" outlineLevel="1"/>
    <col min="34" max="34" width="8.109375" hidden="1" customWidth="1" outlineLevel="1"/>
    <col min="35" max="35" width="2.21875" hidden="1" customWidth="1" outlineLevel="1"/>
    <col min="36" max="36" width="3.5546875" customWidth="1" collapsed="1"/>
    <col min="37" max="37" width="9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10.21875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2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7.7773437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27" t="s">
        <v>5</v>
      </c>
      <c r="C1" s="527"/>
      <c r="D1" s="527"/>
    </row>
    <row r="2" spans="2:89" ht="15.6" x14ac:dyDescent="0.3">
      <c r="B2" s="527" t="s">
        <v>6</v>
      </c>
      <c r="C2" s="527"/>
      <c r="D2" s="527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30" t="s">
        <v>13</v>
      </c>
      <c r="C3" s="53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28" t="s">
        <v>11</v>
      </c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11"/>
      <c r="AD4" s="326"/>
      <c r="AE4" s="448"/>
      <c r="AF4" s="448"/>
      <c r="AG4" s="448"/>
      <c r="AH4" s="448"/>
      <c r="AI4" s="12"/>
      <c r="AK4" s="510" t="s">
        <v>14</v>
      </c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2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31" t="s">
        <v>12</v>
      </c>
      <c r="G6" s="531"/>
      <c r="H6" s="531"/>
      <c r="I6" s="531"/>
      <c r="J6" s="531"/>
      <c r="K6" s="531"/>
      <c r="L6" s="531"/>
      <c r="M6" s="336"/>
      <c r="N6" s="336"/>
      <c r="O6" s="337"/>
      <c r="P6" s="537" t="s">
        <v>124</v>
      </c>
      <c r="Q6" s="531"/>
      <c r="R6" s="531"/>
      <c r="S6" s="531"/>
      <c r="T6" s="538"/>
      <c r="U6" s="3"/>
      <c r="V6" s="8" t="s">
        <v>7</v>
      </c>
      <c r="W6" s="30"/>
      <c r="X6" s="532">
        <v>1.2500000000000001E-2</v>
      </c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3"/>
      <c r="AJ6" s="3"/>
      <c r="AK6" s="519" t="s">
        <v>27</v>
      </c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1"/>
      <c r="AY6" s="3"/>
      <c r="AZ6" s="522" t="s">
        <v>7</v>
      </c>
      <c r="BA6" s="514"/>
      <c r="BB6" s="514"/>
      <c r="BC6" s="97"/>
      <c r="BD6" s="513" t="s">
        <v>26</v>
      </c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4"/>
      <c r="BR6" s="514"/>
      <c r="BS6" s="514"/>
      <c r="BT6" s="515"/>
      <c r="BU6" s="3"/>
    </row>
    <row r="7" spans="2:89" ht="16.2" x14ac:dyDescent="0.3">
      <c r="D7" s="516" t="s">
        <v>20</v>
      </c>
      <c r="E7" s="517"/>
      <c r="F7" s="517"/>
      <c r="G7" s="517"/>
      <c r="H7" s="517"/>
      <c r="I7" s="517"/>
      <c r="J7" s="517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34" t="s">
        <v>35</v>
      </c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6"/>
      <c r="AJ7" s="3"/>
      <c r="AK7" s="516" t="s">
        <v>76</v>
      </c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8"/>
      <c r="AZ7" s="516" t="s">
        <v>25</v>
      </c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8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08" t="s">
        <v>1</v>
      </c>
      <c r="BA8" s="509"/>
      <c r="BB8" s="509"/>
      <c r="BC8" s="64"/>
      <c r="BD8" s="509" t="s">
        <v>24</v>
      </c>
      <c r="BE8" s="509"/>
      <c r="BF8" s="509"/>
      <c r="BG8" s="509"/>
      <c r="BH8" s="523"/>
      <c r="BI8" s="524" t="s">
        <v>124</v>
      </c>
      <c r="BJ8" s="525"/>
      <c r="BK8" s="525"/>
      <c r="BL8" s="526"/>
      <c r="BM8" s="508" t="s">
        <v>24</v>
      </c>
      <c r="BN8" s="509"/>
      <c r="BO8" s="509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+Z23+V24+21+653</f>
        <v>7795</v>
      </c>
      <c r="AA24" s="340" t="s">
        <v>47</v>
      </c>
      <c r="AB24" s="46">
        <f t="shared" si="4"/>
        <v>2.7891981636735116E-2</v>
      </c>
      <c r="AC24" s="33"/>
      <c r="AD24" s="33">
        <f t="shared" si="5"/>
        <v>519.66666666666663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9125</v>
      </c>
      <c r="AA25" s="33"/>
      <c r="AB25" s="46">
        <f t="shared" si="4"/>
        <v>2.9091361220657575E-2</v>
      </c>
      <c r="AC25" s="33"/>
      <c r="AD25" s="33">
        <f t="shared" si="5"/>
        <v>570.3125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10290</v>
      </c>
      <c r="AA26" s="33"/>
      <c r="AB26" s="46">
        <f t="shared" si="4"/>
        <v>3.0355504553325682E-2</v>
      </c>
      <c r="AC26" s="33"/>
      <c r="AD26" s="33">
        <f t="shared" si="5"/>
        <v>605.29411764705878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11545</v>
      </c>
      <c r="AA27" s="33"/>
      <c r="AB27" s="46">
        <f t="shared" si="4"/>
        <v>3.1186435183809525E-2</v>
      </c>
      <c r="AC27" s="33"/>
      <c r="AD27" s="33">
        <f t="shared" si="5"/>
        <v>641.38888888888891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13515</v>
      </c>
      <c r="AA28" s="33"/>
      <c r="AB28" s="46">
        <f t="shared" si="4"/>
        <v>3.3481728117962704E-2</v>
      </c>
      <c r="AC28" s="33"/>
      <c r="AD28" s="33">
        <f t="shared" si="5"/>
        <v>711.31578947368416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15465</v>
      </c>
      <c r="AA29" s="33"/>
      <c r="AB29" s="46">
        <f t="shared" si="4"/>
        <v>3.5503732885203448E-2</v>
      </c>
      <c r="AC29" s="33"/>
      <c r="AD29" s="33">
        <f t="shared" si="5"/>
        <v>773.25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17365</v>
      </c>
      <c r="AA30" s="33"/>
      <c r="AB30" s="46">
        <f t="shared" si="4"/>
        <v>3.7015799660644097E-2</v>
      </c>
      <c r="AC30" s="33"/>
      <c r="AD30" s="33">
        <f t="shared" si="5"/>
        <v>826.90476190476193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19400</v>
      </c>
      <c r="AA31" s="33"/>
      <c r="AB31" s="46">
        <f t="shared" si="4"/>
        <v>3.8578098775841362E-2</v>
      </c>
      <c r="AC31" s="33"/>
      <c r="AD31" s="33">
        <f t="shared" si="5"/>
        <v>881.81818181818187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21230</v>
      </c>
      <c r="AA32" s="33"/>
      <c r="AB32" s="46">
        <f t="shared" si="4"/>
        <v>3.9840188860885868E-2</v>
      </c>
      <c r="AC32" s="33"/>
      <c r="AD32" s="33">
        <f t="shared" si="5"/>
        <v>923.04347826086962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22758</v>
      </c>
      <c r="AA33" s="33"/>
      <c r="AB33" s="46">
        <f t="shared" si="4"/>
        <v>4.0617526325182937E-2</v>
      </c>
      <c r="AC33" s="33"/>
      <c r="AD33" s="33">
        <f t="shared" si="5"/>
        <v>948.25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24293</v>
      </c>
      <c r="AA34" s="33"/>
      <c r="AB34" s="46">
        <f t="shared" si="4"/>
        <v>4.1389168587643389E-2</v>
      </c>
      <c r="AC34" s="33"/>
      <c r="AD34" s="33">
        <f t="shared" si="5"/>
        <v>971.72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32895</v>
      </c>
      <c r="AA35" s="341" t="s">
        <v>68</v>
      </c>
      <c r="AB35" s="46">
        <f t="shared" si="4"/>
        <v>5.1090933941340559E-2</v>
      </c>
      <c r="AC35" s="33"/>
      <c r="AD35" s="33">
        <f t="shared" si="5"/>
        <v>1265.1923076923076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35513</v>
      </c>
      <c r="AA36" s="33"/>
      <c r="AB36" s="46">
        <f t="shared" si="4"/>
        <v>5.2674749404474086E-2</v>
      </c>
      <c r="AC36" s="33"/>
      <c r="AD36" s="33">
        <f t="shared" si="5"/>
        <v>1315.2962962962963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37689</v>
      </c>
      <c r="AA37" s="33"/>
      <c r="AB37" s="46">
        <f t="shared" si="4"/>
        <v>5.3553692233584985E-2</v>
      </c>
      <c r="AC37" s="33"/>
      <c r="AD37" s="33">
        <f t="shared" si="5"/>
        <v>1346.0357142857142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40217</v>
      </c>
      <c r="AA38" s="33"/>
      <c r="AB38" s="46">
        <f t="shared" si="4"/>
        <v>5.4648157559319822E-2</v>
      </c>
      <c r="AC38" s="33"/>
      <c r="AD38" s="33">
        <f t="shared" si="5"/>
        <v>1386.7931034482758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42084</v>
      </c>
      <c r="AA39" s="33"/>
      <c r="AB39" s="46">
        <f t="shared" si="4"/>
        <v>5.5012987216709393E-2</v>
      </c>
      <c r="AC39" s="33"/>
      <c r="AD39" s="33">
        <f t="shared" si="5"/>
        <v>1402.8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43654</v>
      </c>
      <c r="AA40" s="33"/>
      <c r="AB40" s="46">
        <f t="shared" si="4"/>
        <v>5.5176789700265176E-2</v>
      </c>
      <c r="AC40" s="33"/>
      <c r="AD40" s="33">
        <f t="shared" si="5"/>
        <v>1408.1935483870968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45606</v>
      </c>
      <c r="AA41" s="33"/>
      <c r="AB41" s="46">
        <f t="shared" si="4"/>
        <v>5.5663980256533248E-2</v>
      </c>
      <c r="AC41" s="33"/>
      <c r="AD41" s="33">
        <f t="shared" si="5"/>
        <v>1425.1875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48289</v>
      </c>
      <c r="AA42" s="33"/>
      <c r="AB42" s="46">
        <f t="shared" ref="AB42:AB68" si="23">+Z42/H42</f>
        <v>5.711876074917141E-2</v>
      </c>
      <c r="AC42" s="33"/>
      <c r="AD42" s="33">
        <f t="shared" ref="AD42:AD68" si="24">+Z42/BV42</f>
        <v>1463.3030303030303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50647</v>
      </c>
      <c r="AA43" s="33"/>
      <c r="AB43" s="46">
        <f t="shared" si="23"/>
        <v>5.7841036792047731E-2</v>
      </c>
      <c r="AC43" s="33"/>
      <c r="AD43" s="33">
        <f t="shared" si="24"/>
        <v>1489.6176470588234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52987</v>
      </c>
      <c r="AA44" s="33"/>
      <c r="AB44" s="46">
        <f t="shared" si="23"/>
        <v>5.8386334686465591E-2</v>
      </c>
      <c r="AC44" s="33"/>
      <c r="AD44" s="33">
        <f t="shared" si="24"/>
        <v>1513.9142857142858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54944</v>
      </c>
      <c r="AA45" s="33"/>
      <c r="AB45" s="46">
        <f t="shared" si="23"/>
        <v>5.8062661684392065E-2</v>
      </c>
      <c r="AC45" s="33"/>
      <c r="AD45" s="33">
        <f t="shared" si="24"/>
        <v>1526.2222222222222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57009</v>
      </c>
      <c r="AA46" s="33"/>
      <c r="AB46" s="46">
        <f t="shared" si="23"/>
        <v>5.8071298259052856E-2</v>
      </c>
      <c r="AC46" s="33"/>
      <c r="AD46" s="33">
        <f t="shared" si="24"/>
        <v>1540.7837837837837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58165</v>
      </c>
      <c r="AA47" s="33"/>
      <c r="AB47" s="46">
        <f t="shared" si="23"/>
        <v>5.7691010656446634E-2</v>
      </c>
      <c r="AC47" s="33"/>
      <c r="AD47" s="33">
        <f t="shared" si="24"/>
        <v>1530.6578947368421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>
        <f>+P47/7</f>
        <v>31007.142857142859</v>
      </c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59548</v>
      </c>
      <c r="AA48" s="33"/>
      <c r="AB48" s="46">
        <f t="shared" si="23"/>
        <v>5.7734445594970776E-2</v>
      </c>
      <c r="AC48" s="33"/>
      <c r="AD48" s="33">
        <f t="shared" si="24"/>
        <v>1526.8717948717949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62018</v>
      </c>
      <c r="AA49" s="33"/>
      <c r="AB49" s="46">
        <f t="shared" si="23"/>
        <v>5.8683542435284688E-2</v>
      </c>
      <c r="AC49" s="33"/>
      <c r="AD49" s="33">
        <f t="shared" si="24"/>
        <v>1550.45</v>
      </c>
      <c r="AE49" s="50"/>
      <c r="AF49" s="33"/>
      <c r="AG49" s="232">
        <f>+AG51/AG50</f>
        <v>6.194382152455194E-2</v>
      </c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64408</v>
      </c>
      <c r="AA50" s="33"/>
      <c r="AB50" s="46">
        <f t="shared" si="23"/>
        <v>5.9348537203409352E-2</v>
      </c>
      <c r="AC50" s="33"/>
      <c r="AD50" s="33">
        <f t="shared" si="24"/>
        <v>1570.9268292682927</v>
      </c>
      <c r="AE50" s="50"/>
      <c r="AF50" s="33"/>
      <c r="AG50" s="33">
        <f>SUM(D22:D51)</f>
        <v>898992</v>
      </c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66609</v>
      </c>
      <c r="AA51" s="33"/>
      <c r="AB51" s="46">
        <f t="shared" si="23"/>
        <v>5.9681259122338112E-2</v>
      </c>
      <c r="AC51" s="33"/>
      <c r="AD51" s="33">
        <f t="shared" si="24"/>
        <v>1585.9285714285713</v>
      </c>
      <c r="AE51" s="50"/>
      <c r="AF51" s="33"/>
      <c r="AG51" s="33">
        <f>SUM(V22:V51)</f>
        <v>55687</v>
      </c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68506</v>
      </c>
      <c r="AA52" s="33"/>
      <c r="AB52" s="46">
        <f t="shared" si="23"/>
        <v>5.9462574842503078E-2</v>
      </c>
      <c r="AC52" s="33"/>
      <c r="AD52" s="33">
        <f t="shared" si="24"/>
        <v>1593.1627906976744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4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70197</v>
      </c>
      <c r="AA53" s="33"/>
      <c r="AB53" s="46">
        <f t="shared" si="23"/>
        <v>5.9396867569785843E-2</v>
      </c>
      <c r="AC53" s="33"/>
      <c r="AD53" s="33">
        <f t="shared" si="24"/>
        <v>1595.3863636363637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71350</v>
      </c>
      <c r="AA54" s="33"/>
      <c r="AB54" s="46">
        <f t="shared" si="23"/>
        <v>5.9007027914831395E-2</v>
      </c>
      <c r="AC54" s="33"/>
      <c r="AD54" s="33">
        <f t="shared" si="24"/>
        <v>1585.5555555555557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72674</v>
      </c>
      <c r="AA55" s="33"/>
      <c r="AB55" s="46">
        <f t="shared" si="23"/>
        <v>5.8898233312342826E-2</v>
      </c>
      <c r="AC55" s="33"/>
      <c r="AD55" s="33">
        <f t="shared" si="24"/>
        <v>1579.8695652173913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75024</v>
      </c>
      <c r="AA56" s="33"/>
      <c r="AB56" s="46">
        <f t="shared" si="23"/>
        <v>5.9604874595710296E-2</v>
      </c>
      <c r="AC56" s="33"/>
      <c r="AD56" s="33">
        <f t="shared" si="24"/>
        <v>1596.2553191489362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77552</v>
      </c>
      <c r="AA57" s="33"/>
      <c r="AB57" s="46">
        <f t="shared" si="23"/>
        <v>6.0391792846307434E-2</v>
      </c>
      <c r="AC57" s="33"/>
      <c r="AD57" s="33">
        <f t="shared" si="24"/>
        <v>1615.6666666666667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79681</v>
      </c>
      <c r="AA58" s="33"/>
      <c r="AB58" s="46">
        <f t="shared" si="23"/>
        <v>6.0654847949917753E-2</v>
      </c>
      <c r="AC58" s="33"/>
      <c r="AD58" s="33">
        <f t="shared" si="24"/>
        <v>1626.1428571428571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81368</v>
      </c>
      <c r="AA59" s="33"/>
      <c r="AB59" s="46">
        <f t="shared" si="23"/>
        <v>6.0593919905632905E-2</v>
      </c>
      <c r="AC59" s="33"/>
      <c r="AD59" s="33">
        <f t="shared" si="24"/>
        <v>1627.36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82790</v>
      </c>
      <c r="AA60" s="33"/>
      <c r="AB60" s="46">
        <f t="shared" si="23"/>
        <v>6.0502862905730564E-2</v>
      </c>
      <c r="AC60" s="33"/>
      <c r="AD60" s="33">
        <f t="shared" si="24"/>
        <v>1623.3333333333333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83540</v>
      </c>
      <c r="AA61" s="33"/>
      <c r="AB61" s="46">
        <f t="shared" si="23"/>
        <v>6.0157241264094177E-2</v>
      </c>
      <c r="AC61" s="33"/>
      <c r="AD61" s="33">
        <f t="shared" si="24"/>
        <v>1606.5384615384614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84600</v>
      </c>
      <c r="AA62" s="33"/>
      <c r="AB62" s="46">
        <f t="shared" si="23"/>
        <v>6.0132632970594714E-2</v>
      </c>
      <c r="AC62" s="33"/>
      <c r="AD62" s="33">
        <f t="shared" si="24"/>
        <v>1596.2264150943397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86471</v>
      </c>
      <c r="AA63" s="33"/>
      <c r="AB63" s="46">
        <f t="shared" si="23"/>
        <v>6.0482257717046746E-2</v>
      </c>
      <c r="AC63" s="33"/>
      <c r="AD63" s="33">
        <f t="shared" si="24"/>
        <v>1601.3148148148148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88293</v>
      </c>
      <c r="AA64" s="33"/>
      <c r="AB64" s="46">
        <f t="shared" si="23"/>
        <v>6.0832821185555504E-2</v>
      </c>
      <c r="AC64" s="33"/>
      <c r="AD64" s="33">
        <f t="shared" si="24"/>
        <v>1605.3272727272727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90046</v>
      </c>
      <c r="AA65" s="33"/>
      <c r="AB65" s="46">
        <f t="shared" si="23"/>
        <v>6.0897481417158499E-2</v>
      </c>
      <c r="AC65" s="33"/>
      <c r="AD65" s="33">
        <f t="shared" si="24"/>
        <v>1607.9642857142858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91648</v>
      </c>
      <c r="AA66" s="33"/>
      <c r="AB66" s="46">
        <f t="shared" si="23"/>
        <v>6.0881886562579507E-2</v>
      </c>
      <c r="AC66" s="33"/>
      <c r="AD66" s="33">
        <f t="shared" si="24"/>
        <v>1607.859649122807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92866</v>
      </c>
      <c r="AA67" s="33"/>
      <c r="AB67" s="46">
        <f t="shared" si="23"/>
        <v>6.0743222427099432E-2</v>
      </c>
      <c r="AC67" s="33"/>
      <c r="AD67" s="33">
        <f t="shared" si="24"/>
        <v>1601.1379310344828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93731</v>
      </c>
      <c r="AA68" s="33"/>
      <c r="AB68" s="46">
        <f t="shared" si="23"/>
        <v>6.0521592024381426E-2</v>
      </c>
      <c r="AC68" s="33"/>
      <c r="AD68" s="33">
        <f t="shared" si="24"/>
        <v>1588.6610169491526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94734</v>
      </c>
      <c r="AA69" s="33"/>
      <c r="AB69" s="46">
        <f t="shared" ref="AB69:AB96" si="44">+Z69/H69</f>
        <v>6.0288287141629808E-2</v>
      </c>
      <c r="AC69" s="33"/>
      <c r="AD69" s="33">
        <f t="shared" ref="AD69:AD96" si="45">+Z69/BV69</f>
        <v>1578.9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96286</v>
      </c>
      <c r="AA70" s="33"/>
      <c r="AB70" s="46">
        <f t="shared" si="44"/>
        <v>6.0494873523456012E-2</v>
      </c>
      <c r="AC70" s="33"/>
      <c r="AD70" s="33">
        <f t="shared" si="45"/>
        <v>1578.4590163934427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97689</v>
      </c>
      <c r="AA71" s="33"/>
      <c r="AB71" s="46">
        <f t="shared" si="44"/>
        <v>6.0534311079769906E-2</v>
      </c>
      <c r="AC71" s="33"/>
      <c r="AD71" s="33">
        <f t="shared" si="45"/>
        <v>1575.6290322580646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99107</v>
      </c>
      <c r="AA72" s="33"/>
      <c r="AB72" s="46">
        <f t="shared" si="44"/>
        <v>6.0359181804118749E-2</v>
      </c>
      <c r="AC72" s="33"/>
      <c r="AD72" s="33">
        <f t="shared" si="45"/>
        <v>1573.1269841269841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100400</v>
      </c>
      <c r="AA73" s="33"/>
      <c r="AB73" s="46">
        <f t="shared" si="44"/>
        <v>6.0265697293325877E-2</v>
      </c>
      <c r="AC73" s="33"/>
      <c r="AD73" s="33">
        <f t="shared" si="45"/>
        <v>1568.75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101436</v>
      </c>
      <c r="AA74" s="33"/>
      <c r="AB74" s="46">
        <f t="shared" si="44"/>
        <v>6.0096546919101074E-2</v>
      </c>
      <c r="AC74" s="33"/>
      <c r="AD74" s="33">
        <f t="shared" si="45"/>
        <v>1560.5538461538461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102053</v>
      </c>
      <c r="AA75" s="33"/>
      <c r="AB75" s="46">
        <f t="shared" si="44"/>
        <v>5.9767776364398777E-2</v>
      </c>
      <c r="AC75" s="33"/>
      <c r="AD75" s="33">
        <f t="shared" si="45"/>
        <v>1546.2575757575758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102558</v>
      </c>
      <c r="AA76" s="33"/>
      <c r="AB76" s="46">
        <f t="shared" si="44"/>
        <v>5.937536545856438E-2</v>
      </c>
      <c r="AC76" s="33"/>
      <c r="AD76" s="33">
        <f t="shared" si="45"/>
        <v>1530.7164179104477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31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103332</v>
      </c>
      <c r="AA77" s="33"/>
      <c r="AB77" s="46">
        <f t="shared" si="44"/>
        <v>5.917152308893079E-2</v>
      </c>
      <c r="AC77" s="33"/>
      <c r="AD77" s="33">
        <f t="shared" si="45"/>
        <v>1519.5882352941176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31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104860</v>
      </c>
      <c r="AA78" s="33"/>
      <c r="AB78" s="46">
        <f t="shared" si="44"/>
        <v>5.9348255859692257E-2</v>
      </c>
      <c r="AC78" s="33"/>
      <c r="AD78" s="33">
        <f t="shared" si="45"/>
        <v>1519.7101449275362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106083</v>
      </c>
      <c r="AA79" s="33"/>
      <c r="AB79" s="46">
        <f t="shared" si="44"/>
        <v>5.9280241540035666E-2</v>
      </c>
      <c r="AC79" s="33"/>
      <c r="AD79" s="33">
        <f t="shared" si="45"/>
        <v>1515.4714285714285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107295</v>
      </c>
      <c r="AA80" s="33"/>
      <c r="AB80" s="46">
        <f t="shared" si="44"/>
        <v>5.912918979866482E-2</v>
      </c>
      <c r="AC80" s="33"/>
      <c r="AD80" s="33">
        <f t="shared" si="45"/>
        <v>1511.1971830985915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108310</v>
      </c>
      <c r="AA81" s="33"/>
      <c r="AB81" s="46">
        <f t="shared" si="44"/>
        <v>5.8932158643999921E-2</v>
      </c>
      <c r="AC81" s="33"/>
      <c r="AD81" s="33">
        <f t="shared" si="45"/>
        <v>1504.3055555555557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4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108948</v>
      </c>
      <c r="AA82" s="33"/>
      <c r="AB82" s="46">
        <f t="shared" si="44"/>
        <v>5.8630112806515464E-2</v>
      </c>
      <c r="AC82" s="33"/>
      <c r="AD82" s="33">
        <f t="shared" si="45"/>
        <v>1492.4383561643835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109678</v>
      </c>
      <c r="AA83" s="33"/>
      <c r="AB83" s="46">
        <f t="shared" si="44"/>
        <v>5.8327603105544149E-2</v>
      </c>
      <c r="AC83" s="33"/>
      <c r="AD83" s="33">
        <f t="shared" si="45"/>
        <v>1482.1351351351352</v>
      </c>
      <c r="AE83" s="50"/>
      <c r="AF83" s="33">
        <f>SUM(D52:D82)</f>
        <v>742147</v>
      </c>
      <c r="AG83" s="33"/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/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110812</v>
      </c>
      <c r="AA84" s="33"/>
      <c r="AB84" s="46">
        <f t="shared" si="44"/>
        <v>5.8252784449662795E-2</v>
      </c>
      <c r="AC84" s="33"/>
      <c r="AD84" s="33">
        <f t="shared" si="45"/>
        <v>1477.4933333333333</v>
      </c>
      <c r="AE84" s="50"/>
      <c r="AF84" s="33">
        <f>SUM(AG52:AG82)</f>
        <v>42339</v>
      </c>
      <c r="AG84" s="33"/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111895</v>
      </c>
      <c r="AA85" s="33"/>
      <c r="AB85" s="46">
        <f t="shared" si="44"/>
        <v>5.819259958842108E-2</v>
      </c>
      <c r="AC85" s="33"/>
      <c r="AD85" s="33">
        <f t="shared" si="45"/>
        <v>1472.3026315789473</v>
      </c>
      <c r="AE85" s="50"/>
      <c r="AF85" s="232">
        <f>+AF84/AF83</f>
        <v>5.7049344671608188E-2</v>
      </c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112926</v>
      </c>
      <c r="AA86" s="33"/>
      <c r="AB86" s="46">
        <f t="shared" si="44"/>
        <v>5.8056446252057088E-2</v>
      </c>
      <c r="AC86" s="33"/>
      <c r="AD86" s="33">
        <f t="shared" si="45"/>
        <v>1466.5714285714287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113901</v>
      </c>
      <c r="AA87" s="33"/>
      <c r="AB87" s="46">
        <f t="shared" si="44"/>
        <v>5.7803095660999747E-2</v>
      </c>
      <c r="AC87" s="33"/>
      <c r="AD87" s="33">
        <f t="shared" si="45"/>
        <v>1460.2692307692307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114607</v>
      </c>
      <c r="AA88" s="33"/>
      <c r="AB88" s="46">
        <f t="shared" si="44"/>
        <v>5.7495073585185838E-2</v>
      </c>
      <c r="AC88" s="33"/>
      <c r="AD88" s="33">
        <f t="shared" si="45"/>
        <v>1450.7215189873418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115149</v>
      </c>
      <c r="AA89" s="33"/>
      <c r="AB89" s="46">
        <f t="shared" si="44"/>
        <v>5.7239335073477254E-2</v>
      </c>
      <c r="AC89" s="33"/>
      <c r="AD89" s="33">
        <f t="shared" si="45"/>
        <v>1439.3625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115735</v>
      </c>
      <c r="AA90" s="33"/>
      <c r="AB90" s="46">
        <f t="shared" si="44"/>
        <v>5.6991119066554068E-2</v>
      </c>
      <c r="AC90" s="33"/>
      <c r="AD90" s="33">
        <f t="shared" si="45"/>
        <v>1428.8271604938273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116828</v>
      </c>
      <c r="AA91" s="33"/>
      <c r="AB91" s="46">
        <f t="shared" si="44"/>
        <v>5.6994522909673134E-2</v>
      </c>
      <c r="AC91" s="33"/>
      <c r="AD91" s="33">
        <f t="shared" si="45"/>
        <v>1424.7317073170732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117810</v>
      </c>
      <c r="AA92" s="33"/>
      <c r="AB92" s="46">
        <f t="shared" si="44"/>
        <v>5.6894820644402301E-2</v>
      </c>
      <c r="AC92" s="33"/>
      <c r="AD92" s="33">
        <f t="shared" si="45"/>
        <v>1419.3975903614457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118714</v>
      </c>
      <c r="AA93" s="33"/>
      <c r="AB93" s="46">
        <f t="shared" si="44"/>
        <v>5.669345637912418E-2</v>
      </c>
      <c r="AC93" s="33"/>
      <c r="AD93" s="33">
        <f t="shared" si="45"/>
        <v>1413.2619047619048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119505</v>
      </c>
      <c r="AA94" s="33"/>
      <c r="AB94" s="46">
        <f t="shared" si="44"/>
        <v>5.6338818320334307E-2</v>
      </c>
      <c r="AC94" s="33"/>
      <c r="AD94" s="33">
        <f t="shared" si="45"/>
        <v>1405.9411764705883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120207</v>
      </c>
      <c r="AA95" s="33"/>
      <c r="AB95" s="46">
        <f t="shared" si="44"/>
        <v>5.6001762881285971E-2</v>
      </c>
      <c r="AC95" s="33"/>
      <c r="AD95" s="33">
        <f t="shared" si="45"/>
        <v>1397.7558139534883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120538</v>
      </c>
      <c r="AA96" s="33"/>
      <c r="AB96" s="46">
        <f t="shared" si="44"/>
        <v>5.5637459669788461E-2</v>
      </c>
      <c r="AC96" s="33"/>
      <c r="AD96" s="33">
        <f t="shared" si="45"/>
        <v>1385.4942528735633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 t="shared" ref="BJ96" si="54">SUM(AZ90:AZ96)</f>
        <v>3499254</v>
      </c>
      <c r="BK96" s="67"/>
      <c r="BL96" s="157">
        <f t="shared" ref="BL96" si="55"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6">+H96+D97</f>
        <v>2187212</v>
      </c>
      <c r="I97" s="16"/>
      <c r="J97" s="38">
        <f t="shared" ref="J97:J108" si="57">+D97/H96</f>
        <v>9.5647798974377914E-3</v>
      </c>
      <c r="K97" s="16"/>
      <c r="L97" s="16"/>
      <c r="M97" s="16"/>
      <c r="N97" s="16">
        <f t="shared" ref="N97:N108" si="58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9">+Z96+V97</f>
        <v>120963</v>
      </c>
      <c r="AA97" s="33"/>
      <c r="AB97" s="46">
        <f t="shared" ref="AB97:AB108" si="60">+Z97/H97</f>
        <v>5.5304652681130134E-2</v>
      </c>
      <c r="AC97" s="33"/>
      <c r="AD97" s="33">
        <f t="shared" ref="AD97:AD108" si="61">+Z97/BV97</f>
        <v>1374.5795454545455</v>
      </c>
      <c r="AE97" s="50"/>
      <c r="AF97" s="33"/>
      <c r="AG97" s="33"/>
      <c r="AH97" s="232"/>
      <c r="AI97" s="50"/>
      <c r="AJ97" s="10"/>
      <c r="AK97" s="23">
        <f t="shared" ref="AK97:AK108" si="62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3">+AK97/AO96</f>
        <v>2.5369620751997179E-2</v>
      </c>
      <c r="AR97" s="25"/>
      <c r="AS97" s="25"/>
      <c r="AT97" s="24"/>
      <c r="AU97" s="342">
        <f t="shared" ref="AU97:AU108" si="64">+AO97/H97</f>
        <v>0.40684945035049186</v>
      </c>
      <c r="AV97" s="342"/>
      <c r="AW97" s="24">
        <f t="shared" ref="AW97:AW108" si="65">+AO97/BV97</f>
        <v>10112.113636363636</v>
      </c>
      <c r="AX97" s="352"/>
      <c r="AY97" s="10"/>
      <c r="AZ97" s="66">
        <f t="shared" ref="AZ97:AZ108" si="66">+BB97-BB96</f>
        <v>468146</v>
      </c>
      <c r="BA97" s="67"/>
      <c r="BB97" s="67">
        <v>25259077</v>
      </c>
      <c r="BC97" s="67"/>
      <c r="BD97" s="67">
        <f t="shared" ref="BD97:BD108" si="67">+D97</f>
        <v>20722</v>
      </c>
      <c r="BE97" s="67"/>
      <c r="BF97" s="157">
        <f t="shared" ref="BF97:BF108" si="68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9">+BB97/BV97</f>
        <v>287034.96590909088</v>
      </c>
      <c r="BN97" s="67"/>
      <c r="BO97" s="67">
        <f t="shared" ref="BO97:BO108" si="70">+BO96+BD97</f>
        <v>1913834</v>
      </c>
      <c r="BP97" s="67"/>
      <c r="BQ97" s="74">
        <f t="shared" ref="BQ97:BQ108" si="71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6"/>
        <v>2212506</v>
      </c>
      <c r="I98" s="16"/>
      <c r="J98" s="38">
        <f t="shared" si="57"/>
        <v>1.1564493976807004E-2</v>
      </c>
      <c r="K98" s="16"/>
      <c r="L98" s="16"/>
      <c r="M98" s="16"/>
      <c r="N98" s="16">
        <f t="shared" si="58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9"/>
        <v>121809</v>
      </c>
      <c r="AA98" s="33"/>
      <c r="AB98" s="46">
        <f t="shared" si="60"/>
        <v>5.5054765953177077E-2</v>
      </c>
      <c r="AC98" s="33"/>
      <c r="AD98" s="33">
        <f t="shared" si="61"/>
        <v>1368.6404494382023</v>
      </c>
      <c r="AE98" s="50"/>
      <c r="AF98" s="33"/>
      <c r="AG98" s="33"/>
      <c r="AH98" s="232"/>
      <c r="AI98" s="50"/>
      <c r="AJ98" s="10"/>
      <c r="AK98" s="23">
        <f t="shared" si="62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3"/>
        <v>1.4805599944261271E-2</v>
      </c>
      <c r="AR98" s="25"/>
      <c r="AS98" s="25"/>
      <c r="AT98" s="24"/>
      <c r="AU98" s="342">
        <f t="shared" si="64"/>
        <v>0.40815301743814481</v>
      </c>
      <c r="AV98" s="342"/>
      <c r="AW98" s="24">
        <f t="shared" si="65"/>
        <v>10146.528089887641</v>
      </c>
      <c r="AX98" s="352"/>
      <c r="AY98" s="10"/>
      <c r="AZ98" s="66">
        <f t="shared" si="66"/>
        <v>470291</v>
      </c>
      <c r="BA98" s="67"/>
      <c r="BB98" s="67">
        <v>25729368</v>
      </c>
      <c r="BC98" s="67"/>
      <c r="BD98" s="67">
        <f t="shared" si="67"/>
        <v>25294</v>
      </c>
      <c r="BE98" s="67"/>
      <c r="BF98" s="157">
        <f t="shared" si="68"/>
        <v>5.3783721142866864E-2</v>
      </c>
      <c r="BG98" s="67"/>
      <c r="BH98" s="184"/>
      <c r="BI98" s="67"/>
      <c r="BJ98" s="67"/>
      <c r="BK98" s="67"/>
      <c r="BL98" s="157"/>
      <c r="BM98" s="66">
        <f t="shared" si="69"/>
        <v>289094.02247191011</v>
      </c>
      <c r="BN98" s="67"/>
      <c r="BO98" s="67">
        <f t="shared" si="70"/>
        <v>1939128</v>
      </c>
      <c r="BP98" s="67"/>
      <c r="BQ98" s="74">
        <f t="shared" si="71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6"/>
        <v>2238577</v>
      </c>
      <c r="I99" s="16"/>
      <c r="J99" s="38">
        <f t="shared" si="57"/>
        <v>1.1783470869683517E-2</v>
      </c>
      <c r="K99" s="16"/>
      <c r="L99" s="16"/>
      <c r="M99" s="16"/>
      <c r="N99" s="16">
        <f t="shared" si="58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9"/>
        <v>122618</v>
      </c>
      <c r="AA99" s="33"/>
      <c r="AB99" s="46">
        <f t="shared" si="60"/>
        <v>5.4774975352645902E-2</v>
      </c>
      <c r="AC99" s="33"/>
      <c r="AD99" s="33">
        <f t="shared" si="61"/>
        <v>1362.4222222222222</v>
      </c>
      <c r="AE99" s="50"/>
      <c r="AF99" s="33"/>
      <c r="AG99" s="33"/>
      <c r="AH99" s="232"/>
      <c r="AI99" s="50"/>
      <c r="AJ99" s="10"/>
      <c r="AK99" s="23">
        <f t="shared" si="62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3"/>
        <v>1.7446605414372107E-2</v>
      </c>
      <c r="AR99" s="25"/>
      <c r="AS99" s="25"/>
      <c r="AT99" s="24"/>
      <c r="AU99" s="342">
        <f t="shared" si="64"/>
        <v>0.41043752348031809</v>
      </c>
      <c r="AV99" s="342"/>
      <c r="AW99" s="24">
        <f t="shared" si="65"/>
        <v>10208.844444444445</v>
      </c>
      <c r="AX99" s="352"/>
      <c r="AY99" s="10"/>
      <c r="AZ99" s="66">
        <f t="shared" si="66"/>
        <v>514443</v>
      </c>
      <c r="BA99" s="67"/>
      <c r="BB99" s="67">
        <v>26243811</v>
      </c>
      <c r="BC99" s="67"/>
      <c r="BD99" s="67">
        <f t="shared" si="67"/>
        <v>26071</v>
      </c>
      <c r="BE99" s="67"/>
      <c r="BF99" s="157">
        <f t="shared" si="68"/>
        <v>5.0678112055174238E-2</v>
      </c>
      <c r="BG99" s="67"/>
      <c r="BH99" s="184"/>
      <c r="BI99" s="67"/>
      <c r="BJ99" s="67"/>
      <c r="BK99" s="67"/>
      <c r="BL99" s="157"/>
      <c r="BM99" s="66">
        <f t="shared" si="69"/>
        <v>291597.90000000002</v>
      </c>
      <c r="BN99" s="67"/>
      <c r="BO99" s="67">
        <f t="shared" si="70"/>
        <v>1965199</v>
      </c>
      <c r="BP99" s="67"/>
      <c r="BQ99" s="74">
        <f t="shared" si="71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6"/>
        <v>2266501</v>
      </c>
      <c r="I100" s="16"/>
      <c r="J100" s="38">
        <f t="shared" si="57"/>
        <v>1.2473995757126067E-2</v>
      </c>
      <c r="K100" s="16"/>
      <c r="L100" s="16"/>
      <c r="M100" s="16"/>
      <c r="N100" s="16">
        <f t="shared" si="58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9"/>
        <v>123365</v>
      </c>
      <c r="AA100" s="33"/>
      <c r="AB100" s="46">
        <f t="shared" si="60"/>
        <v>5.4429713465822427E-2</v>
      </c>
      <c r="AC100" s="33"/>
      <c r="AD100" s="33">
        <f t="shared" si="61"/>
        <v>1355.6593406593406</v>
      </c>
      <c r="AE100" s="50"/>
      <c r="AF100" s="33"/>
      <c r="AG100" s="33"/>
      <c r="AH100" s="232"/>
      <c r="AI100" s="50"/>
      <c r="AJ100" s="10"/>
      <c r="AK100" s="23">
        <f t="shared" si="62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3"/>
        <v>1.3276069987244177E-2</v>
      </c>
      <c r="AR100" s="25"/>
      <c r="AS100" s="25"/>
      <c r="AT100" s="24"/>
      <c r="AU100" s="342">
        <f t="shared" si="64"/>
        <v>0.41076266897742381</v>
      </c>
      <c r="AV100" s="342"/>
      <c r="AW100" s="24">
        <f t="shared" si="65"/>
        <v>10230.703296703297</v>
      </c>
      <c r="AX100" s="352"/>
      <c r="AY100" s="10"/>
      <c r="AZ100" s="66">
        <f t="shared" si="66"/>
        <v>479368</v>
      </c>
      <c r="BA100" s="67"/>
      <c r="BB100" s="67">
        <v>26723179</v>
      </c>
      <c r="BC100" s="67"/>
      <c r="BD100" s="67">
        <f t="shared" si="67"/>
        <v>27924</v>
      </c>
      <c r="BE100" s="67"/>
      <c r="BF100" s="157">
        <f t="shared" si="68"/>
        <v>5.825169806912435E-2</v>
      </c>
      <c r="BG100" s="67"/>
      <c r="BH100" s="184"/>
      <c r="BI100" s="67"/>
      <c r="BJ100" s="67"/>
      <c r="BK100" s="67"/>
      <c r="BL100" s="157"/>
      <c r="BM100" s="66">
        <f t="shared" si="69"/>
        <v>293661.30769230769</v>
      </c>
      <c r="BN100" s="67"/>
      <c r="BO100" s="67">
        <f t="shared" si="70"/>
        <v>1993123</v>
      </c>
      <c r="BP100" s="67"/>
      <c r="BQ100" s="74">
        <f t="shared" si="71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6"/>
        <v>2300040</v>
      </c>
      <c r="I101" s="16"/>
      <c r="J101" s="38">
        <f t="shared" si="57"/>
        <v>1.4797699184778652E-2</v>
      </c>
      <c r="K101" s="16"/>
      <c r="L101" s="16"/>
      <c r="M101" s="16"/>
      <c r="N101" s="16">
        <f t="shared" si="58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9"/>
        <v>124084</v>
      </c>
      <c r="AA101" s="33"/>
      <c r="AB101" s="46">
        <f t="shared" si="60"/>
        <v>5.3948626980400344E-2</v>
      </c>
      <c r="AC101" s="33"/>
      <c r="AD101" s="33">
        <f t="shared" si="61"/>
        <v>1348.7391304347825</v>
      </c>
      <c r="AE101" s="50"/>
      <c r="AF101" s="33"/>
      <c r="AG101" s="33"/>
      <c r="AH101" s="232"/>
      <c r="AI101" s="50"/>
      <c r="AJ101" s="10"/>
      <c r="AK101" s="23">
        <f t="shared" si="62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3"/>
        <v>2.6924985553075528E-2</v>
      </c>
      <c r="AR101" s="25"/>
      <c r="AS101" s="25"/>
      <c r="AT101" s="24"/>
      <c r="AU101" s="342">
        <f t="shared" si="64"/>
        <v>0.41567146658318987</v>
      </c>
      <c r="AV101" s="342"/>
      <c r="AW101" s="24">
        <f t="shared" si="65"/>
        <v>10391.967391304348</v>
      </c>
      <c r="AX101" s="352"/>
      <c r="AY101" s="10"/>
      <c r="AZ101" s="66">
        <f t="shared" si="66"/>
        <v>614206</v>
      </c>
      <c r="BA101" s="67"/>
      <c r="BB101" s="67">
        <v>27337385</v>
      </c>
      <c r="BC101" s="67"/>
      <c r="BD101" s="67">
        <f t="shared" si="67"/>
        <v>33539</v>
      </c>
      <c r="BE101" s="67"/>
      <c r="BF101" s="157">
        <f t="shared" si="68"/>
        <v>5.460545810363298E-2</v>
      </c>
      <c r="BG101" s="67"/>
      <c r="BH101" s="184"/>
      <c r="BI101" s="67"/>
      <c r="BJ101" s="67"/>
      <c r="BK101" s="67"/>
      <c r="BL101" s="157"/>
      <c r="BM101" s="66">
        <f t="shared" si="69"/>
        <v>297145.48913043475</v>
      </c>
      <c r="BN101" s="67"/>
      <c r="BO101" s="67">
        <f t="shared" si="70"/>
        <v>2026662</v>
      </c>
      <c r="BP101" s="67"/>
      <c r="BQ101" s="74">
        <f t="shared" si="71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6"/>
        <v>2333378</v>
      </c>
      <c r="I102" s="16"/>
      <c r="J102" s="38">
        <f t="shared" si="57"/>
        <v>1.4494530529903828E-2</v>
      </c>
      <c r="K102" s="16"/>
      <c r="L102" s="16"/>
      <c r="M102" s="16"/>
      <c r="N102" s="16">
        <f t="shared" si="58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9"/>
        <v>124657</v>
      </c>
      <c r="AA102" s="33"/>
      <c r="AB102" s="46">
        <f t="shared" si="60"/>
        <v>5.3423405894801441E-2</v>
      </c>
      <c r="AC102" s="33"/>
      <c r="AD102" s="33">
        <f t="shared" si="61"/>
        <v>1340.3978494623657</v>
      </c>
      <c r="AE102" s="50"/>
      <c r="AF102" s="33"/>
      <c r="AG102" s="33"/>
      <c r="AH102" s="232"/>
      <c r="AI102" s="50"/>
      <c r="AJ102" s="10"/>
      <c r="AK102" s="23">
        <f t="shared" si="62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3"/>
        <v>1.7655777194133009E-2</v>
      </c>
      <c r="AR102" s="25"/>
      <c r="AS102" s="25"/>
      <c r="AT102" s="24"/>
      <c r="AU102" s="342">
        <f t="shared" si="64"/>
        <v>0.41696673235112358</v>
      </c>
      <c r="AV102" s="342"/>
      <c r="AW102" s="24">
        <f t="shared" si="65"/>
        <v>10461.731182795698</v>
      </c>
      <c r="AX102" s="352"/>
      <c r="AY102" s="10"/>
      <c r="AZ102" s="66">
        <f t="shared" si="66"/>
        <v>638478</v>
      </c>
      <c r="BA102" s="67"/>
      <c r="BB102" s="67">
        <v>27975863</v>
      </c>
      <c r="BC102" s="67"/>
      <c r="BD102" s="67">
        <f t="shared" si="67"/>
        <v>33338</v>
      </c>
      <c r="BE102" s="67"/>
      <c r="BF102" s="157">
        <f t="shared" si="68"/>
        <v>5.2214798317248207E-2</v>
      </c>
      <c r="BG102" s="67"/>
      <c r="BH102" s="184"/>
      <c r="BI102" s="67"/>
      <c r="BJ102" s="67"/>
      <c r="BK102" s="67"/>
      <c r="BL102" s="157"/>
      <c r="BM102" s="66">
        <f t="shared" si="69"/>
        <v>300815.73118279572</v>
      </c>
      <c r="BN102" s="67"/>
      <c r="BO102" s="67">
        <f t="shared" si="70"/>
        <v>2060000</v>
      </c>
      <c r="BP102" s="67"/>
      <c r="BQ102" s="74">
        <f t="shared" si="71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6"/>
        <v>2359457</v>
      </c>
      <c r="I103" s="16"/>
      <c r="J103" s="38">
        <f t="shared" si="57"/>
        <v>1.1176500335565005E-2</v>
      </c>
      <c r="K103" s="16"/>
      <c r="L103" s="16"/>
      <c r="M103" s="16"/>
      <c r="N103" s="16">
        <f t="shared" si="58"/>
        <v>25100.606382978724</v>
      </c>
      <c r="O103" s="41"/>
      <c r="P103" s="17">
        <f t="shared" ref="P103" si="72">SUM(D97:D103)</f>
        <v>192967</v>
      </c>
      <c r="Q103" s="16"/>
      <c r="R103" s="60">
        <f t="shared" ref="R103" si="73"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9"/>
        <v>124924</v>
      </c>
      <c r="AA103" s="33"/>
      <c r="AB103" s="46">
        <f t="shared" si="60"/>
        <v>5.2946080390530531E-2</v>
      </c>
      <c r="AC103" s="33"/>
      <c r="AD103" s="33">
        <f t="shared" si="61"/>
        <v>1328.9787234042553</v>
      </c>
      <c r="AE103" s="50"/>
      <c r="AF103" s="33">
        <f t="shared" ref="AF103" si="74">SUM(V97:V103)</f>
        <v>4386</v>
      </c>
      <c r="AG103" s="33"/>
      <c r="AH103" s="232">
        <f t="shared" ref="AH103" si="75">+(AF103-AF96)/AF96</f>
        <v>-0.18611987381703471</v>
      </c>
      <c r="AI103" s="50"/>
      <c r="AJ103" s="392"/>
      <c r="AK103" s="23">
        <f t="shared" si="62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3"/>
        <v>7.620194852514181E-3</v>
      </c>
      <c r="AR103" s="25"/>
      <c r="AS103" s="25"/>
      <c r="AT103" s="24"/>
      <c r="AU103" s="342">
        <f t="shared" si="64"/>
        <v>0.41550026128893214</v>
      </c>
      <c r="AV103" s="342"/>
      <c r="AW103" s="24">
        <f t="shared" si="65"/>
        <v>10429.308510638299</v>
      </c>
      <c r="AX103" s="352"/>
      <c r="AY103" s="392"/>
      <c r="AZ103" s="66">
        <f t="shared" si="66"/>
        <v>516127</v>
      </c>
      <c r="BA103" s="67"/>
      <c r="BB103" s="67">
        <v>28491990</v>
      </c>
      <c r="BC103" s="67"/>
      <c r="BD103" s="67">
        <f t="shared" si="67"/>
        <v>26079</v>
      </c>
      <c r="BE103" s="67"/>
      <c r="BF103" s="157">
        <f t="shared" si="68"/>
        <v>5.0528261455029477E-2</v>
      </c>
      <c r="BG103" s="67"/>
      <c r="BH103" s="184"/>
      <c r="BI103" s="67"/>
      <c r="BJ103" s="67">
        <f t="shared" ref="BJ103" si="76">SUM(AZ97:AZ103)</f>
        <v>3701059</v>
      </c>
      <c r="BK103" s="67"/>
      <c r="BL103" s="157">
        <f t="shared" ref="BL103" si="77">+P103/BJ103</f>
        <v>5.2138320410455491E-2</v>
      </c>
      <c r="BM103" s="66">
        <f t="shared" si="69"/>
        <v>303106.27659574465</v>
      </c>
      <c r="BN103" s="67"/>
      <c r="BO103" s="67">
        <f t="shared" si="70"/>
        <v>2086079</v>
      </c>
      <c r="BP103" s="67"/>
      <c r="BQ103" s="479">
        <f t="shared" si="71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6"/>
        <v>2390953</v>
      </c>
      <c r="I104" s="16"/>
      <c r="J104" s="38">
        <f t="shared" si="57"/>
        <v>1.3348834074958772E-2</v>
      </c>
      <c r="K104" s="16"/>
      <c r="L104" s="16"/>
      <c r="M104" s="16"/>
      <c r="N104" s="16">
        <f t="shared" si="58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9"/>
        <v>125287</v>
      </c>
      <c r="AA104" s="33"/>
      <c r="AB104" s="46">
        <f t="shared" si="60"/>
        <v>5.2400444508946854E-2</v>
      </c>
      <c r="AC104" s="33"/>
      <c r="AD104" s="33">
        <f t="shared" si="61"/>
        <v>1318.8105263157895</v>
      </c>
      <c r="AE104" s="50"/>
      <c r="AF104" s="33"/>
      <c r="AG104" s="33"/>
      <c r="AH104" s="232"/>
      <c r="AI104" s="50"/>
      <c r="AJ104" s="10"/>
      <c r="AK104" s="23">
        <f t="shared" si="62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3"/>
        <v>2.3026352698767284E-2</v>
      </c>
      <c r="AR104" s="25"/>
      <c r="AS104" s="25"/>
      <c r="AT104" s="24"/>
      <c r="AU104" s="342">
        <f t="shared" si="64"/>
        <v>0.41946830406118396</v>
      </c>
      <c r="AV104" s="342"/>
      <c r="AW104" s="24">
        <f t="shared" si="65"/>
        <v>10557.147368421052</v>
      </c>
      <c r="AX104" s="352"/>
      <c r="AY104" s="10"/>
      <c r="AZ104" s="66">
        <f t="shared" si="66"/>
        <v>521192</v>
      </c>
      <c r="BA104" s="67"/>
      <c r="BB104" s="67">
        <v>29013182</v>
      </c>
      <c r="BC104" s="67"/>
      <c r="BD104" s="67">
        <f t="shared" si="67"/>
        <v>31496</v>
      </c>
      <c r="BE104" s="67"/>
      <c r="BF104" s="157">
        <f t="shared" si="68"/>
        <v>6.0430704999309276E-2</v>
      </c>
      <c r="BG104" s="67"/>
      <c r="BH104" s="184"/>
      <c r="BI104" s="67"/>
      <c r="BJ104" s="67"/>
      <c r="BK104" s="67"/>
      <c r="BL104" s="157"/>
      <c r="BM104" s="66">
        <f t="shared" si="69"/>
        <v>305401.91578947369</v>
      </c>
      <c r="BN104" s="67"/>
      <c r="BO104" s="67">
        <f t="shared" si="70"/>
        <v>2117575</v>
      </c>
      <c r="BP104" s="67"/>
      <c r="BQ104" s="479">
        <f t="shared" si="71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6"/>
        <v>2426991</v>
      </c>
      <c r="I105" s="16"/>
      <c r="J105" s="38">
        <f t="shared" si="57"/>
        <v>1.5072650947132796E-2</v>
      </c>
      <c r="K105" s="16"/>
      <c r="L105" s="16"/>
      <c r="M105" s="16"/>
      <c r="N105" s="16">
        <f t="shared" si="58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9"/>
        <v>126158</v>
      </c>
      <c r="AA105" s="33"/>
      <c r="AB105" s="46">
        <f t="shared" si="60"/>
        <v>5.1981239320623769E-2</v>
      </c>
      <c r="AC105" s="33"/>
      <c r="AD105" s="33">
        <f t="shared" si="61"/>
        <v>1314.1458333333333</v>
      </c>
      <c r="AE105" s="50"/>
      <c r="AF105" s="33"/>
      <c r="AG105" s="33"/>
      <c r="AH105" s="232"/>
      <c r="AI105" s="50"/>
      <c r="AJ105" s="10"/>
      <c r="AK105" s="23">
        <f t="shared" si="62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3"/>
        <v>1.7401032376170196E-2</v>
      </c>
      <c r="AR105" s="25"/>
      <c r="AS105" s="25"/>
      <c r="AT105" s="24"/>
      <c r="AU105" s="342">
        <f t="shared" si="64"/>
        <v>0.42043048367299263</v>
      </c>
      <c r="AV105" s="342"/>
      <c r="AW105" s="24">
        <f t="shared" si="65"/>
        <v>10628.96875</v>
      </c>
      <c r="AX105" s="352"/>
      <c r="AY105" s="10"/>
      <c r="AZ105" s="66">
        <f t="shared" si="66"/>
        <v>539508</v>
      </c>
      <c r="BA105" s="67"/>
      <c r="BB105" s="67">
        <v>29552690</v>
      </c>
      <c r="BC105" s="67"/>
      <c r="BD105" s="67">
        <f t="shared" si="67"/>
        <v>36038</v>
      </c>
      <c r="BE105" s="67"/>
      <c r="BF105" s="157">
        <f t="shared" si="68"/>
        <v>6.6797897343505566E-2</v>
      </c>
      <c r="BG105" s="67"/>
      <c r="BH105" s="184"/>
      <c r="BI105" s="67"/>
      <c r="BJ105" s="67"/>
      <c r="BK105" s="67"/>
      <c r="BL105" s="157"/>
      <c r="BM105" s="66">
        <f t="shared" si="69"/>
        <v>307840.52083333331</v>
      </c>
      <c r="BN105" s="67"/>
      <c r="BO105" s="67">
        <f t="shared" si="70"/>
        <v>2153613</v>
      </c>
      <c r="BP105" s="67"/>
      <c r="BQ105" s="479">
        <f t="shared" si="71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6"/>
        <v>2465403</v>
      </c>
      <c r="I106" s="16"/>
      <c r="J106" s="38">
        <f t="shared" si="57"/>
        <v>1.5827005538957498E-2</v>
      </c>
      <c r="K106" s="16"/>
      <c r="L106" s="16"/>
      <c r="M106" s="16"/>
      <c r="N106" s="16">
        <f t="shared" si="58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9"/>
        <v>126977</v>
      </c>
      <c r="AA106" s="33"/>
      <c r="AB106" s="46">
        <f t="shared" si="60"/>
        <v>5.1503547290240176E-2</v>
      </c>
      <c r="AC106" s="33"/>
      <c r="AD106" s="33">
        <f t="shared" si="61"/>
        <v>1309.0412371134021</v>
      </c>
      <c r="AE106" s="50"/>
      <c r="AF106" s="33"/>
      <c r="AG106" s="33"/>
      <c r="AH106" s="232"/>
      <c r="AI106" s="50"/>
      <c r="AJ106" s="10"/>
      <c r="AK106" s="23">
        <f t="shared" si="62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3"/>
        <v>1.9820047609667369E-2</v>
      </c>
      <c r="AR106" s="25"/>
      <c r="AS106" s="25"/>
      <c r="AT106" s="24"/>
      <c r="AU106" s="342">
        <f t="shared" si="64"/>
        <v>0.42208312393551883</v>
      </c>
      <c r="AV106" s="342"/>
      <c r="AW106" s="24">
        <f t="shared" si="65"/>
        <v>10727.886597938144</v>
      </c>
      <c r="AX106" s="352"/>
      <c r="AY106" s="10"/>
      <c r="AZ106" s="66">
        <f t="shared" si="66"/>
        <v>507174</v>
      </c>
      <c r="BA106" s="67"/>
      <c r="BB106" s="67">
        <f>30059864</f>
        <v>30059864</v>
      </c>
      <c r="BC106" s="67"/>
      <c r="BD106" s="67">
        <f t="shared" si="67"/>
        <v>38412</v>
      </c>
      <c r="BE106" s="67"/>
      <c r="BF106" s="157">
        <f t="shared" si="68"/>
        <v>7.5737320919447765E-2</v>
      </c>
      <c r="BG106" s="67"/>
      <c r="BH106" s="184"/>
      <c r="BI106" s="67"/>
      <c r="BJ106" s="67"/>
      <c r="BK106" s="67"/>
      <c r="BL106" s="157"/>
      <c r="BM106" s="66">
        <f t="shared" si="69"/>
        <v>309895.50515463919</v>
      </c>
      <c r="BN106" s="67"/>
      <c r="BO106" s="67">
        <f t="shared" si="70"/>
        <v>2192025</v>
      </c>
      <c r="BP106" s="67"/>
      <c r="BQ106" s="479">
        <f t="shared" si="71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6"/>
        <v>2505615</v>
      </c>
      <c r="I107" s="16"/>
      <c r="J107" s="38">
        <f t="shared" si="57"/>
        <v>1.6310517996449263E-2</v>
      </c>
      <c r="K107" s="16"/>
      <c r="L107" s="16"/>
      <c r="M107" s="16"/>
      <c r="N107" s="16">
        <f t="shared" si="58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9"/>
        <v>127630</v>
      </c>
      <c r="AA107" s="33"/>
      <c r="AB107" s="46">
        <f t="shared" si="60"/>
        <v>5.0937594163508758E-2</v>
      </c>
      <c r="AC107" s="33"/>
      <c r="AD107" s="33">
        <f t="shared" si="61"/>
        <v>1302.3469387755101</v>
      </c>
      <c r="AE107" s="50"/>
      <c r="AF107" s="33"/>
      <c r="AG107" s="33"/>
      <c r="AH107" s="232"/>
      <c r="AI107" s="50"/>
      <c r="AJ107" s="10"/>
      <c r="AK107" s="23">
        <f t="shared" si="62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3"/>
        <v>1.1231927580590138E-2</v>
      </c>
      <c r="AR107" s="25"/>
      <c r="AS107" s="25"/>
      <c r="AT107" s="24"/>
      <c r="AU107" s="342">
        <f t="shared" si="64"/>
        <v>0.41997393853405252</v>
      </c>
      <c r="AV107" s="342"/>
      <c r="AW107" s="24">
        <f t="shared" si="65"/>
        <v>10737.683673469388</v>
      </c>
      <c r="AX107" s="352"/>
      <c r="AY107" s="10"/>
      <c r="AZ107" s="66">
        <f t="shared" si="66"/>
        <v>672688</v>
      </c>
      <c r="BA107" s="67"/>
      <c r="BB107" s="67">
        <v>30732552</v>
      </c>
      <c r="BC107" s="67"/>
      <c r="BD107" s="67">
        <f t="shared" si="67"/>
        <v>40212</v>
      </c>
      <c r="BE107" s="67"/>
      <c r="BF107" s="157">
        <f t="shared" si="68"/>
        <v>5.9778084342221059E-2</v>
      </c>
      <c r="BG107" s="67"/>
      <c r="BH107" s="184"/>
      <c r="BI107" s="67"/>
      <c r="BJ107" s="67"/>
      <c r="BK107" s="67"/>
      <c r="BL107" s="157"/>
      <c r="BM107" s="66">
        <f t="shared" si="69"/>
        <v>313597.46938775509</v>
      </c>
      <c r="BN107" s="67"/>
      <c r="BO107" s="67">
        <f t="shared" si="70"/>
        <v>2232237</v>
      </c>
      <c r="BP107" s="67"/>
      <c r="BQ107" s="479">
        <f t="shared" si="71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6"/>
        <v>2552956</v>
      </c>
      <c r="I108" s="16"/>
      <c r="J108" s="38">
        <f t="shared" si="57"/>
        <v>1.8893964156504493E-2</v>
      </c>
      <c r="K108" s="16"/>
      <c r="L108" s="16"/>
      <c r="M108" s="16"/>
      <c r="N108" s="16">
        <f t="shared" si="58"/>
        <v>25787.434343434343</v>
      </c>
      <c r="O108" s="41"/>
      <c r="P108" s="17"/>
      <c r="Q108" s="16"/>
      <c r="R108" s="60"/>
      <c r="S108" s="16"/>
      <c r="T108" s="41"/>
      <c r="U108" s="10"/>
      <c r="V108" s="34">
        <v>663</v>
      </c>
      <c r="W108" s="33"/>
      <c r="X108" s="33"/>
      <c r="Y108" s="33"/>
      <c r="Z108" s="33">
        <f t="shared" si="59"/>
        <v>128293</v>
      </c>
      <c r="AA108" s="33"/>
      <c r="AB108" s="46">
        <f t="shared" si="60"/>
        <v>5.0252726643154055E-2</v>
      </c>
      <c r="AC108" s="33"/>
      <c r="AD108" s="33">
        <f t="shared" si="61"/>
        <v>1295.8888888888889</v>
      </c>
      <c r="AE108" s="50"/>
      <c r="AF108" s="33"/>
      <c r="AG108" s="33"/>
      <c r="AH108" s="232"/>
      <c r="AI108" s="50"/>
      <c r="AJ108" s="10"/>
      <c r="AK108" s="23">
        <f t="shared" si="62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3"/>
        <v>1.55945159760637E-2</v>
      </c>
      <c r="AR108" s="25"/>
      <c r="AS108" s="25"/>
      <c r="AT108" s="24"/>
      <c r="AU108" s="342">
        <f t="shared" si="64"/>
        <v>0.41861395182682348</v>
      </c>
      <c r="AV108" s="342"/>
      <c r="AW108" s="24">
        <f t="shared" si="65"/>
        <v>10794.979797979799</v>
      </c>
      <c r="AX108" s="352"/>
      <c r="AY108" s="10"/>
      <c r="AZ108" s="66">
        <f t="shared" si="66"/>
        <v>619948</v>
      </c>
      <c r="BA108" s="67"/>
      <c r="BB108" s="67">
        <v>31352500</v>
      </c>
      <c r="BC108" s="67"/>
      <c r="BD108" s="67">
        <f t="shared" si="67"/>
        <v>47341</v>
      </c>
      <c r="BE108" s="67"/>
      <c r="BF108" s="157">
        <f t="shared" si="68"/>
        <v>7.6362856239555577E-2</v>
      </c>
      <c r="BG108" s="67"/>
      <c r="BH108" s="184"/>
      <c r="BI108" s="67"/>
      <c r="BJ108" s="67"/>
      <c r="BK108" s="67"/>
      <c r="BL108" s="157"/>
      <c r="BM108" s="66">
        <f t="shared" si="69"/>
        <v>316691.91919191921</v>
      </c>
      <c r="BN108" s="67"/>
      <c r="BO108" s="67">
        <f t="shared" si="70"/>
        <v>2279578</v>
      </c>
      <c r="BP108" s="67"/>
      <c r="BQ108" s="479">
        <f t="shared" si="71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 t="shared" ref="H109" si="78">+H108+D109</f>
        <v>2596537</v>
      </c>
      <c r="I109" s="16"/>
      <c r="J109" s="38">
        <f t="shared" ref="J109" si="79">+D109/H108</f>
        <v>1.7070799496740251E-2</v>
      </c>
      <c r="K109" s="16"/>
      <c r="L109" s="16"/>
      <c r="M109" s="16"/>
      <c r="N109" s="16">
        <f t="shared" ref="N109" si="80">+H109/BV109</f>
        <v>25965.37</v>
      </c>
      <c r="O109" s="41"/>
      <c r="P109" s="17"/>
      <c r="Q109" s="16"/>
      <c r="R109" s="60"/>
      <c r="S109" s="16"/>
      <c r="T109" s="41"/>
      <c r="U109" s="10"/>
      <c r="V109" s="34">
        <v>512</v>
      </c>
      <c r="W109" s="33"/>
      <c r="X109" s="33"/>
      <c r="Y109" s="33"/>
      <c r="Z109" s="33">
        <f t="shared" ref="Z109" si="81">+Z108+V109</f>
        <v>128805</v>
      </c>
      <c r="AA109" s="33"/>
      <c r="AB109" s="46">
        <f t="shared" ref="AB109" si="82">+Z109/H109</f>
        <v>4.9606456599694128E-2</v>
      </c>
      <c r="AC109" s="33"/>
      <c r="AD109" s="33">
        <f t="shared" ref="AD109" si="83">+Z109/BV109</f>
        <v>1288.05</v>
      </c>
      <c r="AE109" s="50"/>
      <c r="AF109" s="33"/>
      <c r="AG109" s="33"/>
      <c r="AH109" s="232"/>
      <c r="AI109" s="50"/>
      <c r="AJ109" s="10"/>
      <c r="AK109" s="23">
        <f t="shared" ref="AK109" si="84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5">
        <f t="shared" ref="AQ109" si="85">+AK109/AO108</f>
        <v>1.1915377799070462E-2</v>
      </c>
      <c r="AR109" s="25"/>
      <c r="AS109" s="25"/>
      <c r="AT109" s="24"/>
      <c r="AU109" s="342">
        <f t="shared" ref="AU109" si="86">+AO109/H109</f>
        <v>0.41649204305580856</v>
      </c>
      <c r="AV109" s="342"/>
      <c r="AW109" s="24">
        <f t="shared" ref="AW109" si="87">+AO109/BV109</f>
        <v>10814.37</v>
      </c>
      <c r="AX109" s="352"/>
      <c r="AY109" s="10"/>
      <c r="AZ109" s="66">
        <f t="shared" ref="AZ109" si="88">+BB109-BB108</f>
        <v>645524</v>
      </c>
      <c r="BA109" s="67"/>
      <c r="BB109" s="67">
        <v>31998024</v>
      </c>
      <c r="BC109" s="67"/>
      <c r="BD109" s="67">
        <f t="shared" ref="BD109" si="89">+D109</f>
        <v>43581</v>
      </c>
      <c r="BE109" s="67"/>
      <c r="BF109" s="157">
        <f t="shared" ref="BF109" si="90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" si="91">+BB109/BV109</f>
        <v>319980.24</v>
      </c>
      <c r="BN109" s="67"/>
      <c r="BO109" s="67">
        <f t="shared" ref="BO109" si="92">+BO108+BD109</f>
        <v>2323159</v>
      </c>
      <c r="BP109" s="67"/>
      <c r="BQ109" s="479">
        <f t="shared" ref="BQ109" si="93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 t="shared" ref="H110" si="94">+H109+D110</f>
        <v>2637077</v>
      </c>
      <c r="I110" s="16"/>
      <c r="J110" s="38">
        <f t="shared" ref="J110" si="95">+D110/H109</f>
        <v>1.5613103144688483E-2</v>
      </c>
      <c r="K110" s="16"/>
      <c r="L110" s="16"/>
      <c r="M110" s="16"/>
      <c r="N110" s="16">
        <f t="shared" ref="N110" si="96">+H110/BV110</f>
        <v>26109.673267326732</v>
      </c>
      <c r="O110" s="41"/>
      <c r="P110" s="17">
        <f t="shared" ref="P110" si="97">SUM(D104:D110)</f>
        <v>277620</v>
      </c>
      <c r="Q110" s="16"/>
      <c r="R110" s="60">
        <f t="shared" ref="R110" si="98">+(P110-P103)/P103</f>
        <v>0.43869158975368844</v>
      </c>
      <c r="S110" s="16"/>
      <c r="T110" s="41"/>
      <c r="U110" s="392"/>
      <c r="V110" s="34">
        <v>285</v>
      </c>
      <c r="W110" s="33"/>
      <c r="X110" s="33"/>
      <c r="Y110" s="33"/>
      <c r="Z110" s="33">
        <f t="shared" ref="Z110" si="99">+Z109+V110</f>
        <v>129090</v>
      </c>
      <c r="AA110" s="33"/>
      <c r="AB110" s="46">
        <f t="shared" ref="AB110" si="100">+Z110/H110</f>
        <v>4.8951926697627712E-2</v>
      </c>
      <c r="AC110" s="33"/>
      <c r="AD110" s="33">
        <f t="shared" ref="AD110" si="101">+Z110/BV110</f>
        <v>1278.1188118811881</v>
      </c>
      <c r="AE110" s="50"/>
      <c r="AF110" s="33">
        <f t="shared" ref="AF110" si="102">SUM(V104:V110)</f>
        <v>4166</v>
      </c>
      <c r="AG110" s="33"/>
      <c r="AH110" s="232">
        <f t="shared" ref="AH110" si="103">+(AF110-AF103)/AF103</f>
        <v>-5.0159598723210214E-2</v>
      </c>
      <c r="AI110" s="50"/>
      <c r="AJ110" s="392"/>
      <c r="AK110" s="23">
        <f t="shared" ref="AK110" si="104">+AO110-AO109</f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5">
        <f t="shared" ref="AQ110" si="105">+AK110/AO109</f>
        <v>1.1113916020997988E-2</v>
      </c>
      <c r="AR110" s="25"/>
      <c r="AS110" s="25"/>
      <c r="AT110" s="24"/>
      <c r="AU110" s="342">
        <f t="shared" ref="AU110" si="106">+AO110/H110</f>
        <v>0.41464697466171824</v>
      </c>
      <c r="AV110" s="342"/>
      <c r="AW110" s="24">
        <f t="shared" ref="AW110" si="107">+AO110/BV110</f>
        <v>10826.29702970297</v>
      </c>
      <c r="AX110" s="352"/>
      <c r="AY110" s="392"/>
      <c r="AZ110" s="66">
        <f t="shared" ref="AZ110" si="108">+BB110-BB109</f>
        <v>594344</v>
      </c>
      <c r="BA110" s="67"/>
      <c r="BB110" s="67">
        <f>32592368</f>
        <v>32592368</v>
      </c>
      <c r="BC110" s="67"/>
      <c r="BD110" s="67">
        <f t="shared" ref="BD110" si="109">+D110</f>
        <v>40540</v>
      </c>
      <c r="BE110" s="67"/>
      <c r="BF110" s="157">
        <f t="shared" ref="BF110" si="110">+BD110/AZ110</f>
        <v>6.8209656360626175E-2</v>
      </c>
      <c r="BG110" s="67"/>
      <c r="BH110" s="184"/>
      <c r="BI110" s="67"/>
      <c r="BJ110" s="67">
        <f t="shared" ref="BJ110" si="111">SUM(AZ104:AZ110)</f>
        <v>4100378</v>
      </c>
      <c r="BK110" s="67"/>
      <c r="BL110" s="157">
        <f t="shared" ref="BL110" si="112">+P110/BJ110</f>
        <v>6.7705952963360932E-2</v>
      </c>
      <c r="BM110" s="66">
        <f t="shared" ref="BM110" si="113">+BB110/BV110</f>
        <v>322696.71287128713</v>
      </c>
      <c r="BN110" s="67"/>
      <c r="BO110" s="67">
        <f t="shared" ref="BO110" si="114">+BO109+BD110</f>
        <v>2363699</v>
      </c>
      <c r="BP110" s="67"/>
      <c r="BQ110" s="479">
        <f t="shared" ref="BQ110" si="115">+BO110/BB110</f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 t="shared" ref="H111" si="116">+H110+D111</f>
        <v>2681811</v>
      </c>
      <c r="I111" s="16"/>
      <c r="J111" s="38">
        <f t="shared" ref="J111" si="117">+D111/H110</f>
        <v>1.696347888211076E-2</v>
      </c>
      <c r="K111" s="16"/>
      <c r="L111" s="16"/>
      <c r="M111" s="16"/>
      <c r="N111" s="16">
        <f t="shared" ref="N111" si="118">+H111/BV111</f>
        <v>26292.264705882353</v>
      </c>
      <c r="O111" s="41"/>
      <c r="P111" s="17"/>
      <c r="Q111" s="16"/>
      <c r="R111" s="60"/>
      <c r="S111" s="16"/>
      <c r="T111" s="41"/>
      <c r="U111" s="10"/>
      <c r="V111" s="34">
        <v>346</v>
      </c>
      <c r="W111" s="33"/>
      <c r="X111" s="33"/>
      <c r="Y111" s="33"/>
      <c r="Z111" s="33">
        <f t="shared" ref="Z111" si="119">+Z110+V111</f>
        <v>129436</v>
      </c>
      <c r="AA111" s="33"/>
      <c r="AB111" s="46">
        <f t="shared" ref="AB111" si="120">+Z111/H111</f>
        <v>4.8264400436868964E-2</v>
      </c>
      <c r="AC111" s="33"/>
      <c r="AD111" s="33">
        <f t="shared" ref="AD111" si="121">+Z111/BV111</f>
        <v>1268.9803921568628</v>
      </c>
      <c r="AE111" s="50"/>
      <c r="AF111" s="33"/>
      <c r="AG111" s="33"/>
      <c r="AH111" s="232"/>
      <c r="AI111" s="50"/>
      <c r="AJ111" s="10"/>
      <c r="AK111" s="23">
        <f t="shared" ref="AK111" si="122">+AO111-AO110</f>
        <v>23721</v>
      </c>
      <c r="AL111" s="24"/>
      <c r="AM111" s="24"/>
      <c r="AN111" s="24">
        <v>178263</v>
      </c>
      <c r="AO111" s="24">
        <v>1117177</v>
      </c>
      <c r="AP111" s="24"/>
      <c r="AQ111" s="505">
        <f t="shared" ref="AQ111" si="123">+AK111/AO110</f>
        <v>2.1693602668968848E-2</v>
      </c>
      <c r="AR111" s="25"/>
      <c r="AS111" s="25"/>
      <c r="AT111" s="24"/>
      <c r="AU111" s="342">
        <f t="shared" ref="AU111" si="124">+AO111/H111</f>
        <v>0.41657559015158041</v>
      </c>
      <c r="AV111" s="342"/>
      <c r="AW111" s="24">
        <f t="shared" ref="AW111" si="125">+AO111/BV111</f>
        <v>10952.715686274511</v>
      </c>
      <c r="AX111" s="352"/>
      <c r="AY111" s="10"/>
      <c r="AZ111" s="66">
        <f t="shared" ref="AZ111" si="126">+BB111-BB110</f>
        <v>597145</v>
      </c>
      <c r="BA111" s="67"/>
      <c r="BB111" s="67">
        <v>33189513</v>
      </c>
      <c r="BC111" s="67"/>
      <c r="BD111" s="67">
        <f t="shared" ref="BD111" si="127">+D111</f>
        <v>44734</v>
      </c>
      <c r="BE111" s="67"/>
      <c r="BF111" s="157">
        <f t="shared" ref="BF111" si="128">+BD111/AZ111</f>
        <v>7.4913128302171159E-2</v>
      </c>
      <c r="BG111" s="67"/>
      <c r="BH111" s="184"/>
      <c r="BI111" s="67"/>
      <c r="BJ111" s="67"/>
      <c r="BK111" s="67"/>
      <c r="BL111" s="157"/>
      <c r="BM111" s="66">
        <f t="shared" ref="BM111" si="129">+BB111/BV111</f>
        <v>325387.3823529412</v>
      </c>
      <c r="BN111" s="67"/>
      <c r="BO111" s="67">
        <f t="shared" ref="BO111" si="130">+BO110+BD111</f>
        <v>2408433</v>
      </c>
      <c r="BP111" s="67"/>
      <c r="BQ111" s="479">
        <f t="shared" ref="BQ111" si="131">+BO111/BB111</f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 t="shared" ref="H112" si="132">+H111+D112</f>
        <v>2727853</v>
      </c>
      <c r="I112" s="16"/>
      <c r="J112" s="38">
        <f t="shared" ref="J112" si="133">+D112/H111</f>
        <v>1.7168249365820336E-2</v>
      </c>
      <c r="K112" s="16"/>
      <c r="L112" s="16"/>
      <c r="M112" s="16"/>
      <c r="N112" s="16">
        <f t="shared" ref="N112" si="134">+H112/BV112</f>
        <v>26484.009708737864</v>
      </c>
      <c r="O112" s="41"/>
      <c r="P112" s="17"/>
      <c r="Q112" s="16"/>
      <c r="R112" s="60"/>
      <c r="S112" s="16"/>
      <c r="T112" s="41"/>
      <c r="U112" s="10"/>
      <c r="V112" s="34">
        <v>764</v>
      </c>
      <c r="W112" s="33"/>
      <c r="X112" s="33"/>
      <c r="Y112" s="33"/>
      <c r="Z112" s="33">
        <f t="shared" ref="Z112" si="135">+Z111+V112</f>
        <v>130200</v>
      </c>
      <c r="AA112" s="33"/>
      <c r="AB112" s="46">
        <f t="shared" ref="AB112" si="136">+Z112/H112</f>
        <v>4.7729844680046908E-2</v>
      </c>
      <c r="AC112" s="33"/>
      <c r="AD112" s="33">
        <f t="shared" ref="AD112" si="137">+Z112/BV112</f>
        <v>1264.0776699029127</v>
      </c>
      <c r="AE112" s="50"/>
      <c r="AF112" s="33"/>
      <c r="AG112" s="33"/>
      <c r="AH112" s="232"/>
      <c r="AI112" s="50"/>
      <c r="AJ112" s="10"/>
      <c r="AK112" s="23">
        <f t="shared" ref="AK112" si="138">+AO112-AO111</f>
        <v>26157</v>
      </c>
      <c r="AL112" s="24"/>
      <c r="AM112" s="24"/>
      <c r="AN112" s="24">
        <v>178263</v>
      </c>
      <c r="AO112" s="24">
        <v>1143334</v>
      </c>
      <c r="AP112" s="24"/>
      <c r="AQ112" s="505">
        <f t="shared" ref="AQ112" si="139">+AK112/AO111</f>
        <v>2.3413478795213293E-2</v>
      </c>
      <c r="AR112" s="25"/>
      <c r="AS112" s="25"/>
      <c r="AT112" s="24"/>
      <c r="AU112" s="342">
        <f t="shared" ref="AU112" si="140">+AO112/H112</f>
        <v>0.41913328907386138</v>
      </c>
      <c r="AV112" s="342"/>
      <c r="AW112" s="24">
        <f t="shared" ref="AW112" si="141">+AO112/BV112</f>
        <v>11100.330097087379</v>
      </c>
      <c r="AX112" s="352"/>
      <c r="AY112" s="10"/>
      <c r="AZ112" s="66">
        <f t="shared" ref="AZ112" si="142">+BB112-BB111</f>
        <v>1008514</v>
      </c>
      <c r="BA112" s="67"/>
      <c r="BB112" s="67">
        <v>34198027</v>
      </c>
      <c r="BC112" s="67"/>
      <c r="BD112" s="67">
        <f t="shared" ref="BD112" si="143">+D112</f>
        <v>46042</v>
      </c>
      <c r="BE112" s="67"/>
      <c r="BF112" s="157">
        <f t="shared" ref="BF112" si="144">+BD112/AZ112</f>
        <v>4.5653307737919355E-2</v>
      </c>
      <c r="BG112" s="67"/>
      <c r="BH112" s="184"/>
      <c r="BI112" s="67"/>
      <c r="BJ112" s="67"/>
      <c r="BK112" s="67"/>
      <c r="BL112" s="157"/>
      <c r="BM112" s="66">
        <f t="shared" ref="BM112" si="145">+BB112/BV112</f>
        <v>332019.67961165047</v>
      </c>
      <c r="BN112" s="67"/>
      <c r="BO112" s="67">
        <f t="shared" ref="BO112" si="146">+BO111+BD112</f>
        <v>2454475</v>
      </c>
      <c r="BP112" s="67"/>
      <c r="BQ112" s="479">
        <f t="shared" ref="BQ112" si="147">+BO112/BB112</f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74" x14ac:dyDescent="0.3">
      <c r="B113" s="172">
        <f t="shared" si="52"/>
        <v>44013</v>
      </c>
      <c r="C113" s="61"/>
      <c r="D113" s="17">
        <v>51097</v>
      </c>
      <c r="E113" s="16"/>
      <c r="F113" s="16"/>
      <c r="G113" s="16"/>
      <c r="H113" s="16">
        <f t="shared" ref="H113" si="148">+H112+D113</f>
        <v>2778950</v>
      </c>
      <c r="I113" s="16"/>
      <c r="J113" s="38">
        <f t="shared" ref="J113" si="149">+D113/H112</f>
        <v>1.8731581210571096E-2</v>
      </c>
      <c r="K113" s="16"/>
      <c r="L113" s="16"/>
      <c r="M113" s="16"/>
      <c r="N113" s="16">
        <f t="shared" ref="N113" si="150">+H113/BV113</f>
        <v>26720.673076923078</v>
      </c>
      <c r="O113" s="41"/>
      <c r="P113" s="17"/>
      <c r="Q113" s="16"/>
      <c r="R113" s="60"/>
      <c r="S113" s="16"/>
      <c r="T113" s="41"/>
      <c r="U113" s="10"/>
      <c r="V113" s="34">
        <v>676</v>
      </c>
      <c r="W113" s="33"/>
      <c r="X113" s="33"/>
      <c r="Y113" s="33"/>
      <c r="Z113" s="33">
        <f t="shared" ref="Z113" si="151">+Z112+V113</f>
        <v>130876</v>
      </c>
      <c r="AA113" s="33"/>
      <c r="AB113" s="46">
        <f t="shared" ref="AB113" si="152">+Z113/H113</f>
        <v>4.7095485705032476E-2</v>
      </c>
      <c r="AC113" s="33"/>
      <c r="AD113" s="33">
        <f t="shared" ref="AD113" si="153">+Z113/BV113</f>
        <v>1258.4230769230769</v>
      </c>
      <c r="AE113" s="50"/>
      <c r="AF113" s="33"/>
      <c r="AG113" s="33">
        <f>SUM(D83:D112)</f>
        <v>869627</v>
      </c>
      <c r="AH113" s="232"/>
      <c r="AI113" s="50"/>
      <c r="AJ113" s="10"/>
      <c r="AK113" s="23">
        <f t="shared" ref="AK113" si="154">+AO113-AO112</f>
        <v>20966</v>
      </c>
      <c r="AL113" s="24"/>
      <c r="AM113" s="24"/>
      <c r="AN113" s="24">
        <v>178263</v>
      </c>
      <c r="AO113" s="24">
        <v>1164300</v>
      </c>
      <c r="AP113" s="24"/>
      <c r="AQ113" s="505">
        <f t="shared" ref="AQ113" si="155">+AK113/AO112</f>
        <v>1.8337598636968724E-2</v>
      </c>
      <c r="AR113" s="25"/>
      <c r="AS113" s="25"/>
      <c r="AT113" s="24"/>
      <c r="AU113" s="342">
        <f t="shared" ref="AU113" si="156">+AO113/H113</f>
        <v>0.41897119415606615</v>
      </c>
      <c r="AV113" s="342"/>
      <c r="AW113" s="24">
        <f t="shared" ref="AW113" si="157">+AO113/BV113</f>
        <v>11195.192307692309</v>
      </c>
      <c r="AX113" s="352"/>
      <c r="AY113" s="10"/>
      <c r="AZ113" s="66">
        <f t="shared" ref="AZ113" si="158">+BB113-BB112</f>
        <v>657615</v>
      </c>
      <c r="BA113" s="67"/>
      <c r="BB113" s="67">
        <v>34855642</v>
      </c>
      <c r="BC113" s="67"/>
      <c r="BD113" s="67">
        <f t="shared" ref="BD113" si="159">+D113</f>
        <v>51097</v>
      </c>
      <c r="BE113" s="67"/>
      <c r="BF113" s="157">
        <f t="shared" ref="BF113" si="160">+BD113/AZ113</f>
        <v>7.7700478243349066E-2</v>
      </c>
      <c r="BG113" s="67"/>
      <c r="BH113" s="184"/>
      <c r="BI113" s="67"/>
      <c r="BJ113" s="67"/>
      <c r="BK113" s="67"/>
      <c r="BL113" s="157"/>
      <c r="BM113" s="66">
        <f t="shared" ref="BM113" si="161">+BB113/BV113</f>
        <v>335150.40384615387</v>
      </c>
      <c r="BN113" s="67"/>
      <c r="BO113" s="67">
        <f t="shared" ref="BO113" si="162">+BO112+BD113</f>
        <v>2505572</v>
      </c>
      <c r="BP113" s="67"/>
      <c r="BQ113" s="479">
        <f t="shared" ref="BQ113" si="163">+BO113/BB113</f>
        <v>7.1884259082073423E-2</v>
      </c>
      <c r="BR113" s="67"/>
      <c r="BS113" s="86"/>
      <c r="BT113" s="184"/>
      <c r="BU113" s="1"/>
      <c r="BV113">
        <f t="shared" si="53"/>
        <v>104</v>
      </c>
    </row>
    <row r="114" spans="2:74" x14ac:dyDescent="0.3">
      <c r="B114" s="172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</f>
        <v>2840966</v>
      </c>
      <c r="I114" s="506" t="s">
        <v>150</v>
      </c>
      <c r="J114" s="38">
        <f t="shared" ref="J114" si="164">+D114/H113</f>
        <v>2.1545907626981414E-2</v>
      </c>
      <c r="K114" s="16"/>
      <c r="L114" s="16"/>
      <c r="M114" s="16"/>
      <c r="N114" s="16">
        <f t="shared" ref="N114" si="165">+H114/BV114</f>
        <v>27056.819047619047</v>
      </c>
      <c r="O114" s="41"/>
      <c r="P114" s="17"/>
      <c r="Q114" s="16"/>
      <c r="R114" s="60"/>
      <c r="S114" s="16"/>
      <c r="T114" s="41"/>
      <c r="U114" s="10"/>
      <c r="V114" s="34">
        <v>604</v>
      </c>
      <c r="W114" s="33"/>
      <c r="X114" s="33"/>
      <c r="Y114" s="33"/>
      <c r="Z114" s="33">
        <f t="shared" ref="Z114" si="166">+Z113+V114</f>
        <v>131480</v>
      </c>
      <c r="AA114" s="33"/>
      <c r="AB114" s="46">
        <f t="shared" ref="AB114" si="167">+Z114/H114</f>
        <v>4.6280032918380579E-2</v>
      </c>
      <c r="AC114" s="33"/>
      <c r="AD114" s="33">
        <f t="shared" ref="AD114" si="168">+Z114/BV114</f>
        <v>1252.1904761904761</v>
      </c>
      <c r="AE114" s="50"/>
      <c r="AF114" s="33"/>
      <c r="AG114" s="33">
        <f>SUM(V83:V112)</f>
        <v>21252</v>
      </c>
      <c r="AH114" s="232"/>
      <c r="AI114" s="50"/>
      <c r="AJ114" s="10"/>
      <c r="AK114" s="23">
        <f t="shared" ref="AK114" si="169">+AO114-AO113</f>
        <v>20879</v>
      </c>
      <c r="AL114" s="24"/>
      <c r="AM114" s="24"/>
      <c r="AN114" s="24">
        <v>178263</v>
      </c>
      <c r="AO114" s="24">
        <v>1185179</v>
      </c>
      <c r="AP114" s="24"/>
      <c r="AQ114" s="505">
        <f t="shared" ref="AQ114" si="170">+AK114/AO113</f>
        <v>1.7932663402903032E-2</v>
      </c>
      <c r="AR114" s="25"/>
      <c r="AS114" s="25"/>
      <c r="AT114" s="24"/>
      <c r="AU114" s="342">
        <f t="shared" ref="AU114" si="171">+AO114/H114</f>
        <v>0.417174651157388</v>
      </c>
      <c r="AV114" s="342"/>
      <c r="AW114" s="24">
        <f t="shared" ref="AW114" si="172">+AO114/BV114</f>
        <v>11287.419047619047</v>
      </c>
      <c r="AX114" s="352"/>
      <c r="AY114" s="10"/>
      <c r="AZ114" s="66">
        <f t="shared" ref="AZ114" si="173">+BB114-BB113</f>
        <v>682358</v>
      </c>
      <c r="BA114" s="67"/>
      <c r="BB114" s="67">
        <v>35538000</v>
      </c>
      <c r="BC114" s="67"/>
      <c r="BD114" s="67">
        <f t="shared" ref="BD114" si="174">+D114</f>
        <v>59875</v>
      </c>
      <c r="BE114" s="67"/>
      <c r="BF114" s="157">
        <f t="shared" ref="BF114" si="175">+BD114/AZ114</f>
        <v>8.7747194288042341E-2</v>
      </c>
      <c r="BG114" s="67"/>
      <c r="BH114" s="184"/>
      <c r="BI114" s="67"/>
      <c r="BJ114" s="67"/>
      <c r="BK114" s="67"/>
      <c r="BL114" s="157"/>
      <c r="BM114" s="66">
        <f t="shared" ref="BM114" si="176">+BB114/BV114</f>
        <v>338457.14285714284</v>
      </c>
      <c r="BN114" s="67"/>
      <c r="BO114" s="67">
        <f t="shared" ref="BO114" si="177">+BO113+BD114</f>
        <v>2565447</v>
      </c>
      <c r="BP114" s="67"/>
      <c r="BQ114" s="479">
        <f t="shared" ref="BQ114" si="178">+BO114/BB114</f>
        <v>7.2188840114806682E-2</v>
      </c>
      <c r="BR114" s="67"/>
      <c r="BS114" s="86"/>
      <c r="BT114" s="184"/>
      <c r="BU114" s="1"/>
      <c r="BV114">
        <f t="shared" si="53"/>
        <v>105</v>
      </c>
    </row>
    <row r="115" spans="2:74" x14ac:dyDescent="0.3">
      <c r="B115" s="172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" si="179">+H114+D115</f>
        <v>2899057</v>
      </c>
      <c r="I115" s="506" t="s">
        <v>150</v>
      </c>
      <c r="J115" s="38">
        <f t="shared" ref="J115" si="180">+D115/H114</f>
        <v>2.0447622393228219E-2</v>
      </c>
      <c r="K115" s="16"/>
      <c r="L115" s="16"/>
      <c r="M115" s="16"/>
      <c r="N115" s="16">
        <f t="shared" ref="N115" si="181">+H115/BV115</f>
        <v>27349.594339622643</v>
      </c>
      <c r="O115" s="41"/>
      <c r="P115" s="17"/>
      <c r="Q115" s="16"/>
      <c r="R115" s="60"/>
      <c r="S115" s="16"/>
      <c r="T115" s="41"/>
      <c r="U115" s="10"/>
      <c r="V115" s="34">
        <v>616</v>
      </c>
      <c r="W115" s="33"/>
      <c r="X115" s="33"/>
      <c r="Y115" s="33"/>
      <c r="Z115" s="33">
        <f t="shared" ref="Z115" si="182">+Z114+V115</f>
        <v>132096</v>
      </c>
      <c r="AA115" s="33"/>
      <c r="AB115" s="46">
        <f t="shared" ref="AB115" si="183">+Z115/H115</f>
        <v>4.5565161361090865E-2</v>
      </c>
      <c r="AC115" s="33"/>
      <c r="AD115" s="33">
        <f t="shared" ref="AD115" si="184">+Z115/BV115</f>
        <v>1246.1886792452831</v>
      </c>
      <c r="AE115" s="50"/>
      <c r="AF115" s="33"/>
      <c r="AG115" s="232">
        <f>+AG114/AG113</f>
        <v>2.4438063675575852E-2</v>
      </c>
      <c r="AH115" s="232"/>
      <c r="AI115" s="50"/>
      <c r="AJ115" s="10"/>
      <c r="AK115" s="23">
        <f t="shared" ref="AK115" si="185">+AO115-AO114</f>
        <v>50309</v>
      </c>
      <c r="AL115" s="24"/>
      <c r="AM115" s="24"/>
      <c r="AN115" s="24">
        <v>178263</v>
      </c>
      <c r="AO115" s="24">
        <v>1235488</v>
      </c>
      <c r="AP115" s="24"/>
      <c r="AQ115" s="505">
        <f t="shared" ref="AQ115" si="186">+AK115/AO114</f>
        <v>4.2448440277797699E-2</v>
      </c>
      <c r="AR115" s="25"/>
      <c r="AS115" s="25"/>
      <c r="AT115" s="24"/>
      <c r="AU115" s="342">
        <f t="shared" ref="AU115" si="187">+AO115/H115</f>
        <v>0.42616892320502842</v>
      </c>
      <c r="AV115" s="342"/>
      <c r="AW115" s="24">
        <f t="shared" ref="AW115" si="188">+AO115/BV115</f>
        <v>11655.547169811322</v>
      </c>
      <c r="AX115" s="352"/>
      <c r="AY115" s="10"/>
      <c r="AZ115" s="66">
        <f t="shared" ref="AZ115" si="189">+BB115-BB114</f>
        <v>759195</v>
      </c>
      <c r="BA115" s="67"/>
      <c r="BB115" s="67">
        <v>36297195</v>
      </c>
      <c r="BC115" s="67"/>
      <c r="BD115" s="67">
        <f t="shared" ref="BD115" si="190">+D115</f>
        <v>58091</v>
      </c>
      <c r="BE115" s="67"/>
      <c r="BF115" s="157">
        <f t="shared" ref="BF115" si="191">+BD115/AZ115</f>
        <v>7.6516573475852709E-2</v>
      </c>
      <c r="BG115" s="67"/>
      <c r="BH115" s="184"/>
      <c r="BI115" s="67"/>
      <c r="BJ115" s="67"/>
      <c r="BK115" s="67"/>
      <c r="BL115" s="157"/>
      <c r="BM115" s="66">
        <f t="shared" ref="BM115" si="192">+BB115/BV115</f>
        <v>342426.36792452831</v>
      </c>
      <c r="BN115" s="67"/>
      <c r="BO115" s="67">
        <f t="shared" ref="BO115" si="193">+BO114+BD115</f>
        <v>2623538</v>
      </c>
      <c r="BP115" s="67"/>
      <c r="BQ115" s="479">
        <f t="shared" ref="BQ115" si="194">+BO115/BB115</f>
        <v>7.2279359327903983E-2</v>
      </c>
      <c r="BR115" s="67"/>
      <c r="BS115" s="86"/>
      <c r="BT115" s="184"/>
      <c r="BU115" s="1"/>
      <c r="BV115">
        <f t="shared" si="53"/>
        <v>106</v>
      </c>
    </row>
    <row r="116" spans="2:74" x14ac:dyDescent="0.3">
      <c r="B116" s="172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 t="shared" ref="H116" si="195">+H115+D116</f>
        <v>2945641</v>
      </c>
      <c r="I116" s="506" t="s">
        <v>150</v>
      </c>
      <c r="J116" s="38">
        <f t="shared" ref="J116" si="196">+D116/H115</f>
        <v>1.6068673365166673E-2</v>
      </c>
      <c r="K116" s="16"/>
      <c r="L116" s="16"/>
      <c r="M116" s="16"/>
      <c r="N116" s="16">
        <f t="shared" ref="N116" si="197">+H116/BV116</f>
        <v>27529.355140186915</v>
      </c>
      <c r="O116" s="41"/>
      <c r="P116" s="17"/>
      <c r="Q116" s="16"/>
      <c r="R116" s="60"/>
      <c r="S116" s="16"/>
      <c r="T116" s="41"/>
      <c r="U116" s="10"/>
      <c r="V116" s="34">
        <v>254</v>
      </c>
      <c r="W116" s="33"/>
      <c r="X116" s="33"/>
      <c r="Y116" s="33"/>
      <c r="Z116" s="33">
        <f t="shared" ref="Z116" si="198">+Z115+V116</f>
        <v>132350</v>
      </c>
      <c r="AA116" s="33"/>
      <c r="AB116" s="46">
        <f t="shared" ref="AB116" si="199">+Z116/H116</f>
        <v>4.4930797744871152E-2</v>
      </c>
      <c r="AC116" s="33"/>
      <c r="AD116" s="33">
        <f t="shared" ref="AD116" si="200">+Z116/BV116</f>
        <v>1236.9158878504672</v>
      </c>
      <c r="AE116" s="50"/>
      <c r="AF116" s="33"/>
      <c r="AG116" s="33"/>
      <c r="AH116" s="232"/>
      <c r="AI116" s="50"/>
      <c r="AJ116" s="10"/>
      <c r="AK116" s="23">
        <f t="shared" ref="AK116" si="201">+AO116-AO115</f>
        <v>24917</v>
      </c>
      <c r="AL116" s="24"/>
      <c r="AM116" s="24"/>
      <c r="AN116" s="24">
        <v>178263</v>
      </c>
      <c r="AO116" s="24">
        <v>1260405</v>
      </c>
      <c r="AP116" s="24"/>
      <c r="AQ116" s="505">
        <f t="shared" ref="AQ116" si="202">+AK116/AO115</f>
        <v>2.0167739387189517E-2</v>
      </c>
      <c r="AR116" s="25"/>
      <c r="AS116" s="25"/>
      <c r="AT116" s="24"/>
      <c r="AU116" s="342">
        <f t="shared" ref="AU116" si="203">+AO116/H116</f>
        <v>0.42788819139874817</v>
      </c>
      <c r="AV116" s="342"/>
      <c r="AW116" s="24">
        <f t="shared" ref="AW116" si="204">+AO116/BV116</f>
        <v>11779.485981308411</v>
      </c>
      <c r="AX116" s="352"/>
      <c r="AY116" s="10"/>
      <c r="AZ116" s="66">
        <f t="shared" ref="AZ116" si="205">+BB116-BB115</f>
        <v>656438</v>
      </c>
      <c r="BA116" s="67"/>
      <c r="BB116" s="67">
        <v>36953633</v>
      </c>
      <c r="BC116" s="67"/>
      <c r="BD116" s="67">
        <f t="shared" ref="BD116" si="206">+D116</f>
        <v>46584</v>
      </c>
      <c r="BE116" s="67"/>
      <c r="BF116" s="157">
        <f t="shared" ref="BF116" si="207">+BD116/AZ116</f>
        <v>7.0964813127820145E-2</v>
      </c>
      <c r="BG116" s="67"/>
      <c r="BH116" s="184"/>
      <c r="BI116" s="67"/>
      <c r="BJ116" s="67"/>
      <c r="BK116" s="67"/>
      <c r="BL116" s="157"/>
      <c r="BM116" s="66">
        <f t="shared" ref="BM116" si="208">+BB116/BV116</f>
        <v>345361.05607476638</v>
      </c>
      <c r="BN116" s="67"/>
      <c r="BO116" s="67">
        <f t="shared" ref="BO116" si="209">+BO115+BD116</f>
        <v>2670122</v>
      </c>
      <c r="BP116" s="67"/>
      <c r="BQ116" s="479">
        <f t="shared" ref="BQ116" si="210">+BO116/BB116</f>
        <v>7.2256007954617077E-2</v>
      </c>
      <c r="BR116" s="67"/>
      <c r="BS116" s="86"/>
      <c r="BT116" s="184"/>
      <c r="BU116" s="1"/>
      <c r="BV116">
        <f t="shared" si="53"/>
        <v>107</v>
      </c>
    </row>
    <row r="117" spans="2:74" x14ac:dyDescent="0.3">
      <c r="B117" s="391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ref="H117" si="211">+H116+D117</f>
        <v>2990171</v>
      </c>
      <c r="I117" s="16"/>
      <c r="J117" s="38">
        <f t="shared" ref="J117" si="212">+D117/H116</f>
        <v>1.5117252917107006E-2</v>
      </c>
      <c r="K117" s="16"/>
      <c r="L117" s="16"/>
      <c r="M117" s="16"/>
      <c r="N117" s="16">
        <f t="shared" ref="N117" si="213">+H117/BV117</f>
        <v>27686.768518518518</v>
      </c>
      <c r="O117" s="41"/>
      <c r="P117" s="17">
        <f t="shared" ref="P117" si="214">SUM(D111:D117)</f>
        <v>350953</v>
      </c>
      <c r="Q117" s="16"/>
      <c r="R117" s="60">
        <f t="shared" ref="R117" si="215">+(P117-P110)/P110</f>
        <v>0.26414883653915422</v>
      </c>
      <c r="S117" s="16"/>
      <c r="T117" s="41"/>
      <c r="U117" s="392"/>
      <c r="V117" s="34">
        <v>251</v>
      </c>
      <c r="W117" s="33"/>
      <c r="X117" s="33"/>
      <c r="Y117" s="33"/>
      <c r="Z117" s="33">
        <f t="shared" ref="Z117" si="216">+Z116+V117</f>
        <v>132601</v>
      </c>
      <c r="AA117" s="33"/>
      <c r="AB117" s="46">
        <f t="shared" ref="AB117" si="217">+Z117/H117</f>
        <v>4.4345624380679231E-2</v>
      </c>
      <c r="AC117" s="33"/>
      <c r="AD117" s="33">
        <f t="shared" ref="AD117" si="218">+Z117/BV117</f>
        <v>1227.787037037037</v>
      </c>
      <c r="AE117" s="50"/>
      <c r="AF117" s="33">
        <f t="shared" ref="AF117" si="219">SUM(V111:V117)</f>
        <v>3511</v>
      </c>
      <c r="AG117" s="33"/>
      <c r="AH117" s="232">
        <f t="shared" ref="AH117" si="220">+(AF117-AF110)/AF110</f>
        <v>-0.15722515602496401</v>
      </c>
      <c r="AI117" s="50"/>
      <c r="AJ117" s="392"/>
      <c r="AK117" s="23">
        <f t="shared" ref="AK117" si="221">+AO117-AO116</f>
        <v>25154</v>
      </c>
      <c r="AL117" s="24"/>
      <c r="AM117" s="24"/>
      <c r="AN117" s="24">
        <v>178263</v>
      </c>
      <c r="AO117" s="24">
        <v>1285559</v>
      </c>
      <c r="AP117" s="24"/>
      <c r="AQ117" s="505">
        <f t="shared" ref="AQ117" si="222">+AK117/AO116</f>
        <v>1.9957077288649282E-2</v>
      </c>
      <c r="AR117" s="25"/>
      <c r="AS117" s="25"/>
      <c r="AT117" s="24"/>
      <c r="AU117" s="342">
        <f t="shared" ref="AU117" si="223">+AO117/H117</f>
        <v>0.42992825493926601</v>
      </c>
      <c r="AV117" s="342"/>
      <c r="AW117" s="24">
        <f t="shared" ref="AW117" si="224">+AO117/BV117</f>
        <v>11903.324074074075</v>
      </c>
      <c r="AX117" s="352"/>
      <c r="AY117" s="392"/>
      <c r="AZ117" s="66">
        <f t="shared" ref="AZ117" si="225">+BB117-BB116</f>
        <v>633176</v>
      </c>
      <c r="BA117" s="67"/>
      <c r="BB117" s="67">
        <v>37586809</v>
      </c>
      <c r="BC117" s="67"/>
      <c r="BD117" s="67">
        <f t="shared" ref="BD117" si="226">+D117</f>
        <v>44530</v>
      </c>
      <c r="BE117" s="67"/>
      <c r="BF117" s="157">
        <f t="shared" ref="BF117" si="227">+BD117/AZ117</f>
        <v>7.0327997270900985E-2</v>
      </c>
      <c r="BG117" s="67"/>
      <c r="BH117" s="184"/>
      <c r="BI117" s="67"/>
      <c r="BJ117" s="67">
        <f t="shared" ref="BJ117" si="228">SUM(AZ111:AZ117)</f>
        <v>4994441</v>
      </c>
      <c r="BK117" s="67"/>
      <c r="BL117" s="157">
        <f t="shared" ref="BL117" si="229">+P117/BJ117</f>
        <v>7.0268724768197288E-2</v>
      </c>
      <c r="BM117" s="66">
        <f t="shared" ref="BM117" si="230">+BB117/BV117</f>
        <v>348026.00925925927</v>
      </c>
      <c r="BN117" s="67"/>
      <c r="BO117" s="67">
        <f t="shared" ref="BO117" si="231">+BO116+BD117</f>
        <v>2714652</v>
      </c>
      <c r="BP117" s="67"/>
      <c r="BQ117" s="479">
        <f t="shared" ref="BQ117" si="232">+BO117/BB117</f>
        <v>7.2223529270601286E-2</v>
      </c>
      <c r="BR117" s="67"/>
      <c r="BS117" s="86"/>
      <c r="BT117" s="184"/>
      <c r="BU117" s="1"/>
      <c r="BV117" s="473">
        <f t="shared" si="53"/>
        <v>108</v>
      </c>
    </row>
    <row r="118" spans="2:74" x14ac:dyDescent="0.3">
      <c r="B118" s="172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ref="H118" si="233">+H117+D118</f>
        <v>3043783</v>
      </c>
      <c r="I118" s="16"/>
      <c r="J118" s="38">
        <f t="shared" ref="J118" si="234">+D118/H117</f>
        <v>1.792940938829251E-2</v>
      </c>
      <c r="K118" s="16"/>
      <c r="L118" s="16"/>
      <c r="M118" s="16"/>
      <c r="N118" s="16">
        <f t="shared" ref="N118" si="235">+H118/BV118</f>
        <v>27924.614678899081</v>
      </c>
      <c r="O118" s="41"/>
      <c r="P118" s="17">
        <f t="shared" ref="P118" si="236">SUM(D112:D118)</f>
        <v>359831</v>
      </c>
      <c r="Q118" s="16"/>
      <c r="R118" s="60"/>
      <c r="S118" s="16"/>
      <c r="T118" s="41"/>
      <c r="U118" s="10"/>
      <c r="V118" s="34">
        <v>378</v>
      </c>
      <c r="W118" s="33"/>
      <c r="X118" s="33"/>
      <c r="Y118" s="33"/>
      <c r="Z118" s="33">
        <f t="shared" ref="Z118" si="237">+Z117+V118</f>
        <v>132979</v>
      </c>
      <c r="AA118" s="33"/>
      <c r="AB118" s="46">
        <f t="shared" ref="AB118" si="238">+Z118/H118</f>
        <v>4.3688725510327119E-2</v>
      </c>
      <c r="AC118" s="33"/>
      <c r="AD118" s="33">
        <f t="shared" ref="AD118" si="239">+Z118/BV118</f>
        <v>1219.9908256880733</v>
      </c>
      <c r="AE118" s="50"/>
      <c r="AF118" s="33"/>
      <c r="AG118" s="33"/>
      <c r="AH118" s="232"/>
      <c r="AI118" s="50"/>
      <c r="AJ118" s="10"/>
      <c r="AK118" s="23">
        <f t="shared" ref="AK118" si="240">+AO118-AO117</f>
        <v>39388</v>
      </c>
      <c r="AL118" s="24"/>
      <c r="AM118" s="24"/>
      <c r="AN118" s="24">
        <v>178263</v>
      </c>
      <c r="AO118" s="24">
        <v>1324947</v>
      </c>
      <c r="AP118" s="24"/>
      <c r="AQ118" s="505">
        <f t="shared" ref="AQ118" si="241">+AK118/AO117</f>
        <v>3.0638811598689752E-2</v>
      </c>
      <c r="AR118" s="25"/>
      <c r="AS118" s="25"/>
      <c r="AT118" s="24"/>
      <c r="AU118" s="342">
        <f t="shared" ref="AU118" si="242">+AO118/H118</f>
        <v>0.43529614299048258</v>
      </c>
      <c r="AV118" s="342"/>
      <c r="AW118" s="24">
        <f t="shared" ref="AW118" si="243">+AO118/BV118</f>
        <v>12155.477064220184</v>
      </c>
      <c r="AX118" s="352"/>
      <c r="AY118" s="10"/>
      <c r="AZ118" s="66">
        <f t="shared" ref="AZ118" si="244">+BB118-BB117</f>
        <v>630831</v>
      </c>
      <c r="BA118" s="67"/>
      <c r="BB118" s="67">
        <v>38217640</v>
      </c>
      <c r="BC118" s="67"/>
      <c r="BD118" s="67">
        <f t="shared" ref="BD118" si="245">+D118</f>
        <v>53612</v>
      </c>
      <c r="BE118" s="67"/>
      <c r="BF118" s="157">
        <f t="shared" ref="BF118" si="246">+BD118/AZ118</f>
        <v>8.4986311706304857E-2</v>
      </c>
      <c r="BG118" s="67"/>
      <c r="BH118" s="184"/>
      <c r="BI118" s="67"/>
      <c r="BJ118" s="67">
        <f t="shared" ref="BJ118" si="247">SUM(AZ112:AZ118)</f>
        <v>5028127</v>
      </c>
      <c r="BK118" s="67"/>
      <c r="BL118" s="157">
        <f t="shared" ref="BL118" si="248">+P118/BJ118</f>
        <v>7.1563625978420989E-2</v>
      </c>
      <c r="BM118" s="66">
        <f t="shared" ref="BM118" si="249">+BB118/BV118</f>
        <v>350620.55045871559</v>
      </c>
      <c r="BN118" s="67"/>
      <c r="BO118" s="67">
        <f t="shared" ref="BO118" si="250">+BO117+BD118</f>
        <v>2768264</v>
      </c>
      <c r="BP118" s="67"/>
      <c r="BQ118" s="479">
        <f t="shared" ref="BQ118" si="251">+BO118/BB118</f>
        <v>7.2434195308763175E-2</v>
      </c>
      <c r="BR118" s="67"/>
      <c r="BS118" s="86"/>
      <c r="BT118" s="184"/>
      <c r="BU118" s="1"/>
      <c r="BV118">
        <f t="shared" si="53"/>
        <v>109</v>
      </c>
    </row>
    <row r="119" spans="2:74" x14ac:dyDescent="0.3">
      <c r="B119" s="172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ref="H119" si="252">+H118+D119</f>
        <v>3099225</v>
      </c>
      <c r="I119" s="16"/>
      <c r="J119" s="38">
        <f t="shared" ref="J119" si="253">+D119/H118</f>
        <v>1.821483331761824E-2</v>
      </c>
      <c r="K119" s="16"/>
      <c r="L119" s="16"/>
      <c r="M119" s="16"/>
      <c r="N119" s="16">
        <f t="shared" ref="N119" si="254">+H119/BV119</f>
        <v>28174.772727272728</v>
      </c>
      <c r="O119" s="41"/>
      <c r="P119" s="17">
        <f t="shared" ref="P119" si="255">SUM(D113:D119)</f>
        <v>369231</v>
      </c>
      <c r="Q119" s="16"/>
      <c r="R119" s="60"/>
      <c r="S119" s="16"/>
      <c r="T119" s="41"/>
      <c r="U119" s="10"/>
      <c r="V119" s="34">
        <v>993</v>
      </c>
      <c r="W119" s="33"/>
      <c r="X119" s="33"/>
      <c r="Y119" s="33"/>
      <c r="Z119" s="33">
        <f t="shared" ref="Z119" si="256">+Z118+V119</f>
        <v>133972</v>
      </c>
      <c r="AA119" s="33"/>
      <c r="AB119" s="46">
        <f t="shared" ref="AB119" si="257">+Z119/H119</f>
        <v>4.3227581088820591E-2</v>
      </c>
      <c r="AC119" s="33"/>
      <c r="AD119" s="33">
        <f t="shared" ref="AD119" si="258">+Z119/BV119</f>
        <v>1217.9272727272728</v>
      </c>
      <c r="AE119" s="50"/>
      <c r="AF119" s="33"/>
      <c r="AG119" s="33"/>
      <c r="AH119" s="232"/>
      <c r="AI119" s="50"/>
      <c r="AJ119" s="10"/>
      <c r="AK119" s="23">
        <f t="shared" ref="AK119" si="259">+AO119-AO118</f>
        <v>29916</v>
      </c>
      <c r="AL119" s="24"/>
      <c r="AM119" s="24"/>
      <c r="AN119" s="24">
        <v>178263</v>
      </c>
      <c r="AO119" s="24">
        <v>1354863</v>
      </c>
      <c r="AP119" s="24"/>
      <c r="AQ119" s="505">
        <f t="shared" ref="AQ119" si="260">+AK119/AO118</f>
        <v>2.2579016368201896E-2</v>
      </c>
      <c r="AR119" s="25"/>
      <c r="AS119" s="25"/>
      <c r="AT119" s="24"/>
      <c r="AU119" s="342">
        <f t="shared" ref="AU119" si="261">+AO119/H119</f>
        <v>0.43716187111293953</v>
      </c>
      <c r="AV119" s="342"/>
      <c r="AW119" s="24">
        <f t="shared" ref="AW119" si="262">+AO119/BV119</f>
        <v>12316.936363636363</v>
      </c>
      <c r="AX119" s="352"/>
      <c r="AY119" s="10"/>
      <c r="AZ119" s="66">
        <f t="shared" ref="AZ119" si="263">+BB119-BB118</f>
        <v>583951</v>
      </c>
      <c r="BA119" s="67"/>
      <c r="BB119" s="67">
        <v>38801591</v>
      </c>
      <c r="BC119" s="67"/>
      <c r="BD119" s="67">
        <f t="shared" ref="BD119" si="264">+D119</f>
        <v>55442</v>
      </c>
      <c r="BE119" s="67"/>
      <c r="BF119" s="157">
        <f t="shared" ref="BF119" si="265">+BD119/AZ119</f>
        <v>9.4942897606134766E-2</v>
      </c>
      <c r="BG119" s="67"/>
      <c r="BH119" s="184"/>
      <c r="BI119" s="67"/>
      <c r="BJ119" s="67">
        <f t="shared" ref="BJ119" si="266">SUM(AZ113:AZ119)</f>
        <v>4603564</v>
      </c>
      <c r="BK119" s="67"/>
      <c r="BL119" s="157">
        <f t="shared" ref="BL119" si="267">+P119/BJ119</f>
        <v>8.0205466894779781E-2</v>
      </c>
      <c r="BM119" s="66">
        <f t="shared" ref="BM119" si="268">+BB119/BV119</f>
        <v>352741.73636363639</v>
      </c>
      <c r="BN119" s="67"/>
      <c r="BO119" s="67">
        <f t="shared" ref="BO119" si="269">+BO118+BD119</f>
        <v>2823706</v>
      </c>
      <c r="BP119" s="67"/>
      <c r="BQ119" s="479">
        <f t="shared" ref="BQ119" si="270">+BO119/BB119</f>
        <v>7.2772943769238735E-2</v>
      </c>
      <c r="BR119" s="67"/>
      <c r="BS119" s="86"/>
      <c r="BT119" s="184"/>
      <c r="BU119" s="1"/>
      <c r="BV119">
        <f t="shared" si="53"/>
        <v>110</v>
      </c>
    </row>
    <row r="120" spans="2:74" x14ac:dyDescent="0.3">
      <c r="B120" s="172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ref="H120" si="271">+H119+D120</f>
        <v>3161073</v>
      </c>
      <c r="I120" s="16"/>
      <c r="J120" s="38">
        <f t="shared" ref="J120" si="272">+D120/H119</f>
        <v>1.9955956731118264E-2</v>
      </c>
      <c r="K120" s="16"/>
      <c r="L120" s="16"/>
      <c r="M120" s="16"/>
      <c r="N120" s="16">
        <f t="shared" ref="N120" si="273">+H120/BV120</f>
        <v>28478.135135135137</v>
      </c>
      <c r="O120" s="41"/>
      <c r="P120" s="17">
        <f t="shared" ref="P120" si="274">SUM(D114:D120)</f>
        <v>379982</v>
      </c>
      <c r="Q120" s="16"/>
      <c r="R120" s="60"/>
      <c r="S120" s="16"/>
      <c r="T120" s="41"/>
      <c r="U120" s="10"/>
      <c r="V120" s="34">
        <v>890</v>
      </c>
      <c r="W120" s="33"/>
      <c r="X120" s="33"/>
      <c r="Y120" s="33"/>
      <c r="Z120" s="33">
        <f t="shared" ref="Z120" si="275">+Z119+V120</f>
        <v>134862</v>
      </c>
      <c r="AA120" s="33"/>
      <c r="AB120" s="46">
        <f t="shared" ref="AB120" si="276">+Z120/H120</f>
        <v>4.2663361459858724E-2</v>
      </c>
      <c r="AC120" s="33"/>
      <c r="AD120" s="33">
        <f t="shared" ref="AD120" si="277">+Z120/BV120</f>
        <v>1214.9729729729729</v>
      </c>
      <c r="AE120" s="50"/>
      <c r="AF120" s="33"/>
      <c r="AG120" s="33"/>
      <c r="AH120" s="232"/>
      <c r="AI120" s="50"/>
      <c r="AJ120" s="10"/>
      <c r="AK120" s="23">
        <f t="shared" ref="AK120" si="278">+AO120-AO119</f>
        <v>37816</v>
      </c>
      <c r="AL120" s="24"/>
      <c r="AM120" s="24"/>
      <c r="AN120" s="24">
        <v>178263</v>
      </c>
      <c r="AO120" s="24">
        <v>1392679</v>
      </c>
      <c r="AP120" s="24"/>
      <c r="AQ120" s="505">
        <f t="shared" ref="AQ120" si="279">+AK120/AO119</f>
        <v>2.7911309113910411E-2</v>
      </c>
      <c r="AR120" s="25"/>
      <c r="AS120" s="25"/>
      <c r="AT120" s="24"/>
      <c r="AU120" s="342">
        <f t="shared" ref="AU120" si="280">+AO120/H120</f>
        <v>0.44057160337644846</v>
      </c>
      <c r="AV120" s="342"/>
      <c r="AW120" s="24">
        <f t="shared" ref="AW120" si="281">+AO120/BV120</f>
        <v>12546.657657657657</v>
      </c>
      <c r="AX120" s="352"/>
      <c r="AY120" s="10"/>
      <c r="AZ120" s="66">
        <f t="shared" ref="AZ120" si="282">+BB120-BB119</f>
        <v>677846</v>
      </c>
      <c r="BA120" s="67"/>
      <c r="BB120" s="67">
        <v>39479437</v>
      </c>
      <c r="BC120" s="67"/>
      <c r="BD120" s="67">
        <f t="shared" ref="BD120" si="283">+D120</f>
        <v>61848</v>
      </c>
      <c r="BE120" s="67"/>
      <c r="BF120" s="157">
        <f t="shared" ref="BF120" si="284">+BD120/AZ120</f>
        <v>9.1241963513836483E-2</v>
      </c>
      <c r="BG120" s="67"/>
      <c r="BH120" s="184"/>
      <c r="BI120" s="67"/>
      <c r="BJ120" s="67">
        <f t="shared" ref="BJ120" si="285">SUM(AZ114:AZ120)</f>
        <v>4623795</v>
      </c>
      <c r="BK120" s="67"/>
      <c r="BL120" s="157">
        <f t="shared" ref="BL120" si="286">+P120/BJ120</f>
        <v>8.2179681408885985E-2</v>
      </c>
      <c r="BM120" s="66">
        <f t="shared" ref="BM120" si="287">+BB120/BV120</f>
        <v>355670.60360360361</v>
      </c>
      <c r="BN120" s="67"/>
      <c r="BO120" s="67">
        <f t="shared" ref="BO120" si="288">+BO119+BD120</f>
        <v>2885554</v>
      </c>
      <c r="BP120" s="67"/>
      <c r="BQ120" s="479">
        <f t="shared" ref="BQ120" si="289">+BO120/BB120</f>
        <v>7.3090049384442843E-2</v>
      </c>
      <c r="BR120" s="67"/>
      <c r="BS120" s="86"/>
      <c r="BT120" s="184"/>
      <c r="BU120" s="1"/>
      <c r="BV120">
        <f t="shared" si="53"/>
        <v>111</v>
      </c>
    </row>
    <row r="121" spans="2:74" x14ac:dyDescent="0.3">
      <c r="B121" s="172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ref="H121" si="290">+H120+D121</f>
        <v>3222140</v>
      </c>
      <c r="I121" s="16"/>
      <c r="J121" s="38">
        <f t="shared" ref="J121" si="291">+D121/H120</f>
        <v>1.9318440289104365E-2</v>
      </c>
      <c r="K121" s="16"/>
      <c r="L121" s="16"/>
      <c r="M121" s="16"/>
      <c r="N121" s="16">
        <f t="shared" ref="N121" si="292">+H121/BV121</f>
        <v>28769.107142857141</v>
      </c>
      <c r="O121" s="41"/>
      <c r="P121" s="17">
        <f t="shared" ref="P121" si="293">SUM(D115:D121)</f>
        <v>381174</v>
      </c>
      <c r="Q121" s="16"/>
      <c r="R121" s="60"/>
      <c r="S121" s="16"/>
      <c r="T121" s="41"/>
      <c r="U121" s="10"/>
      <c r="V121" s="34">
        <v>960</v>
      </c>
      <c r="W121" s="33"/>
      <c r="X121" s="33"/>
      <c r="Y121" s="33"/>
      <c r="Z121" s="33">
        <f t="shared" ref="Z121" si="294">+Z120+V121</f>
        <v>135822</v>
      </c>
      <c r="AA121" s="33"/>
      <c r="AB121" s="46">
        <f t="shared" ref="AB121" si="295">+Z121/H121</f>
        <v>4.2152730793820259E-2</v>
      </c>
      <c r="AC121" s="33"/>
      <c r="AD121" s="33">
        <f t="shared" ref="AD121" si="296">+Z121/BV121</f>
        <v>1212.6964285714287</v>
      </c>
      <c r="AE121" s="50"/>
      <c r="AF121" s="33"/>
      <c r="AG121" s="33"/>
      <c r="AH121" s="232"/>
      <c r="AI121" s="50"/>
      <c r="AJ121" s="10"/>
      <c r="AK121" s="23">
        <f t="shared" ref="AK121" si="297">+AO121-AO120</f>
        <v>33749</v>
      </c>
      <c r="AL121" s="24"/>
      <c r="AM121" s="24"/>
      <c r="AN121" s="24">
        <v>178263</v>
      </c>
      <c r="AO121" s="24">
        <v>1426428</v>
      </c>
      <c r="AP121" s="24"/>
      <c r="AQ121" s="505">
        <f t="shared" ref="AQ121" si="298">+AK121/AO120</f>
        <v>2.423315063988184E-2</v>
      </c>
      <c r="AR121" s="25"/>
      <c r="AS121" s="25"/>
      <c r="AT121" s="24"/>
      <c r="AU121" s="342">
        <f t="shared" ref="AU121" si="299">+AO121/H121</f>
        <v>0.44269584810095153</v>
      </c>
      <c r="AV121" s="342"/>
      <c r="AW121" s="24">
        <f t="shared" ref="AW121" si="300">+AO121/BV121</f>
        <v>12735.964285714286</v>
      </c>
      <c r="AX121" s="352"/>
      <c r="AY121" s="10"/>
      <c r="AZ121" s="66">
        <f t="shared" ref="AZ121" si="301">+BB121-BB120</f>
        <v>681700</v>
      </c>
      <c r="BA121" s="67"/>
      <c r="BB121" s="67">
        <v>40161137</v>
      </c>
      <c r="BC121" s="67"/>
      <c r="BD121" s="67">
        <f t="shared" ref="BD121" si="302">+D121</f>
        <v>61067</v>
      </c>
      <c r="BE121" s="67"/>
      <c r="BF121" s="157">
        <f t="shared" ref="BF121" si="303">+BD121/AZ121</f>
        <v>8.9580460613172944E-2</v>
      </c>
      <c r="BG121" s="67"/>
      <c r="BH121" s="184"/>
      <c r="BI121" s="67"/>
      <c r="BJ121" s="67">
        <f t="shared" ref="BJ121" si="304">SUM(AZ115:AZ121)</f>
        <v>4623137</v>
      </c>
      <c r="BK121" s="67"/>
      <c r="BL121" s="157">
        <f t="shared" ref="BL121" si="305">+P121/BJ121</f>
        <v>8.2449211433708328E-2</v>
      </c>
      <c r="BM121" s="66">
        <f t="shared" ref="BM121" si="306">+BB121/BV121</f>
        <v>358581.58035714284</v>
      </c>
      <c r="BN121" s="67"/>
      <c r="BO121" s="67">
        <f t="shared" ref="BO121" si="307">+BO120+BD121</f>
        <v>2946621</v>
      </c>
      <c r="BP121" s="67"/>
      <c r="BQ121" s="479">
        <f t="shared" ref="BQ121" si="308">+BO121/BB121</f>
        <v>7.336995962041612E-2</v>
      </c>
      <c r="BR121" s="67"/>
      <c r="BS121" s="86"/>
      <c r="BT121" s="184"/>
      <c r="BU121" s="1"/>
      <c r="BV121">
        <f t="shared" si="53"/>
        <v>112</v>
      </c>
    </row>
    <row r="122" spans="2:74" x14ac:dyDescent="0.3">
      <c r="B122" s="172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ref="H122" si="309">+H121+D122</f>
        <v>3293927</v>
      </c>
      <c r="I122" s="16"/>
      <c r="J122" s="38">
        <f t="shared" ref="J122" si="310">+D122/H121</f>
        <v>2.2279292644019191E-2</v>
      </c>
      <c r="K122" s="16"/>
      <c r="L122" s="16"/>
      <c r="M122" s="16"/>
      <c r="N122" s="16">
        <f t="shared" ref="N122" si="311">+H122/BV122</f>
        <v>29149.796460176993</v>
      </c>
      <c r="O122" s="41"/>
      <c r="P122" s="17">
        <f t="shared" ref="P122" si="312">SUM(D116:D122)</f>
        <v>394870</v>
      </c>
      <c r="Q122" s="16"/>
      <c r="R122" s="60"/>
      <c r="S122" s="16"/>
      <c r="T122" s="41"/>
      <c r="U122" s="10"/>
      <c r="V122" s="34">
        <v>849</v>
      </c>
      <c r="W122" s="33"/>
      <c r="X122" s="33"/>
      <c r="Y122" s="33"/>
      <c r="Z122" s="33">
        <f t="shared" ref="Z122" si="313">+Z121+V122</f>
        <v>136671</v>
      </c>
      <c r="AA122" s="33"/>
      <c r="AB122" s="46">
        <f t="shared" ref="AB122" si="314">+Z122/H122</f>
        <v>4.1491812052908278E-2</v>
      </c>
      <c r="AC122" s="33"/>
      <c r="AD122" s="33">
        <f t="shared" ref="AD122" si="315">+Z122/BV122</f>
        <v>1209.4778761061948</v>
      </c>
      <c r="AE122" s="50"/>
      <c r="AF122" s="33"/>
      <c r="AG122" s="33"/>
      <c r="AH122" s="232"/>
      <c r="AI122" s="50"/>
      <c r="AJ122" s="10"/>
      <c r="AK122" s="23">
        <f t="shared" ref="AK122" si="316">+AO122-AO121</f>
        <v>34067</v>
      </c>
      <c r="AL122" s="24"/>
      <c r="AM122" s="24"/>
      <c r="AN122" s="24">
        <v>178263</v>
      </c>
      <c r="AO122" s="24">
        <v>1460495</v>
      </c>
      <c r="AP122" s="24"/>
      <c r="AQ122" s="505">
        <f t="shared" ref="AQ122" si="317">+AK122/AO121</f>
        <v>2.3882733653573823E-2</v>
      </c>
      <c r="AR122" s="25"/>
      <c r="AS122" s="25"/>
      <c r="AT122" s="24"/>
      <c r="AU122" s="342">
        <f t="shared" ref="AU122" si="318">+AO122/H122</f>
        <v>0.44339021478010898</v>
      </c>
      <c r="AV122" s="342"/>
      <c r="AW122" s="24">
        <f t="shared" ref="AW122" si="319">+AO122/BV122</f>
        <v>12924.734513274336</v>
      </c>
      <c r="AX122" s="352"/>
      <c r="AY122" s="10"/>
      <c r="AZ122" s="66">
        <f t="shared" ref="AZ122" si="320">+BB122-BB121</f>
        <v>849076</v>
      </c>
      <c r="BA122" s="67"/>
      <c r="BB122" s="67">
        <v>41010213</v>
      </c>
      <c r="BC122" s="67"/>
      <c r="BD122" s="67">
        <f t="shared" ref="BD122" si="321">+D122</f>
        <v>71787</v>
      </c>
      <c r="BE122" s="67"/>
      <c r="BF122" s="157">
        <f t="shared" ref="BF122" si="322">+BD122/AZ122</f>
        <v>8.4547201899476607E-2</v>
      </c>
      <c r="BG122" s="67"/>
      <c r="BH122" s="184"/>
      <c r="BI122" s="67"/>
      <c r="BJ122" s="67">
        <f t="shared" ref="BJ122" si="323">SUM(AZ116:AZ122)</f>
        <v>4713018</v>
      </c>
      <c r="BK122" s="67"/>
      <c r="BL122" s="157">
        <f t="shared" ref="BL122" si="324">+P122/BJ122</f>
        <v>8.3782832995757714E-2</v>
      </c>
      <c r="BM122" s="66">
        <f t="shared" ref="BM122" si="325">+BB122/BV122</f>
        <v>362922.23893805308</v>
      </c>
      <c r="BN122" s="67"/>
      <c r="BO122" s="67">
        <f t="shared" ref="BO122" si="326">+BO121+BD122</f>
        <v>3018408</v>
      </c>
      <c r="BP122" s="67"/>
      <c r="BQ122" s="479">
        <f t="shared" ref="BQ122" si="327">+BO122/BB122</f>
        <v>7.3601373394476158E-2</v>
      </c>
      <c r="BR122" s="67"/>
      <c r="BS122" s="86"/>
      <c r="BT122" s="184"/>
      <c r="BU122" s="1"/>
      <c r="BV122">
        <f t="shared" si="53"/>
        <v>113</v>
      </c>
    </row>
    <row r="123" spans="2:74" x14ac:dyDescent="0.3">
      <c r="B123" s="172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ref="H123" si="328">+H122+D123</f>
        <v>3355646</v>
      </c>
      <c r="I123" s="16"/>
      <c r="J123" s="38">
        <f t="shared" ref="J123" si="329">+D123/H122</f>
        <v>1.8737209415994951E-2</v>
      </c>
      <c r="K123" s="16"/>
      <c r="L123" s="16"/>
      <c r="M123" s="16"/>
      <c r="N123" s="16">
        <f t="shared" ref="N123" si="330">+H123/BV123</f>
        <v>29435.491228070176</v>
      </c>
      <c r="O123" s="41"/>
      <c r="P123" s="17">
        <f t="shared" ref="P123" si="331">SUM(D117:D123)</f>
        <v>410005</v>
      </c>
      <c r="Q123" s="16"/>
      <c r="R123" s="60"/>
      <c r="S123" s="16"/>
      <c r="T123" s="41"/>
      <c r="U123" s="10"/>
      <c r="V123" s="34">
        <v>731</v>
      </c>
      <c r="W123" s="33"/>
      <c r="X123" s="33"/>
      <c r="Y123" s="33"/>
      <c r="Z123" s="33">
        <f t="shared" ref="Z123" si="332">+Z122+V123</f>
        <v>137402</v>
      </c>
      <c r="AA123" s="33"/>
      <c r="AB123" s="46">
        <f t="shared" ref="AB123" si="333">+Z123/H123</f>
        <v>4.0946512236392042E-2</v>
      </c>
      <c r="AC123" s="33"/>
      <c r="AD123" s="33">
        <f t="shared" ref="AD123" si="334">+Z123/BV123</f>
        <v>1205.280701754386</v>
      </c>
      <c r="AE123" s="50"/>
      <c r="AF123" s="33"/>
      <c r="AG123" s="33"/>
      <c r="AH123" s="232"/>
      <c r="AI123" s="50"/>
      <c r="AJ123" s="10"/>
      <c r="AK123" s="23">
        <f t="shared" ref="AK123" si="335">+AO123-AO122</f>
        <v>29951</v>
      </c>
      <c r="AL123" s="24"/>
      <c r="AM123" s="24"/>
      <c r="AN123" s="24">
        <v>178263</v>
      </c>
      <c r="AO123" s="24">
        <v>1490446</v>
      </c>
      <c r="AP123" s="24"/>
      <c r="AQ123" s="505">
        <f t="shared" ref="AQ123" si="336">+AK123/AO122</f>
        <v>2.0507430699865457E-2</v>
      </c>
      <c r="AR123" s="25"/>
      <c r="AS123" s="25"/>
      <c r="AT123" s="24"/>
      <c r="AU123" s="342">
        <f t="shared" ref="AU123" si="337">+AO123/H123</f>
        <v>0.44416067725856662</v>
      </c>
      <c r="AV123" s="342"/>
      <c r="AW123" s="24">
        <f t="shared" ref="AW123" si="338">+AO123/BV123</f>
        <v>13074.087719298246</v>
      </c>
      <c r="AX123" s="352"/>
      <c r="AY123" s="10"/>
      <c r="AZ123" s="66">
        <f t="shared" ref="AZ123" si="339">+BB123-BB122</f>
        <v>760123</v>
      </c>
      <c r="BA123" s="67"/>
      <c r="BB123" s="67">
        <v>41770336</v>
      </c>
      <c r="BC123" s="67"/>
      <c r="BD123" s="67">
        <f t="shared" ref="BD123" si="340">+D123</f>
        <v>61719</v>
      </c>
      <c r="BE123" s="67"/>
      <c r="BF123" s="157">
        <f t="shared" ref="BF123" si="341">+BD123/AZ123</f>
        <v>8.1196069583475305E-2</v>
      </c>
      <c r="BG123" s="67"/>
      <c r="BH123" s="184"/>
      <c r="BI123" s="67"/>
      <c r="BJ123" s="67">
        <f t="shared" ref="BJ123" si="342">SUM(AZ117:AZ123)</f>
        <v>4816703</v>
      </c>
      <c r="BK123" s="67"/>
      <c r="BL123" s="157">
        <f t="shared" ref="BL123" si="343">+P123/BJ123</f>
        <v>8.5121503235719542E-2</v>
      </c>
      <c r="BM123" s="66">
        <f t="shared" ref="BM123" si="344">+BB123/BV123</f>
        <v>366406.4561403509</v>
      </c>
      <c r="BN123" s="67"/>
      <c r="BO123" s="67">
        <f t="shared" ref="BO123" si="345">+BO122+BD123</f>
        <v>3080127</v>
      </c>
      <c r="BP123" s="67"/>
      <c r="BQ123" s="479">
        <f t="shared" ref="BQ123" si="346">+BO123/BB123</f>
        <v>7.3739579207598424E-2</v>
      </c>
      <c r="BR123" s="67"/>
      <c r="BS123" s="86"/>
      <c r="BT123" s="184"/>
      <c r="BU123" s="1"/>
      <c r="BV123">
        <f t="shared" si="53"/>
        <v>114</v>
      </c>
    </row>
    <row r="124" spans="2:74" x14ac:dyDescent="0.3">
      <c r="B124" s="391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ref="H124" si="347">+H123+D124</f>
        <v>3413995</v>
      </c>
      <c r="I124" s="16"/>
      <c r="J124" s="38">
        <f t="shared" ref="J124" si="348">+D124/H123</f>
        <v>1.7388306156251285E-2</v>
      </c>
      <c r="K124" s="16"/>
      <c r="L124" s="16"/>
      <c r="M124" s="16"/>
      <c r="N124" s="16">
        <f t="shared" ref="N124" si="349">+H124/BV124</f>
        <v>29686.91304347826</v>
      </c>
      <c r="O124" s="41"/>
      <c r="P124" s="17">
        <f t="shared" ref="P124" si="350">SUM(D118:D124)</f>
        <v>423824</v>
      </c>
      <c r="Q124" s="16"/>
      <c r="R124" s="60">
        <f t="shared" ref="R124" si="351">+(P124-P117)/P117</f>
        <v>0.20763748992030273</v>
      </c>
      <c r="S124" s="16"/>
      <c r="T124" s="41"/>
      <c r="U124" s="10"/>
      <c r="V124" s="34">
        <v>380</v>
      </c>
      <c r="W124" s="33"/>
      <c r="X124" s="33"/>
      <c r="Y124" s="33"/>
      <c r="Z124" s="33">
        <f t="shared" ref="Z124" si="352">+Z123+V124</f>
        <v>137782</v>
      </c>
      <c r="AA124" s="33"/>
      <c r="AB124" s="46">
        <f t="shared" ref="AB124" si="353">+Z124/H124</f>
        <v>4.035799700936879E-2</v>
      </c>
      <c r="AC124" s="33"/>
      <c r="AD124" s="33">
        <f t="shared" ref="AD124" si="354">+Z124/BV124</f>
        <v>1198.104347826087</v>
      </c>
      <c r="AE124" s="50"/>
      <c r="AF124" s="33">
        <f t="shared" ref="AF124" si="355">SUM(V118:V124)</f>
        <v>5181</v>
      </c>
      <c r="AG124" s="33">
        <f>SUM(D95:D125)</f>
        <v>1356158</v>
      </c>
      <c r="AH124" s="232">
        <f>+(AF124-AF117)/AF117</f>
        <v>0.47564796354315009</v>
      </c>
      <c r="AI124" s="50"/>
      <c r="AJ124" s="10"/>
      <c r="AK124" s="23">
        <f t="shared" ref="AK124" si="356">+AO124-AO123</f>
        <v>26638</v>
      </c>
      <c r="AL124" s="24"/>
      <c r="AM124" s="24"/>
      <c r="AN124" s="24">
        <v>178263</v>
      </c>
      <c r="AO124" s="24">
        <v>1517084</v>
      </c>
      <c r="AP124" s="24"/>
      <c r="AQ124" s="505">
        <f t="shared" ref="AQ124" si="357">+AK124/AO123</f>
        <v>1.7872502593183518E-2</v>
      </c>
      <c r="AR124" s="25"/>
      <c r="AS124" s="25"/>
      <c r="AT124" s="24"/>
      <c r="AU124" s="342">
        <f t="shared" ref="AU124" si="358">+AO124/H124</f>
        <v>0.44437206264215384</v>
      </c>
      <c r="AV124" s="342"/>
      <c r="AW124" s="24">
        <f t="shared" ref="AW124" si="359">+AO124/BV124</f>
        <v>13192.034782608696</v>
      </c>
      <c r="AX124" s="352"/>
      <c r="AY124" s="10"/>
      <c r="AZ124" s="66">
        <f t="shared" ref="AZ124" si="360">+BB124-BB123</f>
        <v>699271</v>
      </c>
      <c r="BA124" s="67"/>
      <c r="BB124" s="67">
        <v>42469607</v>
      </c>
      <c r="BC124" s="67"/>
      <c r="BD124" s="67">
        <f t="shared" ref="BD124" si="361">+D124</f>
        <v>58349</v>
      </c>
      <c r="BE124" s="67"/>
      <c r="BF124" s="157">
        <f t="shared" ref="BF124" si="362">+BD124/AZ124</f>
        <v>8.3442613807808416E-2</v>
      </c>
      <c r="BG124" s="67"/>
      <c r="BH124" s="184"/>
      <c r="BI124" s="67"/>
      <c r="BJ124" s="67">
        <f t="shared" ref="BJ124" si="363">SUM(AZ118:AZ124)</f>
        <v>4882798</v>
      </c>
      <c r="BK124" s="67"/>
      <c r="BL124" s="157">
        <f t="shared" ref="BL124" si="364">+P124/BJ124</f>
        <v>8.679941295953672E-2</v>
      </c>
      <c r="BM124" s="66">
        <f t="shared" ref="BM124" si="365">+BB124/BV124</f>
        <v>369300.93043478258</v>
      </c>
      <c r="BN124" s="67"/>
      <c r="BO124" s="67">
        <f t="shared" ref="BO124" si="366">+BO123+BD124</f>
        <v>3138476</v>
      </c>
      <c r="BP124" s="67"/>
      <c r="BQ124" s="479">
        <f t="shared" ref="BQ124" si="367">+BO124/BB124</f>
        <v>7.3899341710414221E-2</v>
      </c>
      <c r="BR124" s="67"/>
      <c r="BS124" s="86"/>
      <c r="BT124" s="184"/>
      <c r="BU124" s="1"/>
      <c r="BV124" s="473">
        <f t="shared" si="53"/>
        <v>115</v>
      </c>
    </row>
    <row r="125" spans="2:74" x14ac:dyDescent="0.3">
      <c r="B125" s="172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ref="H125" si="368">+H124+D125</f>
        <v>3479483</v>
      </c>
      <c r="I125" s="16"/>
      <c r="J125" s="480">
        <f t="shared" ref="J125" si="369">+D125/H124</f>
        <v>1.9182219071791261E-2</v>
      </c>
      <c r="K125" s="16"/>
      <c r="L125" s="16"/>
      <c r="M125" s="16"/>
      <c r="N125" s="16">
        <f t="shared" ref="N125" si="370">+H125/BV125</f>
        <v>29995.543103448275</v>
      </c>
      <c r="O125" s="41"/>
      <c r="P125" s="17">
        <f t="shared" ref="P125" si="371">SUM(D119:D125)</f>
        <v>435700</v>
      </c>
      <c r="Q125" s="16"/>
      <c r="R125" s="60">
        <f t="shared" ref="R125" si="372">+(P125-P118)/P118</f>
        <v>0.21084620280075925</v>
      </c>
      <c r="S125" s="16"/>
      <c r="T125" s="41"/>
      <c r="U125" s="10"/>
      <c r="V125" s="34">
        <v>465</v>
      </c>
      <c r="W125" s="33"/>
      <c r="X125" s="33"/>
      <c r="Y125" s="33"/>
      <c r="Z125" s="33">
        <f t="shared" ref="Z125" si="373">+Z124+V125</f>
        <v>138247</v>
      </c>
      <c r="AA125" s="33"/>
      <c r="AB125" s="46">
        <f t="shared" ref="AB125" si="374">+Z125/H125</f>
        <v>3.9732052146827561E-2</v>
      </c>
      <c r="AC125" s="33"/>
      <c r="AD125" s="33">
        <f t="shared" ref="AD125" si="375">+Z125/BV125</f>
        <v>1191.7844827586207</v>
      </c>
      <c r="AE125" s="50"/>
      <c r="AF125" s="33">
        <f t="shared" ref="AF125" si="376">SUM(V119:V125)</f>
        <v>5268</v>
      </c>
      <c r="AG125" s="33">
        <f>SUM(D96:D126)</f>
        <v>1330856</v>
      </c>
      <c r="AH125" s="232" t="e">
        <f>+(AF125-AF118)/AF118</f>
        <v>#DIV/0!</v>
      </c>
      <c r="AI125" s="50"/>
      <c r="AJ125" s="10"/>
      <c r="AK125" s="23">
        <f t="shared" ref="AK125" si="377">+AO125-AO124</f>
        <v>32385</v>
      </c>
      <c r="AL125" s="24"/>
      <c r="AM125" s="24"/>
      <c r="AN125" s="24">
        <v>178263</v>
      </c>
      <c r="AO125" s="24">
        <v>1549469</v>
      </c>
      <c r="AP125" s="24"/>
      <c r="AQ125" s="505">
        <f t="shared" ref="AQ125" si="378">+AK125/AO124</f>
        <v>2.1346873343862306E-2</v>
      </c>
      <c r="AR125" s="25"/>
      <c r="AS125" s="25"/>
      <c r="AT125" s="24"/>
      <c r="AU125" s="342">
        <f t="shared" ref="AU125" si="379">+AO125/H125</f>
        <v>0.44531587020255597</v>
      </c>
      <c r="AV125" s="342"/>
      <c r="AW125" s="24">
        <f t="shared" ref="AW125" si="380">+AO125/BV125</f>
        <v>13357.491379310344</v>
      </c>
      <c r="AX125" s="352"/>
      <c r="AY125" s="10"/>
      <c r="AZ125" s="66">
        <f t="shared" ref="AZ125" si="381">+BB125-BB124</f>
        <v>783226</v>
      </c>
      <c r="BA125" s="67"/>
      <c r="BB125" s="67">
        <v>43252833</v>
      </c>
      <c r="BC125" s="67"/>
      <c r="BD125" s="67">
        <f t="shared" ref="BD125" si="382">+D125</f>
        <v>65488</v>
      </c>
      <c r="BE125" s="67"/>
      <c r="BF125" s="157">
        <f t="shared" ref="BF125" si="383">+BD125/AZ125</f>
        <v>8.3613158909433549E-2</v>
      </c>
      <c r="BG125" s="67"/>
      <c r="BH125" s="184"/>
      <c r="BI125" s="67"/>
      <c r="BJ125" s="67">
        <f t="shared" ref="BJ125" si="384">SUM(AZ119:AZ125)</f>
        <v>5035193</v>
      </c>
      <c r="BK125" s="67"/>
      <c r="BL125" s="157">
        <f t="shared" ref="BL125" si="385">+P125/BJ125</f>
        <v>8.6530943302471228E-2</v>
      </c>
      <c r="BM125" s="66">
        <f t="shared" ref="BM125" si="386">+BB125/BV125</f>
        <v>372869.25</v>
      </c>
      <c r="BN125" s="67"/>
      <c r="BO125" s="67">
        <f t="shared" ref="BO125" si="387">+BO124+BD125</f>
        <v>3203964</v>
      </c>
      <c r="BP125" s="67"/>
      <c r="BQ125" s="479">
        <f t="shared" ref="BQ125" si="388">+BO125/BB125</f>
        <v>7.4075240343216359E-2</v>
      </c>
      <c r="BR125" s="67"/>
      <c r="BS125" s="86"/>
      <c r="BT125" s="184"/>
      <c r="BU125" s="1"/>
      <c r="BV125">
        <f t="shared" si="53"/>
        <v>116</v>
      </c>
    </row>
    <row r="126" spans="2:74" x14ac:dyDescent="0.3">
      <c r="B126" s="172">
        <f t="shared" si="52"/>
        <v>44026</v>
      </c>
      <c r="C126" s="61"/>
      <c r="D126" s="17"/>
      <c r="E126" s="16"/>
      <c r="F126" s="16"/>
      <c r="G126" s="16"/>
      <c r="H126" s="16"/>
      <c r="I126" s="16"/>
      <c r="J126" s="38"/>
      <c r="K126" s="16"/>
      <c r="L126" s="16"/>
      <c r="M126" s="16"/>
      <c r="N126" s="16"/>
      <c r="O126" s="41"/>
      <c r="P126" s="17"/>
      <c r="Q126" s="16"/>
      <c r="R126" s="60"/>
      <c r="S126" s="16"/>
      <c r="T126" s="41"/>
      <c r="U126" s="10"/>
      <c r="V126" s="34"/>
      <c r="W126" s="33"/>
      <c r="X126" s="33"/>
      <c r="Y126" s="33"/>
      <c r="Z126" s="33"/>
      <c r="AA126" s="33"/>
      <c r="AB126" s="46"/>
      <c r="AC126" s="33"/>
      <c r="AD126" s="33"/>
      <c r="AE126" s="50"/>
      <c r="AF126" s="33"/>
      <c r="AG126" s="232">
        <f>+AG125/AG124</f>
        <v>0.98134288187659546</v>
      </c>
      <c r="AH126" s="232"/>
      <c r="AI126" s="50"/>
      <c r="AJ126" s="10"/>
      <c r="AK126" s="23"/>
      <c r="AL126" s="24"/>
      <c r="AM126" s="24"/>
      <c r="AN126" s="24"/>
      <c r="AO126" s="24"/>
      <c r="AP126" s="24"/>
      <c r="AQ126" s="505"/>
      <c r="AR126" s="25"/>
      <c r="AS126" s="25"/>
      <c r="AT126" s="24"/>
      <c r="AU126" s="342"/>
      <c r="AV126" s="342"/>
      <c r="AW126" s="24"/>
      <c r="AX126" s="352"/>
      <c r="AY126" s="10"/>
      <c r="AZ126" s="66"/>
      <c r="BA126" s="67"/>
      <c r="BB126" s="67"/>
      <c r="BC126" s="67"/>
      <c r="BD126" s="67"/>
      <c r="BE126" s="67"/>
      <c r="BF126" s="157"/>
      <c r="BG126" s="67"/>
      <c r="BH126" s="184"/>
      <c r="BI126" s="67"/>
      <c r="BJ126" s="67"/>
      <c r="BK126" s="67"/>
      <c r="BL126" s="157"/>
      <c r="BM126" s="66"/>
      <c r="BN126" s="67"/>
      <c r="BO126" s="67"/>
      <c r="BP126" s="67"/>
      <c r="BQ126" s="479"/>
      <c r="BR126" s="67"/>
      <c r="BS126" s="86"/>
      <c r="BT126" s="184"/>
      <c r="BU126" s="1"/>
      <c r="BV126">
        <f t="shared" si="53"/>
        <v>117</v>
      </c>
    </row>
    <row r="127" spans="2:74" x14ac:dyDescent="0.3">
      <c r="B127" s="172">
        <f t="shared" si="52"/>
        <v>44027</v>
      </c>
      <c r="C127" s="61"/>
      <c r="D127" s="17"/>
      <c r="E127" s="16"/>
      <c r="F127" s="16"/>
      <c r="G127" s="16"/>
      <c r="H127" s="16"/>
      <c r="I127" s="16"/>
      <c r="J127" s="38"/>
      <c r="K127" s="16"/>
      <c r="L127" s="16"/>
      <c r="M127" s="16"/>
      <c r="N127" s="16"/>
      <c r="O127" s="41"/>
      <c r="P127" s="17"/>
      <c r="Q127" s="16"/>
      <c r="R127" s="60"/>
      <c r="S127" s="16"/>
      <c r="T127" s="41"/>
      <c r="U127" s="10"/>
      <c r="V127" s="34"/>
      <c r="W127" s="33"/>
      <c r="X127" s="33"/>
      <c r="Y127" s="33"/>
      <c r="Z127" s="33"/>
      <c r="AA127" s="33"/>
      <c r="AB127" s="46"/>
      <c r="AC127" s="33"/>
      <c r="AD127" s="33"/>
      <c r="AE127" s="50"/>
      <c r="AF127" s="33"/>
      <c r="AG127" s="33"/>
      <c r="AH127" s="232"/>
      <c r="AI127" s="50"/>
      <c r="AJ127" s="10"/>
      <c r="AK127" s="23"/>
      <c r="AL127" s="24"/>
      <c r="AM127" s="24"/>
      <c r="AN127" s="24"/>
      <c r="AO127" s="24"/>
      <c r="AP127" s="24"/>
      <c r="AQ127" s="505"/>
      <c r="AR127" s="25"/>
      <c r="AS127" s="25"/>
      <c r="AT127" s="24"/>
      <c r="AU127" s="342"/>
      <c r="AV127" s="342"/>
      <c r="AW127" s="24"/>
      <c r="AX127" s="352"/>
      <c r="AY127" s="10"/>
      <c r="AZ127" s="66"/>
      <c r="BA127" s="67"/>
      <c r="BB127" s="67"/>
      <c r="BC127" s="67"/>
      <c r="BD127" s="67"/>
      <c r="BE127" s="67"/>
      <c r="BF127" s="157"/>
      <c r="BG127" s="67"/>
      <c r="BH127" s="184"/>
      <c r="BI127" s="67"/>
      <c r="BJ127" s="67">
        <f>+BJ47</f>
        <v>1608915</v>
      </c>
      <c r="BK127" s="67"/>
      <c r="BL127" s="157"/>
      <c r="BM127" s="66"/>
      <c r="BN127" s="67"/>
      <c r="BO127" s="67"/>
      <c r="BP127" s="67"/>
      <c r="BQ127" s="479"/>
      <c r="BR127" s="67"/>
      <c r="BS127" s="86"/>
      <c r="BT127" s="184"/>
      <c r="BU127" s="1"/>
      <c r="BV127">
        <f t="shared" si="53"/>
        <v>118</v>
      </c>
    </row>
    <row r="128" spans="2:74" x14ac:dyDescent="0.3">
      <c r="B128" s="172">
        <f t="shared" si="52"/>
        <v>44028</v>
      </c>
      <c r="C128" s="61"/>
      <c r="D128" s="17"/>
      <c r="E128" s="16"/>
      <c r="F128" s="16"/>
      <c r="G128" s="16"/>
      <c r="H128" s="16"/>
      <c r="I128" s="16"/>
      <c r="J128" s="38"/>
      <c r="K128" s="16"/>
      <c r="L128" s="16"/>
      <c r="M128" s="16"/>
      <c r="N128" s="16"/>
      <c r="O128" s="41"/>
      <c r="P128" s="17"/>
      <c r="Q128" s="16"/>
      <c r="R128" s="60"/>
      <c r="S128" s="16"/>
      <c r="T128" s="41"/>
      <c r="U128" s="10"/>
      <c r="V128" s="34"/>
      <c r="W128" s="33"/>
      <c r="X128" s="33"/>
      <c r="Y128" s="33"/>
      <c r="Z128" s="33"/>
      <c r="AA128" s="33"/>
      <c r="AB128" s="46"/>
      <c r="AC128" s="33"/>
      <c r="AD128" s="33"/>
      <c r="AE128" s="50"/>
      <c r="AF128" s="33">
        <f>+AG51-AG125</f>
        <v>-1275169</v>
      </c>
      <c r="AG128" s="33">
        <f>+AF84-AG125</f>
        <v>-1288517</v>
      </c>
      <c r="AH128" s="232"/>
      <c r="AI128" s="50"/>
      <c r="AJ128" s="10"/>
      <c r="AK128" s="23"/>
      <c r="AL128" s="24"/>
      <c r="AM128" s="24"/>
      <c r="AN128" s="24"/>
      <c r="AO128" s="24"/>
      <c r="AP128" s="24"/>
      <c r="AQ128" s="505"/>
      <c r="AR128" s="25"/>
      <c r="AS128" s="25"/>
      <c r="AT128" s="24"/>
      <c r="AU128" s="342"/>
      <c r="AV128" s="342"/>
      <c r="AW128" s="24"/>
      <c r="AX128" s="352"/>
      <c r="AY128" s="10"/>
      <c r="AZ128" s="66"/>
      <c r="BA128" s="67"/>
      <c r="BB128" s="67"/>
      <c r="BC128" s="67"/>
      <c r="BD128" s="67"/>
      <c r="BE128" s="67"/>
      <c r="BF128" s="157"/>
      <c r="BG128" s="67"/>
      <c r="BH128" s="184"/>
      <c r="BI128" s="67"/>
      <c r="BJ128" s="67">
        <f>+BJ124-BJ127</f>
        <v>3273883</v>
      </c>
      <c r="BK128" s="67"/>
      <c r="BL128" s="157"/>
      <c r="BM128" s="66"/>
      <c r="BN128" s="67"/>
      <c r="BO128" s="67"/>
      <c r="BP128" s="67"/>
      <c r="BQ128" s="479"/>
      <c r="BR128" s="67"/>
      <c r="BS128" s="86"/>
      <c r="BT128" s="184"/>
      <c r="BU128" s="1"/>
      <c r="BV128">
        <f t="shared" si="53"/>
        <v>119</v>
      </c>
    </row>
    <row r="129" spans="2:84" x14ac:dyDescent="0.3">
      <c r="B129" s="172">
        <f t="shared" si="52"/>
        <v>44029</v>
      </c>
      <c r="C129" s="61"/>
      <c r="D129" s="17"/>
      <c r="E129" s="16"/>
      <c r="F129" s="16"/>
      <c r="G129" s="16"/>
      <c r="H129" s="16"/>
      <c r="I129" s="16"/>
      <c r="J129" s="480"/>
      <c r="K129" s="16"/>
      <c r="L129" s="16"/>
      <c r="M129" s="16"/>
      <c r="N129" s="16"/>
      <c r="O129" s="41"/>
      <c r="P129" s="17"/>
      <c r="Q129" s="16"/>
      <c r="R129" s="60"/>
      <c r="S129" s="16"/>
      <c r="T129" s="41"/>
      <c r="U129" s="10"/>
      <c r="V129" s="34"/>
      <c r="W129" s="33"/>
      <c r="X129" s="33"/>
      <c r="Y129" s="33"/>
      <c r="Z129" s="33"/>
      <c r="AA129" s="33"/>
      <c r="AB129" s="46"/>
      <c r="AC129" s="33"/>
      <c r="AD129" s="33"/>
      <c r="AE129" s="50"/>
      <c r="AF129" s="232">
        <f>+AF128/AG51</f>
        <v>-22.898863289457143</v>
      </c>
      <c r="AG129" s="232">
        <f>+AG128/AF84</f>
        <v>-30.433335695221899</v>
      </c>
      <c r="AH129" s="232"/>
      <c r="AI129" s="50"/>
      <c r="AJ129" s="10"/>
      <c r="AK129" s="23"/>
      <c r="AL129" s="24"/>
      <c r="AM129" s="24"/>
      <c r="AN129" s="24"/>
      <c r="AO129" s="24"/>
      <c r="AP129" s="24"/>
      <c r="AQ129" s="505"/>
      <c r="AR129" s="25"/>
      <c r="AS129" s="25"/>
      <c r="AT129" s="24"/>
      <c r="AU129" s="342"/>
      <c r="AV129" s="342"/>
      <c r="AW129" s="24"/>
      <c r="AX129" s="352"/>
      <c r="AY129" s="10"/>
      <c r="AZ129" s="66"/>
      <c r="BA129" s="67"/>
      <c r="BB129" s="67"/>
      <c r="BC129" s="67"/>
      <c r="BD129" s="67"/>
      <c r="BE129" s="67"/>
      <c r="BF129" s="157"/>
      <c r="BG129" s="67"/>
      <c r="BH129" s="184"/>
      <c r="BI129" s="67"/>
      <c r="BJ129" s="157">
        <f>+BJ128/BJ127</f>
        <v>2.0348390064111528</v>
      </c>
      <c r="BK129" s="67"/>
      <c r="BL129" s="157"/>
      <c r="BM129" s="66"/>
      <c r="BN129" s="67"/>
      <c r="BO129" s="67"/>
      <c r="BP129" s="67"/>
      <c r="BQ129" s="479"/>
      <c r="BR129" s="67"/>
      <c r="BS129" s="86"/>
      <c r="BT129" s="184"/>
      <c r="BU129" s="1"/>
      <c r="BV129">
        <f t="shared" si="53"/>
        <v>120</v>
      </c>
    </row>
    <row r="130" spans="2:84" x14ac:dyDescent="0.3">
      <c r="B130" s="172">
        <f t="shared" si="52"/>
        <v>44030</v>
      </c>
      <c r="C130" s="61"/>
      <c r="D130" s="17"/>
      <c r="E130" s="16"/>
      <c r="F130" s="16"/>
      <c r="G130" s="16"/>
      <c r="H130" s="16"/>
      <c r="I130" s="16"/>
      <c r="J130" s="38"/>
      <c r="K130" s="16"/>
      <c r="L130" s="16"/>
      <c r="M130" s="16"/>
      <c r="N130" s="16"/>
      <c r="O130" s="41"/>
      <c r="P130" s="454"/>
      <c r="Q130" s="16"/>
      <c r="R130" s="60"/>
      <c r="S130" s="16"/>
      <c r="T130" s="41"/>
      <c r="U130" s="10"/>
      <c r="V130" s="34"/>
      <c r="W130" s="33"/>
      <c r="X130" s="33"/>
      <c r="Y130" s="33"/>
      <c r="Z130" s="33"/>
      <c r="AA130" s="33"/>
      <c r="AB130" s="46"/>
      <c r="AC130" s="33"/>
      <c r="AD130" s="33"/>
      <c r="AE130" s="50"/>
      <c r="AF130" s="232"/>
      <c r="AG130" s="33"/>
      <c r="AH130" s="232"/>
      <c r="AI130" s="50"/>
      <c r="AJ130" s="10"/>
      <c r="AK130" s="23"/>
      <c r="AL130" s="24"/>
      <c r="AM130" s="24"/>
      <c r="AN130" s="24"/>
      <c r="AO130" s="24"/>
      <c r="AP130" s="24"/>
      <c r="AQ130" s="25"/>
      <c r="AR130" s="25"/>
      <c r="AS130" s="25"/>
      <c r="AT130" s="24"/>
      <c r="AU130" s="342"/>
      <c r="AV130" s="342"/>
      <c r="AW130" s="24"/>
      <c r="AX130" s="352"/>
      <c r="AY130" s="10"/>
      <c r="AZ130" s="66"/>
      <c r="BA130" s="67"/>
      <c r="BB130" s="67"/>
      <c r="BC130" s="67"/>
      <c r="BD130" s="67"/>
      <c r="BE130" s="67"/>
      <c r="BF130" s="157"/>
      <c r="BG130" s="67"/>
      <c r="BH130" s="184"/>
      <c r="BI130" s="67"/>
      <c r="BJ130" s="67">
        <f>3*BJ127</f>
        <v>4826745</v>
      </c>
      <c r="BK130" s="67"/>
      <c r="BL130" s="157"/>
      <c r="BM130" s="66"/>
      <c r="BN130" s="67"/>
      <c r="BO130" s="67"/>
      <c r="BP130" s="67"/>
      <c r="BQ130" s="479"/>
      <c r="BR130" s="67"/>
      <c r="BS130" s="86"/>
      <c r="BT130" s="184"/>
      <c r="BU130" s="1"/>
      <c r="BV130">
        <f t="shared" si="53"/>
        <v>121</v>
      </c>
    </row>
    <row r="131" spans="2:84" x14ac:dyDescent="0.3">
      <c r="B131" s="172">
        <f t="shared" si="52"/>
        <v>44031</v>
      </c>
      <c r="D131" s="18"/>
      <c r="E131" s="19"/>
      <c r="F131" s="19"/>
      <c r="G131" s="19"/>
      <c r="H131" s="19"/>
      <c r="I131" s="19"/>
      <c r="J131" s="39"/>
      <c r="K131" s="19"/>
      <c r="L131" s="19"/>
      <c r="M131" s="19"/>
      <c r="N131" s="19"/>
      <c r="O131" s="43"/>
      <c r="P131" s="18"/>
      <c r="Q131" s="19"/>
      <c r="R131" s="19"/>
      <c r="S131" s="19"/>
      <c r="T131" s="43"/>
      <c r="U131" s="1"/>
      <c r="V131" s="35"/>
      <c r="W131" s="36"/>
      <c r="X131" s="36"/>
      <c r="Y131" s="36"/>
      <c r="Z131" s="36"/>
      <c r="AA131" s="36"/>
      <c r="AB131" s="47"/>
      <c r="AC131" s="36"/>
      <c r="AD131" s="36"/>
      <c r="AE131" s="51"/>
      <c r="AF131" s="36"/>
      <c r="AG131" s="36"/>
      <c r="AH131" s="36"/>
      <c r="AI131" s="51"/>
      <c r="AJ131" s="1"/>
      <c r="AK131" s="26"/>
      <c r="AL131" s="27"/>
      <c r="AM131" s="27"/>
      <c r="AN131" s="27"/>
      <c r="AO131" s="27"/>
      <c r="AP131" s="27"/>
      <c r="AQ131" s="27"/>
      <c r="AR131" s="27"/>
      <c r="AS131" s="27"/>
      <c r="AT131" s="27"/>
      <c r="AU131" s="344"/>
      <c r="AV131" s="344"/>
      <c r="AW131" s="27"/>
      <c r="AX131" s="351"/>
      <c r="AY131" s="1"/>
      <c r="AZ131" s="68"/>
      <c r="BA131" s="69"/>
      <c r="BB131" s="69"/>
      <c r="BC131" s="69"/>
      <c r="BD131" s="69"/>
      <c r="BE131" s="69"/>
      <c r="BF131" s="69"/>
      <c r="BG131" s="69"/>
      <c r="BH131" s="185"/>
      <c r="BI131" s="69"/>
      <c r="BJ131" s="69"/>
      <c r="BK131" s="69"/>
      <c r="BL131" s="69"/>
      <c r="BM131" s="68"/>
      <c r="BN131" s="69"/>
      <c r="BO131" s="69"/>
      <c r="BP131" s="69"/>
      <c r="BQ131" s="71"/>
      <c r="BR131" s="69"/>
      <c r="BS131" s="69"/>
      <c r="BT131" s="185"/>
      <c r="BU131" s="1"/>
      <c r="BV131">
        <f t="shared" si="53"/>
        <v>122</v>
      </c>
    </row>
    <row r="132" spans="2:84" x14ac:dyDescent="0.3">
      <c r="B132" s="56"/>
      <c r="D132" s="1"/>
      <c r="E132" s="1"/>
      <c r="F132" s="1"/>
      <c r="G132" s="1"/>
      <c r="H132" s="59"/>
      <c r="I132" s="1"/>
      <c r="J132" s="5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59"/>
      <c r="W132" s="1"/>
      <c r="X132" s="1"/>
      <c r="Y132" s="1"/>
      <c r="Z132" s="1"/>
      <c r="AA132" s="1"/>
      <c r="AB132" s="59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59"/>
      <c r="BC132" s="1"/>
      <c r="BD132" s="59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2:84" x14ac:dyDescent="0.3">
      <c r="B133" s="180" t="s">
        <v>82</v>
      </c>
      <c r="D133" s="56">
        <f>+D125</f>
        <v>65488</v>
      </c>
      <c r="E133" s="56">
        <f>+E120</f>
        <v>0</v>
      </c>
      <c r="F133" s="56">
        <f>+F120</f>
        <v>0</v>
      </c>
      <c r="G133" s="56">
        <f>+G120</f>
        <v>0</v>
      </c>
      <c r="H133" s="56">
        <f t="shared" ref="H133:BO133" si="389">+H125</f>
        <v>3479483</v>
      </c>
      <c r="I133" s="56">
        <f t="shared" si="389"/>
        <v>0</v>
      </c>
      <c r="J133" s="56">
        <f t="shared" si="389"/>
        <v>1.9182219071791261E-2</v>
      </c>
      <c r="K133" s="56">
        <f t="shared" si="389"/>
        <v>0</v>
      </c>
      <c r="L133" s="56">
        <f t="shared" si="389"/>
        <v>0</v>
      </c>
      <c r="M133" s="56">
        <f t="shared" si="389"/>
        <v>0</v>
      </c>
      <c r="N133" s="56">
        <f t="shared" si="389"/>
        <v>29995.543103448275</v>
      </c>
      <c r="O133" s="56">
        <f t="shared" si="389"/>
        <v>0</v>
      </c>
      <c r="P133" s="56">
        <f t="shared" si="389"/>
        <v>435700</v>
      </c>
      <c r="Q133" s="56">
        <f t="shared" si="389"/>
        <v>0</v>
      </c>
      <c r="R133" s="56">
        <f t="shared" si="389"/>
        <v>0.21084620280075925</v>
      </c>
      <c r="S133" s="56">
        <f t="shared" si="389"/>
        <v>0</v>
      </c>
      <c r="T133" s="56">
        <f t="shared" si="389"/>
        <v>0</v>
      </c>
      <c r="U133" s="56">
        <f t="shared" si="389"/>
        <v>0</v>
      </c>
      <c r="V133" s="56">
        <f t="shared" si="389"/>
        <v>465</v>
      </c>
      <c r="W133" s="56">
        <f t="shared" si="389"/>
        <v>0</v>
      </c>
      <c r="X133" s="56">
        <f t="shared" si="389"/>
        <v>0</v>
      </c>
      <c r="Y133" s="56">
        <f t="shared" si="389"/>
        <v>0</v>
      </c>
      <c r="Z133" s="56">
        <f t="shared" si="389"/>
        <v>138247</v>
      </c>
      <c r="AA133" s="56">
        <f t="shared" si="389"/>
        <v>0</v>
      </c>
      <c r="AB133" s="56">
        <f t="shared" si="389"/>
        <v>3.9732052146827561E-2</v>
      </c>
      <c r="AC133" s="56">
        <f t="shared" si="389"/>
        <v>0</v>
      </c>
      <c r="AD133" s="56">
        <f t="shared" si="389"/>
        <v>1191.7844827586207</v>
      </c>
      <c r="AE133" s="56">
        <f t="shared" si="389"/>
        <v>0</v>
      </c>
      <c r="AF133" s="56">
        <f t="shared" si="389"/>
        <v>5268</v>
      </c>
      <c r="AG133" s="56">
        <f t="shared" si="389"/>
        <v>1330856</v>
      </c>
      <c r="AH133" s="56" t="e">
        <f t="shared" si="389"/>
        <v>#DIV/0!</v>
      </c>
      <c r="AI133" s="56">
        <f t="shared" si="389"/>
        <v>0</v>
      </c>
      <c r="AJ133" s="56">
        <f t="shared" si="389"/>
        <v>0</v>
      </c>
      <c r="AK133" s="56">
        <f t="shared" si="389"/>
        <v>32385</v>
      </c>
      <c r="AL133" s="56">
        <f t="shared" si="389"/>
        <v>0</v>
      </c>
      <c r="AM133" s="56">
        <f t="shared" si="389"/>
        <v>0</v>
      </c>
      <c r="AN133" s="56">
        <f t="shared" si="389"/>
        <v>178263</v>
      </c>
      <c r="AO133" s="56">
        <f t="shared" si="389"/>
        <v>1549469</v>
      </c>
      <c r="AP133" s="56">
        <f t="shared" si="389"/>
        <v>0</v>
      </c>
      <c r="AQ133" s="56">
        <f t="shared" si="389"/>
        <v>2.1346873343862306E-2</v>
      </c>
      <c r="AR133" s="56">
        <f t="shared" si="389"/>
        <v>0</v>
      </c>
      <c r="AS133" s="56">
        <f t="shared" si="389"/>
        <v>0</v>
      </c>
      <c r="AT133" s="56">
        <f t="shared" si="389"/>
        <v>0</v>
      </c>
      <c r="AU133" s="56">
        <f t="shared" si="389"/>
        <v>0.44531587020255597</v>
      </c>
      <c r="AV133" s="56">
        <f t="shared" si="389"/>
        <v>0</v>
      </c>
      <c r="AW133" s="56">
        <f t="shared" si="389"/>
        <v>13357.491379310344</v>
      </c>
      <c r="AX133" s="56">
        <f t="shared" si="389"/>
        <v>0</v>
      </c>
      <c r="AY133" s="56">
        <f t="shared" si="389"/>
        <v>0</v>
      </c>
      <c r="AZ133" s="56">
        <f t="shared" si="389"/>
        <v>783226</v>
      </c>
      <c r="BA133" s="56">
        <f t="shared" si="389"/>
        <v>0</v>
      </c>
      <c r="BB133" s="56">
        <f t="shared" si="389"/>
        <v>43252833</v>
      </c>
      <c r="BC133" s="56">
        <f t="shared" si="389"/>
        <v>0</v>
      </c>
      <c r="BD133" s="56">
        <f t="shared" si="389"/>
        <v>65488</v>
      </c>
      <c r="BE133" s="56">
        <f t="shared" si="389"/>
        <v>0</v>
      </c>
      <c r="BF133" s="56">
        <f t="shared" si="389"/>
        <v>8.3613158909433549E-2</v>
      </c>
      <c r="BG133" s="56">
        <f t="shared" si="389"/>
        <v>0</v>
      </c>
      <c r="BH133" s="56">
        <f t="shared" si="389"/>
        <v>0</v>
      </c>
      <c r="BI133" s="56">
        <f t="shared" si="389"/>
        <v>0</v>
      </c>
      <c r="BJ133" s="56">
        <f t="shared" si="389"/>
        <v>5035193</v>
      </c>
      <c r="BK133" s="56">
        <f t="shared" si="389"/>
        <v>0</v>
      </c>
      <c r="BL133" s="56">
        <f t="shared" si="389"/>
        <v>8.6530943302471228E-2</v>
      </c>
      <c r="BM133" s="56">
        <f t="shared" si="389"/>
        <v>372869.25</v>
      </c>
      <c r="BN133" s="56">
        <f t="shared" si="389"/>
        <v>0</v>
      </c>
      <c r="BO133" s="56">
        <f t="shared" si="389"/>
        <v>3203964</v>
      </c>
      <c r="BP133" s="10"/>
      <c r="BQ133" s="62"/>
      <c r="BR133" s="10"/>
      <c r="BS133" s="10"/>
      <c r="BT133" s="10"/>
      <c r="BU133" s="10"/>
      <c r="BV133" s="161"/>
      <c r="BW133" s="10"/>
      <c r="BX133" s="62"/>
      <c r="BY133" s="10"/>
      <c r="BZ133" s="161"/>
      <c r="CA133" s="61"/>
      <c r="CB133" s="61"/>
      <c r="CC133" s="61"/>
      <c r="CD133" s="61"/>
      <c r="CE133" s="61"/>
      <c r="CF133" s="158"/>
    </row>
    <row r="134" spans="2:84" x14ac:dyDescent="0.3">
      <c r="B134" t="s">
        <v>118</v>
      </c>
      <c r="D134" s="56">
        <f>+D124-D133</f>
        <v>-7139</v>
      </c>
      <c r="E134" s="56">
        <f>+E119-E120</f>
        <v>0</v>
      </c>
      <c r="F134" s="56">
        <f>+F119-F120</f>
        <v>0</v>
      </c>
      <c r="G134" s="56">
        <f>+G119-G120</f>
        <v>0</v>
      </c>
      <c r="H134" s="56">
        <f t="shared" ref="H134:BO134" si="390">+H124-H133</f>
        <v>-65488</v>
      </c>
      <c r="I134" s="56">
        <f t="shared" si="390"/>
        <v>0</v>
      </c>
      <c r="J134" s="56">
        <f t="shared" si="390"/>
        <v>-1.7939129155399754E-3</v>
      </c>
      <c r="K134" s="56">
        <f t="shared" si="390"/>
        <v>0</v>
      </c>
      <c r="L134" s="56">
        <f t="shared" si="390"/>
        <v>0</v>
      </c>
      <c r="M134" s="56">
        <f t="shared" si="390"/>
        <v>0</v>
      </c>
      <c r="N134" s="56">
        <f t="shared" si="390"/>
        <v>-308.63005997001528</v>
      </c>
      <c r="O134" s="56">
        <f t="shared" si="390"/>
        <v>0</v>
      </c>
      <c r="P134" s="56">
        <f t="shared" si="390"/>
        <v>-11876</v>
      </c>
      <c r="Q134" s="56">
        <f t="shared" si="390"/>
        <v>0</v>
      </c>
      <c r="R134" s="56">
        <f t="shared" si="390"/>
        <v>-3.2087128804565157E-3</v>
      </c>
      <c r="S134" s="56">
        <f t="shared" si="390"/>
        <v>0</v>
      </c>
      <c r="T134" s="56">
        <f t="shared" si="390"/>
        <v>0</v>
      </c>
      <c r="U134" s="56">
        <f t="shared" si="390"/>
        <v>0</v>
      </c>
      <c r="V134" s="56">
        <f t="shared" si="390"/>
        <v>-85</v>
      </c>
      <c r="W134" s="56">
        <f t="shared" si="390"/>
        <v>0</v>
      </c>
      <c r="X134" s="56">
        <f t="shared" si="390"/>
        <v>0</v>
      </c>
      <c r="Y134" s="56">
        <f t="shared" si="390"/>
        <v>0</v>
      </c>
      <c r="Z134" s="56">
        <f t="shared" si="390"/>
        <v>-465</v>
      </c>
      <c r="AA134" s="56">
        <f t="shared" si="390"/>
        <v>0</v>
      </c>
      <c r="AB134" s="56">
        <f t="shared" si="390"/>
        <v>6.2594486254122922E-4</v>
      </c>
      <c r="AC134" s="56">
        <f t="shared" si="390"/>
        <v>0</v>
      </c>
      <c r="AD134" s="56">
        <f t="shared" si="390"/>
        <v>6.3198650674662531</v>
      </c>
      <c r="AE134" s="56">
        <f t="shared" si="390"/>
        <v>0</v>
      </c>
      <c r="AF134" s="56">
        <f t="shared" si="390"/>
        <v>-87</v>
      </c>
      <c r="AG134" s="56">
        <f t="shared" si="390"/>
        <v>25302</v>
      </c>
      <c r="AH134" s="56" t="e">
        <f t="shared" si="390"/>
        <v>#DIV/0!</v>
      </c>
      <c r="AI134" s="56">
        <f t="shared" si="390"/>
        <v>0</v>
      </c>
      <c r="AJ134" s="56">
        <f t="shared" si="390"/>
        <v>0</v>
      </c>
      <c r="AK134" s="56">
        <f t="shared" si="390"/>
        <v>-5747</v>
      </c>
      <c r="AL134" s="56">
        <f t="shared" si="390"/>
        <v>0</v>
      </c>
      <c r="AM134" s="56">
        <f t="shared" si="390"/>
        <v>0</v>
      </c>
      <c r="AN134" s="56">
        <f t="shared" si="390"/>
        <v>0</v>
      </c>
      <c r="AO134" s="56">
        <f t="shared" si="390"/>
        <v>-32385</v>
      </c>
      <c r="AP134" s="56">
        <f t="shared" si="390"/>
        <v>0</v>
      </c>
      <c r="AQ134" s="56">
        <f t="shared" si="390"/>
        <v>-3.4743707506787874E-3</v>
      </c>
      <c r="AR134" s="56">
        <f t="shared" si="390"/>
        <v>0</v>
      </c>
      <c r="AS134" s="56">
        <f t="shared" si="390"/>
        <v>0</v>
      </c>
      <c r="AT134" s="56">
        <f t="shared" si="390"/>
        <v>0</v>
      </c>
      <c r="AU134" s="56">
        <f t="shared" si="390"/>
        <v>-9.4380756040213232E-4</v>
      </c>
      <c r="AV134" s="56">
        <f t="shared" si="390"/>
        <v>0</v>
      </c>
      <c r="AW134" s="56">
        <f t="shared" si="390"/>
        <v>-165.45659670164787</v>
      </c>
      <c r="AX134" s="56">
        <f t="shared" si="390"/>
        <v>0</v>
      </c>
      <c r="AY134" s="56">
        <f t="shared" si="390"/>
        <v>0</v>
      </c>
      <c r="AZ134" s="56">
        <f t="shared" si="390"/>
        <v>-83955</v>
      </c>
      <c r="BA134" s="56">
        <f t="shared" si="390"/>
        <v>0</v>
      </c>
      <c r="BB134" s="56">
        <f t="shared" si="390"/>
        <v>-783226</v>
      </c>
      <c r="BC134" s="56">
        <f t="shared" si="390"/>
        <v>0</v>
      </c>
      <c r="BD134" s="56">
        <f t="shared" si="390"/>
        <v>-7139</v>
      </c>
      <c r="BE134" s="56">
        <f t="shared" si="390"/>
        <v>0</v>
      </c>
      <c r="BF134" s="56">
        <f t="shared" si="390"/>
        <v>-1.7054510162513303E-4</v>
      </c>
      <c r="BG134" s="56">
        <f t="shared" si="390"/>
        <v>0</v>
      </c>
      <c r="BH134" s="56">
        <f t="shared" si="390"/>
        <v>0</v>
      </c>
      <c r="BI134" s="56">
        <f t="shared" si="390"/>
        <v>0</v>
      </c>
      <c r="BJ134" s="56">
        <f t="shared" si="390"/>
        <v>-152395</v>
      </c>
      <c r="BK134" s="56">
        <f t="shared" si="390"/>
        <v>0</v>
      </c>
      <c r="BL134" s="56">
        <f t="shared" si="390"/>
        <v>2.6846965706549264E-4</v>
      </c>
      <c r="BM134" s="56">
        <f t="shared" si="390"/>
        <v>-3568.3195652174181</v>
      </c>
      <c r="BN134" s="56">
        <f t="shared" si="390"/>
        <v>0</v>
      </c>
      <c r="BO134" s="56">
        <f t="shared" si="390"/>
        <v>-65488</v>
      </c>
      <c r="BP134" s="10"/>
      <c r="BQ134" s="10"/>
      <c r="BR134" s="10"/>
      <c r="BS134" s="10"/>
      <c r="BT134" s="10"/>
      <c r="BU134" s="10"/>
      <c r="BV134" s="62"/>
      <c r="BW134" s="10"/>
      <c r="BX134" s="10"/>
      <c r="BY134" s="10"/>
      <c r="BZ134" s="62"/>
      <c r="CA134" s="61"/>
      <c r="CB134" s="61"/>
      <c r="CC134" s="61"/>
      <c r="CD134" s="61"/>
      <c r="CE134" s="61"/>
      <c r="CF134" s="117"/>
    </row>
    <row r="135" spans="2:84" x14ac:dyDescent="0.3">
      <c r="N135" s="59"/>
      <c r="Z135" s="56"/>
      <c r="AB135" s="59"/>
      <c r="AD135" s="274"/>
      <c r="AZ135" s="59"/>
      <c r="BF135" s="59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61"/>
      <c r="CB135" s="117"/>
      <c r="CC135" s="117"/>
      <c r="CD135" s="117"/>
      <c r="CE135" s="117"/>
    </row>
    <row r="136" spans="2:84" x14ac:dyDescent="0.3">
      <c r="D136" s="56"/>
      <c r="H136" s="1"/>
      <c r="N136" s="59"/>
      <c r="V136" s="56"/>
      <c r="Z136" s="55"/>
      <c r="AZ136" s="59"/>
      <c r="BB136" s="56"/>
      <c r="BD136" s="59"/>
      <c r="BI136" s="61"/>
      <c r="BJ136" s="62">
        <f>+BJ134/BJ82</f>
        <v>-5.2139874935464521E-2</v>
      </c>
      <c r="BK136" s="61"/>
      <c r="BL136" s="61"/>
      <c r="BM136" s="61"/>
      <c r="BN136" s="61"/>
      <c r="BO136" s="61"/>
      <c r="BP136" s="61"/>
      <c r="BQ136" s="61"/>
      <c r="BR136" s="10"/>
      <c r="BS136" s="10"/>
    </row>
    <row r="137" spans="2:84" x14ac:dyDescent="0.3">
      <c r="H137" s="56"/>
      <c r="V137" s="56"/>
      <c r="Z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90"/>
      <c r="BR137" s="1"/>
      <c r="BS137" s="1"/>
    </row>
    <row r="138" spans="2:84" x14ac:dyDescent="0.3">
      <c r="D138" s="1"/>
      <c r="E138" s="123" t="s">
        <v>28</v>
      </c>
      <c r="F138" s="124"/>
      <c r="H138" s="124" t="s">
        <v>67</v>
      </c>
      <c r="I138" s="116"/>
      <c r="J138" s="116"/>
      <c r="K138" s="61"/>
      <c r="L138" s="10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90"/>
      <c r="BR138" s="1"/>
      <c r="BS138" s="1"/>
    </row>
    <row r="139" spans="2:84" x14ac:dyDescent="0.3">
      <c r="D139" s="1"/>
      <c r="E139" s="123" t="s">
        <v>40</v>
      </c>
      <c r="F139" s="124"/>
      <c r="H139" s="124" t="s">
        <v>42</v>
      </c>
      <c r="I139" s="10"/>
      <c r="J139" s="10"/>
      <c r="K139" s="61"/>
      <c r="L139" s="10"/>
      <c r="AC139" s="1"/>
      <c r="AD139" s="1"/>
      <c r="AE139" s="1"/>
      <c r="AF139" s="1"/>
      <c r="AG139" s="1"/>
      <c r="AH139" s="1"/>
      <c r="AI139" s="1"/>
      <c r="AJ139" s="1"/>
      <c r="AK139" s="1" t="s">
        <v>17</v>
      </c>
      <c r="AL139" s="1"/>
      <c r="AM139" s="1"/>
      <c r="AN139" s="1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90"/>
      <c r="BR139" s="1"/>
      <c r="BS139" s="1"/>
    </row>
    <row r="140" spans="2:84" x14ac:dyDescent="0.3">
      <c r="D140" s="1"/>
      <c r="E140" s="123" t="s">
        <v>47</v>
      </c>
      <c r="F140" s="124"/>
      <c r="H140" s="124" t="s">
        <v>57</v>
      </c>
      <c r="I140" s="10"/>
      <c r="J140" s="10"/>
      <c r="K140" s="61"/>
      <c r="L140" s="10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90"/>
      <c r="BR140" s="1"/>
      <c r="BS140" s="1"/>
    </row>
    <row r="141" spans="2:84" x14ac:dyDescent="0.3">
      <c r="D141" s="1"/>
      <c r="E141" s="123" t="s">
        <v>68</v>
      </c>
      <c r="F141" s="61"/>
      <c r="H141" s="93" t="s">
        <v>149</v>
      </c>
      <c r="I141" s="61"/>
      <c r="J141" s="61"/>
      <c r="K141" s="61"/>
      <c r="L141" s="6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90"/>
      <c r="BR141" s="1"/>
      <c r="BS141" s="1"/>
    </row>
    <row r="142" spans="2:84" x14ac:dyDescent="0.3">
      <c r="E142" s="123" t="s">
        <v>150</v>
      </c>
      <c r="H142" s="93" t="s">
        <v>151</v>
      </c>
      <c r="AC142" s="1"/>
      <c r="AD142" s="1"/>
      <c r="AE142" s="1"/>
      <c r="AF142" s="1"/>
      <c r="AG142" s="1"/>
      <c r="AH142" s="1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1"/>
      <c r="BS142" s="1"/>
    </row>
    <row r="143" spans="2:84" x14ac:dyDescent="0.3">
      <c r="AC143" s="1"/>
      <c r="AD143" s="1"/>
      <c r="AE143" s="1"/>
      <c r="AF143" s="1"/>
      <c r="AG143" s="1"/>
      <c r="AH143" s="1"/>
    </row>
    <row r="144" spans="2:84" ht="15" thickBot="1" x14ac:dyDescent="0.35">
      <c r="D144" s="56"/>
      <c r="AC144" s="1"/>
      <c r="AD144" s="1"/>
      <c r="AE144" s="1"/>
      <c r="AF144" s="1"/>
      <c r="AG144" s="1"/>
      <c r="AH144" s="664"/>
      <c r="AI144" s="665"/>
      <c r="AJ144" s="665"/>
      <c r="AK144" s="665"/>
      <c r="AL144" s="665"/>
      <c r="AM144" s="665"/>
      <c r="AN144" s="665"/>
      <c r="AO144" s="665"/>
      <c r="AP144" s="665"/>
      <c r="AQ144" s="665"/>
      <c r="AR144" s="665"/>
      <c r="AS144" s="665"/>
      <c r="AT144" s="665"/>
      <c r="AU144" s="665"/>
      <c r="AV144" s="665"/>
      <c r="AW144" s="665"/>
      <c r="AY144" s="118"/>
      <c r="AZ144" s="118"/>
      <c r="BA144" s="118"/>
      <c r="BB144" s="118"/>
    </row>
    <row r="145" spans="2:86" x14ac:dyDescent="0.3">
      <c r="D145" s="1">
        <v>4900</v>
      </c>
      <c r="J145" s="666">
        <f>+BQ125</f>
        <v>7.4075240343216359E-2</v>
      </c>
      <c r="U145" s="118"/>
      <c r="Z145" s="56"/>
      <c r="AC145" s="1"/>
      <c r="AD145" s="1"/>
      <c r="AE145" s="1"/>
      <c r="AF145" s="1"/>
      <c r="AG145" s="1"/>
      <c r="AH145" s="664"/>
      <c r="AI145" s="638"/>
      <c r="AJ145" s="639"/>
      <c r="AK145" s="639"/>
      <c r="AL145" s="639"/>
      <c r="AM145" s="639"/>
      <c r="AN145" s="639"/>
      <c r="AO145" s="639"/>
      <c r="AP145" s="639"/>
      <c r="AQ145" s="639"/>
      <c r="AR145" s="639"/>
      <c r="AS145" s="639"/>
      <c r="AT145" s="639"/>
      <c r="AU145" s="639"/>
      <c r="AV145" s="640"/>
      <c r="AW145" s="665"/>
      <c r="AY145" s="118"/>
      <c r="AZ145" s="118"/>
      <c r="BA145" s="118"/>
      <c r="BB145" s="118"/>
    </row>
    <row r="146" spans="2:86" x14ac:dyDescent="0.3">
      <c r="D146" s="1">
        <v>1000000</v>
      </c>
      <c r="J146" s="233">
        <f>+AB125</f>
        <v>3.9732052146827561E-2</v>
      </c>
      <c r="AC146" s="1"/>
      <c r="AD146" s="1"/>
      <c r="AE146" s="1"/>
      <c r="AF146" s="1"/>
      <c r="AG146" s="1"/>
      <c r="AH146" s="664"/>
      <c r="AI146" s="641"/>
      <c r="AJ146" s="649" t="s">
        <v>157</v>
      </c>
      <c r="AK146" s="649"/>
      <c r="AL146" s="649"/>
      <c r="AM146" s="649"/>
      <c r="AN146" s="649"/>
      <c r="AO146" s="649"/>
      <c r="AP146" s="649"/>
      <c r="AQ146" s="649"/>
      <c r="AR146" s="649"/>
      <c r="AS146" s="649"/>
      <c r="AT146" s="649"/>
      <c r="AU146" s="649"/>
      <c r="AV146" s="642"/>
      <c r="AW146" s="665"/>
      <c r="AY146" s="118"/>
      <c r="AZ146" s="118"/>
      <c r="BA146" s="118"/>
      <c r="BB146" s="118"/>
    </row>
    <row r="147" spans="2:86" ht="15.6" x14ac:dyDescent="0.3">
      <c r="J147" s="57">
        <f>+J145*J146</f>
        <v>2.9431613121054571E-3</v>
      </c>
      <c r="AC147" s="1"/>
      <c r="AD147" s="1"/>
      <c r="AE147" s="1"/>
      <c r="AF147" s="1"/>
      <c r="AG147" s="1"/>
      <c r="AH147" s="664"/>
      <c r="AI147" s="641"/>
      <c r="AJ147" s="649" t="s">
        <v>156</v>
      </c>
      <c r="AK147" s="649"/>
      <c r="AL147" s="649"/>
      <c r="AM147" s="649"/>
      <c r="AN147" s="650"/>
      <c r="AO147" s="651" t="s">
        <v>20</v>
      </c>
      <c r="AP147" s="650"/>
      <c r="AQ147" s="651" t="s">
        <v>4</v>
      </c>
      <c r="AR147" s="652"/>
      <c r="AS147" s="652"/>
      <c r="AT147" s="652"/>
      <c r="AU147" s="658" t="s">
        <v>10</v>
      </c>
      <c r="AV147" s="642"/>
      <c r="AW147" s="665"/>
      <c r="AY147" s="118"/>
      <c r="AZ147" s="118"/>
      <c r="BA147" s="118"/>
      <c r="BB147" s="118"/>
    </row>
    <row r="148" spans="2:86" x14ac:dyDescent="0.3">
      <c r="AC148" s="1"/>
      <c r="AD148" s="1"/>
      <c r="AE148" s="1"/>
      <c r="AF148" s="1"/>
      <c r="AG148" s="1"/>
      <c r="AH148" s="664"/>
      <c r="AI148" s="641"/>
      <c r="AJ148" s="653" t="s">
        <v>152</v>
      </c>
      <c r="AK148" s="653"/>
      <c r="AL148" s="653"/>
      <c r="AM148" s="653"/>
      <c r="AN148" s="650"/>
      <c r="AO148" s="654">
        <f>+AG50</f>
        <v>898992</v>
      </c>
      <c r="AP148" s="655"/>
      <c r="AQ148" s="654">
        <f>+AG51</f>
        <v>55687</v>
      </c>
      <c r="AR148" s="656"/>
      <c r="AS148" s="656"/>
      <c r="AT148" s="656"/>
      <c r="AU148" s="657">
        <f>+AQ148/AO148</f>
        <v>6.194382152455194E-2</v>
      </c>
      <c r="AV148" s="642"/>
      <c r="AW148" s="665"/>
      <c r="AY148" s="118"/>
      <c r="AZ148" s="118"/>
      <c r="BA148" s="118"/>
      <c r="BB148" s="118"/>
    </row>
    <row r="149" spans="2:86" x14ac:dyDescent="0.3">
      <c r="D149" s="278">
        <f>+D145/D146</f>
        <v>4.8999999999999998E-3</v>
      </c>
      <c r="AC149" s="1"/>
      <c r="AD149" s="1"/>
      <c r="AE149" s="1"/>
      <c r="AF149" s="1"/>
      <c r="AG149" s="1"/>
      <c r="AH149" s="664"/>
      <c r="AI149" s="641"/>
      <c r="AJ149" s="643" t="s">
        <v>153</v>
      </c>
      <c r="AK149" s="644"/>
      <c r="AL149" s="644"/>
      <c r="AM149" s="644"/>
      <c r="AN149" s="65"/>
      <c r="AO149" s="645">
        <f>+AF83</f>
        <v>742147</v>
      </c>
      <c r="AP149" s="65"/>
      <c r="AQ149" s="645">
        <f>+AF84</f>
        <v>42339</v>
      </c>
      <c r="AR149" s="65"/>
      <c r="AS149" s="65"/>
      <c r="AT149" s="65"/>
      <c r="AU149" s="157">
        <f>+AQ149/AO149</f>
        <v>5.7049344671608188E-2</v>
      </c>
      <c r="AV149" s="642"/>
      <c r="AW149" s="665"/>
      <c r="AY149" s="118"/>
      <c r="AZ149" s="118"/>
      <c r="BA149" s="118"/>
      <c r="BB149" s="118"/>
    </row>
    <row r="150" spans="2:86" x14ac:dyDescent="0.3">
      <c r="AC150" s="1"/>
      <c r="AD150" s="1"/>
      <c r="AE150" s="1"/>
      <c r="AF150" s="1"/>
      <c r="AG150" s="1"/>
      <c r="AH150" s="664"/>
      <c r="AI150" s="641"/>
      <c r="AJ150" s="644" t="s">
        <v>154</v>
      </c>
      <c r="AK150" s="644"/>
      <c r="AL150" s="644"/>
      <c r="AM150" s="644"/>
      <c r="AN150" s="65"/>
      <c r="AO150" s="645">
        <f>+AG113</f>
        <v>869627</v>
      </c>
      <c r="AP150" s="65"/>
      <c r="AQ150" s="645">
        <f>+AG114</f>
        <v>21252</v>
      </c>
      <c r="AR150" s="65"/>
      <c r="AS150" s="65"/>
      <c r="AT150" s="65"/>
      <c r="AU150" s="157">
        <f>+AQ150/AO150</f>
        <v>2.4438063675575852E-2</v>
      </c>
      <c r="AV150" s="642"/>
      <c r="AW150" s="665"/>
      <c r="AY150" s="118"/>
      <c r="AZ150" s="118"/>
      <c r="BA150" s="118"/>
      <c r="BB150" s="118"/>
    </row>
    <row r="151" spans="2:86" x14ac:dyDescent="0.3">
      <c r="D151" s="472">
        <v>32000</v>
      </c>
      <c r="AC151" s="1"/>
      <c r="AD151" s="1"/>
      <c r="AE151" s="1"/>
      <c r="AF151" s="1"/>
      <c r="AG151" s="1"/>
      <c r="AH151" s="664"/>
      <c r="AI151" s="641"/>
      <c r="AJ151" s="644" t="s">
        <v>158</v>
      </c>
      <c r="AK151" s="644"/>
      <c r="AL151" s="644"/>
      <c r="AM151" s="644"/>
      <c r="AN151" s="65"/>
      <c r="AO151" s="645">
        <f>+AG124</f>
        <v>1356158</v>
      </c>
      <c r="AP151" s="65"/>
      <c r="AQ151" s="645">
        <f>+AF125</f>
        <v>5268</v>
      </c>
      <c r="AR151" s="65"/>
      <c r="AS151" s="65"/>
      <c r="AT151" s="65"/>
      <c r="AU151" s="157">
        <f>+AQ151/AO151</f>
        <v>3.8845031331157581E-3</v>
      </c>
      <c r="AV151" s="642"/>
      <c r="AW151" s="665"/>
    </row>
    <row r="152" spans="2:86" x14ac:dyDescent="0.3">
      <c r="B152" s="471"/>
      <c r="D152" s="278">
        <f>+D151/D163</f>
        <v>9.6676737160120849E-5</v>
      </c>
      <c r="AC152" s="1"/>
      <c r="AD152" s="1"/>
      <c r="AE152" s="1"/>
      <c r="AF152" s="1"/>
      <c r="AG152" s="1"/>
      <c r="AH152" s="664"/>
      <c r="AI152" s="641"/>
      <c r="AJ152" s="644" t="s">
        <v>155</v>
      </c>
      <c r="AK152" s="644"/>
      <c r="AL152" s="644"/>
      <c r="AM152" s="644"/>
      <c r="AN152" s="65"/>
      <c r="AO152" s="645">
        <f>+Z127</f>
        <v>0</v>
      </c>
      <c r="AP152" s="65"/>
      <c r="AQ152" s="645">
        <f>+Z126</f>
        <v>0</v>
      </c>
      <c r="AR152" s="65"/>
      <c r="AS152" s="65"/>
      <c r="AT152" s="65"/>
      <c r="AU152" s="663" t="e">
        <f>+AQ152/AO152</f>
        <v>#DIV/0!</v>
      </c>
      <c r="AV152" s="642"/>
      <c r="AW152" s="665"/>
    </row>
    <row r="153" spans="2:86" ht="15" thickBot="1" x14ac:dyDescent="0.35">
      <c r="B153" s="471"/>
      <c r="D153" s="278"/>
      <c r="AC153" s="1"/>
      <c r="AD153" s="1"/>
      <c r="AE153" s="1"/>
      <c r="AF153" s="1"/>
      <c r="AG153" s="1"/>
      <c r="AH153" s="664"/>
      <c r="AI153" s="641"/>
      <c r="AJ153" s="659"/>
      <c r="AK153" s="659"/>
      <c r="AL153" s="659"/>
      <c r="AM153" s="659"/>
      <c r="AN153" s="660"/>
      <c r="AO153" s="661"/>
      <c r="AP153" s="660"/>
      <c r="AQ153" s="661"/>
      <c r="AR153" s="660"/>
      <c r="AS153" s="660"/>
      <c r="AT153" s="660"/>
      <c r="AU153" s="662"/>
      <c r="AV153" s="642"/>
      <c r="AW153" s="665"/>
    </row>
    <row r="154" spans="2:86" x14ac:dyDescent="0.3">
      <c r="B154" s="471"/>
      <c r="D154" s="278"/>
      <c r="AC154" s="1"/>
      <c r="AD154" s="1"/>
      <c r="AE154" s="1"/>
      <c r="AF154" s="1"/>
      <c r="AG154" s="1"/>
      <c r="AH154" s="664"/>
      <c r="AI154" s="641"/>
      <c r="AJ154" s="644" t="s">
        <v>152</v>
      </c>
      <c r="AK154" s="644"/>
      <c r="AL154" s="644"/>
      <c r="AM154" s="644"/>
      <c r="AN154" s="65"/>
      <c r="AO154" s="645"/>
      <c r="AP154" s="65"/>
      <c r="AQ154" s="645">
        <f>+AQ148</f>
        <v>55687</v>
      </c>
      <c r="AR154" s="65"/>
      <c r="AS154" s="65"/>
      <c r="AT154" s="65"/>
      <c r="AU154" s="157"/>
      <c r="AV154" s="642"/>
      <c r="AW154" s="665"/>
    </row>
    <row r="155" spans="2:86" x14ac:dyDescent="0.3">
      <c r="B155" s="471"/>
      <c r="D155" s="278"/>
      <c r="AC155" s="1"/>
      <c r="AD155" s="1"/>
      <c r="AE155" s="1"/>
      <c r="AF155" s="1"/>
      <c r="AG155" s="1"/>
      <c r="AH155" s="664"/>
      <c r="AI155" s="641"/>
      <c r="AJ155" s="644" t="s">
        <v>158</v>
      </c>
      <c r="AK155" s="644"/>
      <c r="AL155" s="644"/>
      <c r="AM155" s="64"/>
      <c r="AN155" s="65"/>
      <c r="AO155" s="645"/>
      <c r="AP155" s="65"/>
      <c r="AQ155" s="645">
        <f>+AF125</f>
        <v>5268</v>
      </c>
      <c r="AR155" s="65"/>
      <c r="AS155" s="65"/>
      <c r="AT155" s="65"/>
      <c r="AU155" s="157"/>
      <c r="AV155" s="642"/>
      <c r="AW155" s="665"/>
    </row>
    <row r="156" spans="2:86" x14ac:dyDescent="0.3">
      <c r="B156" s="471"/>
      <c r="D156" s="278"/>
      <c r="AC156" s="1"/>
      <c r="AD156" s="1"/>
      <c r="AE156" s="1"/>
      <c r="AF156" s="1"/>
      <c r="AG156" s="1"/>
      <c r="AH156" s="664"/>
      <c r="AI156" s="641"/>
      <c r="AJ156" s="64"/>
      <c r="AK156" s="64" t="s">
        <v>73</v>
      </c>
      <c r="AL156" s="64"/>
      <c r="AM156" s="64"/>
      <c r="AN156" s="65"/>
      <c r="AO156" s="645"/>
      <c r="AP156" s="65"/>
      <c r="AQ156" s="645">
        <f>+AQ154-AQ155</f>
        <v>50419</v>
      </c>
      <c r="AR156" s="65"/>
      <c r="AS156" s="65"/>
      <c r="AT156" s="65"/>
      <c r="AU156" s="663">
        <f>+AQ156/AQ154</f>
        <v>0.9053998240163772</v>
      </c>
      <c r="AV156" s="642"/>
      <c r="AW156" s="665"/>
    </row>
    <row r="157" spans="2:86" ht="15" thickBot="1" x14ac:dyDescent="0.35">
      <c r="D157" s="471"/>
      <c r="AC157" s="1"/>
      <c r="AD157" s="1"/>
      <c r="AE157" s="1"/>
      <c r="AF157" s="1"/>
      <c r="AG157" s="1"/>
      <c r="AH157" s="664"/>
      <c r="AI157" s="646"/>
      <c r="AJ157" s="647"/>
      <c r="AK157" s="647"/>
      <c r="AL157" s="647"/>
      <c r="AM157" s="647"/>
      <c r="AN157" s="647"/>
      <c r="AO157" s="647"/>
      <c r="AP157" s="647"/>
      <c r="AQ157" s="647"/>
      <c r="AR157" s="647"/>
      <c r="AS157" s="647"/>
      <c r="AT157" s="647"/>
      <c r="AU157" s="647"/>
      <c r="AV157" s="648"/>
      <c r="AW157" s="665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1"/>
      <c r="BS157" s="1"/>
      <c r="BT157" s="1"/>
      <c r="BU157" s="1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</row>
    <row r="158" spans="2:86" x14ac:dyDescent="0.3">
      <c r="AC158" s="10"/>
      <c r="AD158" s="10"/>
      <c r="AE158" s="10"/>
      <c r="AF158" s="10"/>
      <c r="AG158" s="10"/>
      <c r="AH158" s="664"/>
      <c r="AI158" s="665"/>
      <c r="AJ158" s="665"/>
      <c r="AK158" s="665"/>
      <c r="AL158" s="665"/>
      <c r="AM158" s="665"/>
      <c r="AN158" s="665"/>
      <c r="AO158" s="665"/>
      <c r="AP158" s="665"/>
      <c r="AQ158" s="665"/>
      <c r="AR158" s="665"/>
      <c r="AS158" s="665"/>
      <c r="AT158" s="665"/>
      <c r="AU158" s="665"/>
      <c r="AV158" s="665"/>
      <c r="AW158" s="665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89"/>
      <c r="BW158" s="89"/>
      <c r="BX158" s="89"/>
      <c r="BY158" s="89"/>
      <c r="BZ158" s="121"/>
      <c r="CA158" s="1"/>
      <c r="CB158" s="1"/>
      <c r="CC158" s="1"/>
      <c r="CD158" s="1"/>
      <c r="CE158" s="1"/>
      <c r="CF158" s="1"/>
      <c r="CG158" s="1"/>
      <c r="CH158" s="1"/>
    </row>
    <row r="159" spans="2:86" x14ac:dyDescent="0.3">
      <c r="D159">
        <v>10</v>
      </c>
      <c r="AC159" s="10"/>
      <c r="AD159" s="10"/>
      <c r="AE159" s="10"/>
      <c r="AF159" s="10"/>
      <c r="AG159" s="10"/>
      <c r="AH159" s="10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89"/>
      <c r="BW159" s="89"/>
      <c r="BX159" s="89"/>
      <c r="BY159" s="89"/>
      <c r="BZ159" s="89"/>
      <c r="CA159" s="1"/>
      <c r="CB159" s="1"/>
      <c r="CC159" s="1"/>
      <c r="CD159" s="1"/>
      <c r="CE159" s="1"/>
      <c r="CF159" s="1"/>
      <c r="CG159" s="1"/>
      <c r="CH159" s="1"/>
    </row>
    <row r="160" spans="2:86" x14ac:dyDescent="0.3">
      <c r="D160" s="1">
        <v>1000000</v>
      </c>
      <c r="AC160" s="10"/>
      <c r="AD160" s="10"/>
      <c r="AE160" s="10"/>
      <c r="AF160" s="10"/>
      <c r="AG160" s="10"/>
      <c r="AH160" s="10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89"/>
      <c r="BW160" s="89"/>
      <c r="BX160" s="89"/>
      <c r="BY160" s="89"/>
      <c r="BZ160" s="89"/>
      <c r="CA160" s="1"/>
      <c r="CB160" s="1"/>
      <c r="CC160" s="1"/>
      <c r="CD160" s="1"/>
      <c r="CE160" s="1"/>
      <c r="CF160" s="1"/>
    </row>
    <row r="161" spans="2:84" x14ac:dyDescent="0.3">
      <c r="D161" s="57">
        <f>+D159/D160</f>
        <v>1.0000000000000001E-5</v>
      </c>
      <c r="AC161" s="10"/>
      <c r="AD161" s="10"/>
      <c r="AE161" s="10"/>
      <c r="AF161" s="10"/>
      <c r="AG161" s="10"/>
      <c r="AH161" s="10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89"/>
      <c r="BW161" s="89"/>
      <c r="BX161" s="89"/>
      <c r="BY161" s="89"/>
      <c r="BZ161" s="89"/>
      <c r="CA161" s="1"/>
      <c r="CB161" s="1"/>
      <c r="CC161" s="1"/>
      <c r="CD161" s="1"/>
      <c r="CE161" s="1"/>
      <c r="CF161" s="1"/>
    </row>
    <row r="162" spans="2:84" x14ac:dyDescent="0.3">
      <c r="AC162" s="10"/>
      <c r="AD162" s="10"/>
      <c r="AE162" s="10"/>
      <c r="AF162" s="10"/>
      <c r="AG162" s="10"/>
      <c r="AH162" s="10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89"/>
      <c r="BW162" s="89"/>
      <c r="BX162" s="122"/>
      <c r="BY162" s="89"/>
      <c r="BZ162" s="89"/>
    </row>
    <row r="163" spans="2:84" x14ac:dyDescent="0.3">
      <c r="D163" s="1">
        <v>331000000</v>
      </c>
      <c r="AC163" s="10"/>
      <c r="AD163" s="10"/>
      <c r="AE163" s="10"/>
      <c r="AF163" s="10"/>
      <c r="AG163" s="10"/>
      <c r="AH163" s="10"/>
      <c r="AI163" s="90"/>
      <c r="AJ163" s="90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90"/>
      <c r="BB163" s="90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89"/>
      <c r="BW163" s="89"/>
      <c r="BX163" s="89"/>
      <c r="BY163" s="89"/>
      <c r="BZ163" s="89"/>
    </row>
    <row r="164" spans="2:84" x14ac:dyDescent="0.3">
      <c r="AC164" s="10"/>
      <c r="AD164" s="10"/>
      <c r="AE164" s="10"/>
      <c r="AF164" s="10"/>
      <c r="AG164" s="10"/>
      <c r="AH164" s="10"/>
      <c r="AI164" s="90"/>
      <c r="AJ164" s="90"/>
      <c r="AK164" s="151"/>
      <c r="AL164" s="151"/>
      <c r="AM164" s="151"/>
      <c r="AN164" s="151"/>
      <c r="AO164" s="151"/>
      <c r="AP164" s="151"/>
      <c r="AQ164" s="151"/>
      <c r="AR164" s="90"/>
      <c r="AS164" s="90"/>
      <c r="AT164" s="90"/>
      <c r="AU164" s="110"/>
      <c r="AV164" s="110"/>
      <c r="AW164" s="110"/>
      <c r="AX164" s="110"/>
      <c r="AY164" s="90"/>
      <c r="AZ164" s="90"/>
      <c r="BA164" s="110"/>
      <c r="BB164" s="90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89"/>
      <c r="BW164" s="89"/>
      <c r="BX164" s="89"/>
      <c r="BY164" s="89"/>
      <c r="BZ164" s="89"/>
    </row>
    <row r="165" spans="2:84" x14ac:dyDescent="0.3">
      <c r="D165" s="469">
        <v>7.1999999999999995E-2</v>
      </c>
      <c r="AC165" s="10"/>
      <c r="AD165" s="10"/>
      <c r="AE165" s="10"/>
      <c r="AF165" s="10"/>
      <c r="AG165" s="10"/>
      <c r="AH165" s="10"/>
      <c r="AI165" s="90"/>
      <c r="AJ165" s="90"/>
      <c r="AK165" s="151"/>
      <c r="AL165" s="151"/>
      <c r="AM165" s="151"/>
      <c r="AN165" s="151"/>
      <c r="AO165" s="151"/>
      <c r="AP165" s="151"/>
      <c r="AQ165" s="151"/>
      <c r="AR165" s="151"/>
      <c r="AS165" s="110"/>
      <c r="AT165" s="90"/>
      <c r="AU165" s="110"/>
      <c r="AV165" s="110"/>
      <c r="AW165" s="110"/>
      <c r="AX165" s="110"/>
      <c r="AY165" s="90"/>
      <c r="AZ165" s="90"/>
      <c r="BA165" s="110"/>
      <c r="BB165" s="90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89"/>
      <c r="BW165" s="89"/>
      <c r="BX165" s="89"/>
      <c r="BY165" s="89"/>
      <c r="BZ165" s="89"/>
    </row>
    <row r="166" spans="2:84" x14ac:dyDescent="0.3">
      <c r="AC166" s="10"/>
      <c r="AD166" s="10"/>
      <c r="AE166" s="10"/>
      <c r="AF166" s="10"/>
      <c r="AG166" s="10"/>
      <c r="AH166" s="10"/>
      <c r="AI166" s="90"/>
      <c r="AJ166" s="90"/>
      <c r="AK166" s="90"/>
      <c r="AL166" s="90"/>
      <c r="AM166" s="152"/>
      <c r="AN166" s="152"/>
      <c r="AO166" s="152"/>
      <c r="AP166" s="152"/>
      <c r="AQ166" s="152"/>
      <c r="AR166" s="90"/>
      <c r="AS166" s="90"/>
      <c r="AT166" s="90"/>
      <c r="AU166" s="110"/>
      <c r="AV166" s="110"/>
      <c r="AW166" s="110"/>
      <c r="AX166" s="110"/>
      <c r="AY166" s="90"/>
      <c r="AZ166" s="90"/>
      <c r="BA166" s="110"/>
      <c r="BB166" s="90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89"/>
      <c r="BW166" s="89"/>
      <c r="BX166" s="89"/>
      <c r="BY166" s="89"/>
      <c r="BZ166" s="89"/>
    </row>
    <row r="167" spans="2:84" x14ac:dyDescent="0.3">
      <c r="D167" s="278">
        <v>4.2000000000000003E-2</v>
      </c>
      <c r="AC167" s="10"/>
      <c r="AD167" s="10"/>
      <c r="AE167" s="10"/>
      <c r="AF167" s="10"/>
      <c r="AG167" s="10"/>
      <c r="AH167" s="10"/>
      <c r="AI167" s="90"/>
      <c r="AJ167" s="90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10"/>
      <c r="AV167" s="110"/>
      <c r="AW167" s="110"/>
      <c r="AX167" s="110"/>
      <c r="AY167" s="90"/>
      <c r="AZ167" s="90"/>
      <c r="BA167" s="110"/>
      <c r="BB167" s="90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</row>
    <row r="168" spans="2:84" x14ac:dyDescent="0.3">
      <c r="D168" s="1">
        <f>+D163*D165*D167</f>
        <v>1000944.0000000001</v>
      </c>
      <c r="AC168" s="10"/>
      <c r="AD168" s="10"/>
      <c r="AE168" s="10"/>
      <c r="AF168" s="10"/>
      <c r="AG168" s="10"/>
      <c r="AH168" s="10"/>
      <c r="AI168" s="90"/>
      <c r="AJ168" s="90"/>
      <c r="AK168" s="90"/>
      <c r="AL168" s="90"/>
      <c r="AM168" s="152"/>
      <c r="AN168" s="152"/>
      <c r="AO168" s="152"/>
      <c r="AP168" s="152"/>
      <c r="AQ168" s="152"/>
      <c r="AR168" s="152"/>
      <c r="AS168" s="152"/>
      <c r="AT168" s="90"/>
      <c r="AU168" s="110"/>
      <c r="AV168" s="110"/>
      <c r="AW168" s="110"/>
      <c r="AX168" s="110"/>
      <c r="AY168" s="90"/>
      <c r="AZ168" s="90"/>
      <c r="BA168" s="110"/>
      <c r="BB168" s="90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</row>
    <row r="169" spans="2:84" x14ac:dyDescent="0.3">
      <c r="AC169" s="10"/>
      <c r="AD169" s="10"/>
      <c r="AE169" s="10"/>
      <c r="AF169" s="10"/>
      <c r="AG169" s="10"/>
      <c r="AH169" s="10"/>
      <c r="AI169" s="90"/>
      <c r="AJ169" s="90"/>
      <c r="AK169" s="90"/>
      <c r="AL169" s="90"/>
      <c r="AM169" s="152"/>
      <c r="AN169" s="152"/>
      <c r="AO169" s="152"/>
      <c r="AP169" s="152"/>
      <c r="AQ169" s="152"/>
      <c r="AR169" s="152"/>
      <c r="AS169" s="152"/>
      <c r="AT169" s="90"/>
      <c r="AU169" s="110"/>
      <c r="AV169" s="110"/>
      <c r="AW169" s="110"/>
      <c r="AX169" s="110"/>
      <c r="AY169" s="90"/>
      <c r="AZ169" s="90"/>
      <c r="BA169" s="110"/>
      <c r="BB169" s="90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</row>
    <row r="170" spans="2:84" x14ac:dyDescent="0.3">
      <c r="AC170" s="10"/>
      <c r="AD170" s="10"/>
      <c r="AE170" s="10"/>
      <c r="AF170" s="10"/>
      <c r="AG170" s="10"/>
      <c r="AH170" s="10"/>
      <c r="AI170" s="90"/>
      <c r="AJ170" s="90"/>
      <c r="AK170" s="90"/>
      <c r="AL170" s="90"/>
      <c r="AM170" s="152"/>
      <c r="AN170" s="152"/>
      <c r="AO170" s="152"/>
      <c r="AP170" s="152"/>
      <c r="AQ170" s="152"/>
      <c r="AR170" s="152"/>
      <c r="AS170" s="152"/>
      <c r="AT170" s="90"/>
      <c r="AU170" s="110"/>
      <c r="AV170" s="110"/>
      <c r="AW170" s="110"/>
      <c r="AX170" s="110"/>
      <c r="AY170" s="90"/>
      <c r="AZ170" s="90"/>
      <c r="BA170" s="110"/>
      <c r="BB170" s="90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</row>
    <row r="171" spans="2:84" x14ac:dyDescent="0.3">
      <c r="AC171" s="10"/>
      <c r="AD171" s="10"/>
      <c r="AE171" s="10"/>
      <c r="AF171" s="10"/>
      <c r="AG171" s="10"/>
      <c r="AH171" s="10"/>
      <c r="AI171" s="90"/>
      <c r="AJ171" s="90"/>
      <c r="AK171" s="90"/>
      <c r="AL171" s="90"/>
      <c r="AM171" s="152"/>
      <c r="AN171" s="152"/>
      <c r="AO171" s="152"/>
      <c r="AP171" s="152"/>
      <c r="AQ171" s="152"/>
      <c r="AR171" s="152"/>
      <c r="AS171" s="152"/>
      <c r="AT171" s="90"/>
      <c r="AU171" s="110"/>
      <c r="AV171" s="110"/>
      <c r="AW171" s="110"/>
      <c r="AX171" s="110"/>
      <c r="AY171" s="90"/>
      <c r="AZ171" s="90"/>
      <c r="BA171" s="110"/>
      <c r="BB171" s="90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</row>
    <row r="172" spans="2:84" x14ac:dyDescent="0.3">
      <c r="AC172" s="10"/>
      <c r="AD172" s="10"/>
      <c r="AE172" s="10"/>
      <c r="AF172" s="10"/>
      <c r="AG172" s="10"/>
      <c r="AH172" s="10"/>
      <c r="AI172" s="90"/>
      <c r="AJ172" s="90"/>
      <c r="AK172" s="90"/>
      <c r="AL172" s="90"/>
      <c r="AM172" s="152"/>
      <c r="AN172" s="152"/>
      <c r="AO172" s="152"/>
      <c r="AP172" s="152"/>
      <c r="AQ172" s="152"/>
      <c r="AR172" s="152"/>
      <c r="AS172" s="152"/>
      <c r="AT172" s="90"/>
      <c r="AU172" s="110"/>
      <c r="AV172" s="110"/>
      <c r="AW172" s="110"/>
      <c r="AX172" s="110"/>
      <c r="AY172" s="90"/>
      <c r="AZ172" s="90"/>
      <c r="BA172" s="110"/>
      <c r="BB172" s="90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</row>
    <row r="173" spans="2:84" x14ac:dyDescent="0.3">
      <c r="AC173" s="10"/>
      <c r="AD173" s="10"/>
      <c r="AE173" s="10"/>
      <c r="AF173" s="10"/>
      <c r="AG173" s="10"/>
      <c r="AH173" s="10"/>
      <c r="AI173" s="90"/>
      <c r="AJ173" s="90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90"/>
      <c r="AV173" s="90"/>
      <c r="AW173" s="90"/>
      <c r="AX173" s="90"/>
      <c r="AY173" s="90"/>
      <c r="AZ173" s="110"/>
      <c r="BA173" s="110"/>
      <c r="BB173" s="90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</row>
    <row r="174" spans="2:84" x14ac:dyDescent="0.3">
      <c r="AC174" s="10"/>
      <c r="AD174" s="10"/>
      <c r="AE174" s="10"/>
      <c r="AF174" s="10"/>
      <c r="AG174" s="10"/>
      <c r="AH174" s="10"/>
      <c r="AI174" s="90"/>
      <c r="AJ174" s="90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90"/>
      <c r="AZ174" s="90"/>
      <c r="BA174" s="110"/>
      <c r="BB174" s="90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</row>
    <row r="175" spans="2:84" x14ac:dyDescent="0.3"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90"/>
      <c r="AT175" s="110"/>
      <c r="AU175" s="153"/>
      <c r="AV175" s="153"/>
      <c r="AW175" s="153"/>
      <c r="AX175" s="153"/>
      <c r="AY175" s="110"/>
      <c r="AZ175" s="110"/>
      <c r="BA175" s="110"/>
      <c r="BB175" s="110"/>
    </row>
    <row r="176" spans="2:84" x14ac:dyDescent="0.3">
      <c r="B176" s="125"/>
      <c r="D176" s="55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90"/>
      <c r="AV176" s="90"/>
      <c r="AW176" s="90"/>
      <c r="AX176" s="90"/>
      <c r="AY176" s="110"/>
      <c r="AZ176" s="154"/>
      <c r="BA176" s="110"/>
      <c r="BB176" s="110"/>
    </row>
    <row r="177" spans="2:54" x14ac:dyDescent="0.3">
      <c r="B177" s="1"/>
      <c r="D177" s="55"/>
      <c r="W177" s="61"/>
      <c r="X177" s="61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</row>
    <row r="178" spans="2:54" x14ac:dyDescent="0.3">
      <c r="B178" s="1"/>
      <c r="D178" s="55"/>
      <c r="W178" s="61"/>
      <c r="X178" s="61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</row>
    <row r="179" spans="2:54" x14ac:dyDescent="0.3">
      <c r="B179" s="1"/>
      <c r="D179" s="55"/>
      <c r="W179" s="61"/>
      <c r="X179" s="61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</row>
    <row r="180" spans="2:54" x14ac:dyDescent="0.3">
      <c r="B180" s="1"/>
      <c r="D180" s="55"/>
      <c r="W180" s="61"/>
      <c r="X180" s="61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</row>
    <row r="181" spans="2:54" x14ac:dyDescent="0.3">
      <c r="B181" s="55"/>
      <c r="D181" s="55"/>
      <c r="W181" s="61"/>
      <c r="X181" s="61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</row>
    <row r="182" spans="2:54" x14ac:dyDescent="0.3">
      <c r="B182" s="57"/>
      <c r="D182" s="55"/>
      <c r="W182" s="61"/>
      <c r="X182" s="61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</row>
    <row r="183" spans="2:54" x14ac:dyDescent="0.3">
      <c r="B183" s="1"/>
      <c r="D183" s="55"/>
      <c r="W183" s="61"/>
      <c r="X183" s="61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</row>
    <row r="184" spans="2:54" x14ac:dyDescent="0.3">
      <c r="B184" s="1"/>
      <c r="D184" s="55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</row>
    <row r="185" spans="2:54" x14ac:dyDescent="0.3">
      <c r="B185" s="1"/>
      <c r="D185" s="55"/>
    </row>
    <row r="186" spans="2:54" x14ac:dyDescent="0.3">
      <c r="B186" s="1"/>
      <c r="D186" s="55"/>
    </row>
    <row r="187" spans="2:54" x14ac:dyDescent="0.3">
      <c r="B187" s="57" t="e">
        <f>+B186/B185</f>
        <v>#DIV/0!</v>
      </c>
      <c r="D187" s="55"/>
    </row>
    <row r="188" spans="2:54" x14ac:dyDescent="0.3">
      <c r="B188" s="1"/>
      <c r="D188" s="55"/>
    </row>
    <row r="189" spans="2:54" x14ac:dyDescent="0.3">
      <c r="B189" s="1"/>
      <c r="D189" s="55"/>
    </row>
    <row r="190" spans="2:54" x14ac:dyDescent="0.3">
      <c r="B190" s="1">
        <f>+B186*50</f>
        <v>0</v>
      </c>
      <c r="D190" s="55"/>
    </row>
    <row r="191" spans="2:54" x14ac:dyDescent="0.3">
      <c r="B191" s="1"/>
      <c r="D191" s="55"/>
    </row>
    <row r="192" spans="2:54" x14ac:dyDescent="0.3">
      <c r="B192" s="1"/>
      <c r="D192" s="55"/>
    </row>
    <row r="193" spans="2:4" x14ac:dyDescent="0.3">
      <c r="B193" s="1"/>
      <c r="D193" s="55"/>
    </row>
    <row r="194" spans="2:4" x14ac:dyDescent="0.3">
      <c r="B194" s="1"/>
      <c r="D194" s="55"/>
    </row>
    <row r="195" spans="2:4" x14ac:dyDescent="0.3">
      <c r="B195" s="1"/>
      <c r="D195" s="55"/>
    </row>
    <row r="196" spans="2:4" x14ac:dyDescent="0.3">
      <c r="B196" s="1"/>
      <c r="D196" s="55"/>
    </row>
    <row r="197" spans="2:4" x14ac:dyDescent="0.3">
      <c r="B197" s="1"/>
      <c r="D197" s="55"/>
    </row>
    <row r="198" spans="2:4" x14ac:dyDescent="0.3">
      <c r="B198" s="1"/>
      <c r="D198" s="55"/>
    </row>
    <row r="199" spans="2:4" x14ac:dyDescent="0.3">
      <c r="B199" s="1"/>
      <c r="D199" s="55"/>
    </row>
    <row r="200" spans="2:4" x14ac:dyDescent="0.3">
      <c r="B200" s="1"/>
    </row>
    <row r="201" spans="2:4" x14ac:dyDescent="0.3">
      <c r="B201" s="1"/>
    </row>
    <row r="202" spans="2:4" x14ac:dyDescent="0.3">
      <c r="B202" s="1"/>
    </row>
    <row r="203" spans="2:4" x14ac:dyDescent="0.3">
      <c r="B203" s="1"/>
    </row>
    <row r="204" spans="2:4" x14ac:dyDescent="0.3">
      <c r="B204" s="1"/>
    </row>
    <row r="205" spans="2:4" x14ac:dyDescent="0.3">
      <c r="B205" s="1"/>
    </row>
    <row r="206" spans="2:4" x14ac:dyDescent="0.3">
      <c r="B206" s="1"/>
    </row>
    <row r="207" spans="2:4" x14ac:dyDescent="0.3">
      <c r="B207" s="1"/>
    </row>
  </sheetData>
  <mergeCells count="28">
    <mergeCell ref="AJ154:AM154"/>
    <mergeCell ref="AJ155:AL155"/>
    <mergeCell ref="AJ152:AM152"/>
    <mergeCell ref="AJ147:AM147"/>
    <mergeCell ref="AJ146:AU146"/>
    <mergeCell ref="AJ148:AM148"/>
    <mergeCell ref="AJ149:AM149"/>
    <mergeCell ref="AJ150:AM150"/>
    <mergeCell ref="AJ151:AM151"/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50"/>
  <sheetViews>
    <sheetView topLeftCell="A99" workbookViewId="0">
      <selection activeCell="AO25" sqref="AO25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39" t="s">
        <v>7</v>
      </c>
      <c r="F7" s="540"/>
      <c r="G7" s="544">
        <v>0.7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5"/>
    </row>
    <row r="8" spans="3:40" x14ac:dyDescent="0.3">
      <c r="E8" s="541" t="s">
        <v>123</v>
      </c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</row>
    <row r="9" spans="3:40" x14ac:dyDescent="0.3">
      <c r="E9" s="559" t="s">
        <v>37</v>
      </c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1"/>
      <c r="Q9" s="557" t="s">
        <v>116</v>
      </c>
      <c r="R9" s="5"/>
      <c r="S9" s="554" t="s">
        <v>4</v>
      </c>
      <c r="T9" s="555"/>
      <c r="U9" s="556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58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51" t="s">
        <v>48</v>
      </c>
      <c r="AE14" s="552"/>
      <c r="AF14" s="553"/>
      <c r="AG14" s="207"/>
      <c r="AH14" s="549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50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+K138</f>
        <v>623225</v>
      </c>
      <c r="AG16" s="201"/>
      <c r="AH16" s="215">
        <f>+AJ31</f>
        <v>1931.0161335524563</v>
      </c>
      <c r="AI16" s="215"/>
      <c r="AJ16" s="216">
        <f>+S138</f>
        <v>52216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111827</v>
      </c>
      <c r="AG17" s="202"/>
      <c r="AH17" s="163">
        <v>1622</v>
      </c>
      <c r="AI17" s="215"/>
      <c r="AJ17" s="162">
        <v>8330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110330</v>
      </c>
      <c r="AG18" s="202"/>
      <c r="AH18" s="163">
        <v>784</v>
      </c>
      <c r="AI18" s="215"/>
      <c r="AJ18" s="162">
        <v>6911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845382</v>
      </c>
      <c r="AG19" s="202"/>
      <c r="AH19" s="202"/>
      <c r="AI19" s="202"/>
      <c r="AJ19" s="220">
        <f>SUM(AJ16:AJ18)</f>
        <v>67457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Table'!H133</f>
        <v>0.24296195727928546</v>
      </c>
      <c r="AG21" s="202"/>
      <c r="AH21" s="202"/>
      <c r="AI21" s="202"/>
      <c r="AJ21" s="222">
        <f>+AJ19/'Main Table'!Z133</f>
        <v>0.48794548887136791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51" t="s">
        <v>133</v>
      </c>
      <c r="AB25" s="552"/>
      <c r="AC25" s="552"/>
      <c r="AD25" s="552"/>
      <c r="AE25" s="552"/>
      <c r="AF25" s="552"/>
      <c r="AG25" s="552"/>
      <c r="AH25" s="552"/>
      <c r="AI25" s="552"/>
      <c r="AJ25" s="552"/>
      <c r="AK25" s="553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+E138</f>
        <v>401029</v>
      </c>
      <c r="AE27" s="169"/>
      <c r="AF27" s="200">
        <v>2068</v>
      </c>
      <c r="AG27" s="169"/>
      <c r="AH27" s="191">
        <f>+AD27/AD$31</f>
        <v>0.54557908828218959</v>
      </c>
      <c r="AI27" s="191"/>
      <c r="AJ27" s="169">
        <f>+AF27*AH27</f>
        <v>1128.2575545675681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+G138</f>
        <v>174959</v>
      </c>
      <c r="AE28" s="169"/>
      <c r="AF28" s="200">
        <v>1976</v>
      </c>
      <c r="AG28" s="169"/>
      <c r="AH28" s="191">
        <f>+AD28/AD$31</f>
        <v>0.23802261608702513</v>
      </c>
      <c r="AI28" s="191"/>
      <c r="AJ28" s="169">
        <f>+AF28*AH28</f>
        <v>470.33268938796164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+I138</f>
        <v>47237</v>
      </c>
      <c r="AE29" s="169"/>
      <c r="AF29" s="200">
        <v>1333</v>
      </c>
      <c r="AG29" s="169"/>
      <c r="AH29" s="191">
        <f>+AD29/AD$31</f>
        <v>6.4263480678917947E-2</v>
      </c>
      <c r="AI29" s="191"/>
      <c r="AJ29" s="169">
        <f>+AF29*AH29</f>
        <v>85.663219744997619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111827</v>
      </c>
      <c r="AE30" s="281"/>
      <c r="AF30" s="169">
        <f>+AH17</f>
        <v>1622</v>
      </c>
      <c r="AG30" s="281"/>
      <c r="AH30" s="191">
        <f>+AD30/AD$31</f>
        <v>0.15213481495186734</v>
      </c>
      <c r="AI30" s="281"/>
      <c r="AJ30" s="169">
        <f>+AF30*AH30</f>
        <v>246.76266985192882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735052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1931.0161335524563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46" t="s">
        <v>31</v>
      </c>
      <c r="AB36" s="547"/>
      <c r="AC36" s="547"/>
      <c r="AD36" s="547"/>
      <c r="AE36" s="547"/>
      <c r="AF36" s="547"/>
      <c r="AG36" s="547"/>
      <c r="AH36" s="547"/>
      <c r="AI36" s="548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Table'!Z133</f>
        <v>138247</v>
      </c>
      <c r="AJ49" s="56">
        <f>+AJ19</f>
        <v>67457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67457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70790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29731.8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41058.199999999997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0.29699161645460659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36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36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" si="21">SUM(E110:I110)</f>
        <v>608402</v>
      </c>
      <c r="L110" s="6"/>
      <c r="M110" s="475">
        <f t="shared" ref="M110" si="22">+(K110-K109)/K109</f>
        <v>8.8671295999262988E-4</v>
      </c>
      <c r="N110" s="29"/>
      <c r="O110" s="29"/>
      <c r="P110" s="29"/>
      <c r="Q110" s="376">
        <f t="shared" ref="Q110" si="23">+K110-K109</f>
        <v>539</v>
      </c>
      <c r="R110" s="6"/>
      <c r="S110" s="7">
        <f>31368+14984+4311</f>
        <v>50663</v>
      </c>
      <c r="T110" s="6"/>
      <c r="U110" s="287">
        <f t="shared" ref="U110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ref="K111" si="25">SUM(E111:I111)</f>
        <v>610024</v>
      </c>
      <c r="L111" s="6"/>
      <c r="M111" s="482">
        <f t="shared" ref="M111" si="26">+(K111-K110)/K110</f>
        <v>2.6660004404982234E-3</v>
      </c>
      <c r="N111" s="29"/>
      <c r="O111" s="29"/>
      <c r="P111" s="29"/>
      <c r="Q111" s="376">
        <f t="shared" ref="Q111" si="27">+K111-K110</f>
        <v>1622</v>
      </c>
      <c r="R111" s="6"/>
      <c r="S111" s="7">
        <f>31397+14975+4316</f>
        <v>50688</v>
      </c>
      <c r="T111" s="6"/>
      <c r="U111" s="287">
        <f t="shared" ref="U111" si="28">+S111/K111</f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ref="K112" si="29">SUM(E112:I112)</f>
        <v>610703</v>
      </c>
      <c r="L112" s="6"/>
      <c r="M112" s="482">
        <f t="shared" ref="M112" si="30">+(K112-K111)/K111</f>
        <v>1.1130709611425124E-3</v>
      </c>
      <c r="N112" s="29"/>
      <c r="O112" s="29"/>
      <c r="P112" s="29"/>
      <c r="Q112" s="376">
        <f t="shared" ref="Q112" si="31">+K112-K111</f>
        <v>679</v>
      </c>
      <c r="R112" s="6"/>
      <c r="S112" s="7">
        <f>31403+14992+4320</f>
        <v>50715</v>
      </c>
      <c r="T112" s="6"/>
      <c r="U112" s="287">
        <f t="shared" ref="U112" si="32">+S112/K112</f>
        <v>8.3043639870771888E-2</v>
      </c>
      <c r="W112">
        <f t="shared" si="20"/>
        <v>102</v>
      </c>
      <c r="Y112" s="56"/>
    </row>
    <row r="113" spans="3:25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ref="K113" si="33">SUM(E113:I113)</f>
        <v>611345</v>
      </c>
      <c r="L113" s="6"/>
      <c r="M113" s="482">
        <f t="shared" ref="M113" si="34">+(K113-K112)/K112</f>
        <v>1.0512474967373667E-3</v>
      </c>
      <c r="N113" s="29"/>
      <c r="O113" s="29"/>
      <c r="P113" s="29"/>
      <c r="Q113" s="376">
        <f t="shared" ref="Q113" si="35">+K113-K112</f>
        <v>642</v>
      </c>
      <c r="R113" s="6"/>
      <c r="S113" s="7">
        <f>32032+15035+4322</f>
        <v>51389</v>
      </c>
      <c r="T113" s="6"/>
      <c r="U113" s="287">
        <f t="shared" ref="U113" si="36">+S113/K113</f>
        <v>8.4058919268170995E-2</v>
      </c>
      <c r="W113">
        <f t="shared" si="20"/>
        <v>103</v>
      </c>
      <c r="Y113" s="56"/>
    </row>
    <row r="114" spans="3:25" x14ac:dyDescent="0.3">
      <c r="C114" s="171">
        <f t="shared" si="15"/>
        <v>44013</v>
      </c>
      <c r="E114" s="285">
        <v>394079</v>
      </c>
      <c r="F114" s="7"/>
      <c r="G114" s="7">
        <v>171928</v>
      </c>
      <c r="H114" s="7"/>
      <c r="I114" s="7">
        <v>46572</v>
      </c>
      <c r="J114" s="288"/>
      <c r="K114" s="7">
        <f t="shared" ref="K114:K115" si="37">SUM(E114:I114)</f>
        <v>612579</v>
      </c>
      <c r="L114" s="6"/>
      <c r="M114" s="482">
        <f t="shared" ref="M114" si="38">+(K114-K113)/K113</f>
        <v>2.0185001921991675E-3</v>
      </c>
      <c r="N114" s="29"/>
      <c r="O114" s="29"/>
      <c r="P114" s="29"/>
      <c r="Q114" s="376">
        <f t="shared" ref="Q114" si="39">+K114-K113</f>
        <v>1234</v>
      </c>
      <c r="R114" s="6"/>
      <c r="S114" s="7">
        <f>32043+15078+4324</f>
        <v>51445</v>
      </c>
      <c r="T114" s="6"/>
      <c r="U114" s="287">
        <f t="shared" ref="U114" si="40">+S114/K114</f>
        <v>8.3981004898959974E-2</v>
      </c>
      <c r="W114">
        <f t="shared" si="20"/>
        <v>104</v>
      </c>
      <c r="Y114" s="56"/>
    </row>
    <row r="115" spans="3:25" x14ac:dyDescent="0.3">
      <c r="C115" s="171">
        <f t="shared" si="15"/>
        <v>44014</v>
      </c>
      <c r="E115" s="285">
        <v>394954</v>
      </c>
      <c r="F115" s="7"/>
      <c r="G115" s="7">
        <v>172356</v>
      </c>
      <c r="H115" s="7"/>
      <c r="I115" s="7">
        <v>46646</v>
      </c>
      <c r="J115" s="288"/>
      <c r="K115" s="7">
        <f t="shared" si="37"/>
        <v>613956</v>
      </c>
      <c r="L115" s="6"/>
      <c r="M115" s="482">
        <f t="shared" ref="M115" si="41">+(K115-K114)/K114</f>
        <v>2.2478733355208065E-3</v>
      </c>
      <c r="N115" s="29"/>
      <c r="O115" s="29"/>
      <c r="P115" s="29"/>
      <c r="Q115" s="376">
        <f t="shared" ref="Q115" si="42">+K115-K114</f>
        <v>1377</v>
      </c>
      <c r="R115" s="6"/>
      <c r="S115" s="7">
        <f>32064+15107+4328</f>
        <v>51499</v>
      </c>
      <c r="T115" s="6"/>
      <c r="U115" s="287">
        <f t="shared" ref="U115" si="43">+S115/K115</f>
        <v>8.3880603821772245E-2</v>
      </c>
      <c r="W115">
        <f t="shared" si="20"/>
        <v>105</v>
      </c>
      <c r="Y115" s="56"/>
    </row>
    <row r="116" spans="3:25" x14ac:dyDescent="0.3">
      <c r="C116" s="171">
        <f t="shared" si="15"/>
        <v>44015</v>
      </c>
      <c r="E116" s="285">
        <v>395872</v>
      </c>
      <c r="F116" s="7"/>
      <c r="G116" s="7">
        <v>172742</v>
      </c>
      <c r="H116" s="7"/>
      <c r="I116" s="7">
        <v>46717</v>
      </c>
      <c r="J116" s="288"/>
      <c r="K116" s="7">
        <f t="shared" ref="K116" si="44">SUM(E116:I116)</f>
        <v>615331</v>
      </c>
      <c r="L116" s="6"/>
      <c r="M116" s="482">
        <f t="shared" ref="M116" si="45">+(K116-K115)/K115</f>
        <v>2.2395741714389956E-3</v>
      </c>
      <c r="N116" s="29"/>
      <c r="O116" s="29"/>
      <c r="P116" s="29"/>
      <c r="Q116" s="376">
        <f t="shared" ref="Q116" si="46">+K116-K115</f>
        <v>1375</v>
      </c>
      <c r="R116" s="6"/>
      <c r="S116" s="7">
        <f>32081+15164+4335</f>
        <v>51580</v>
      </c>
      <c r="T116" s="6"/>
      <c r="U116" s="287">
        <f t="shared" ref="U116" si="47">+S116/K116</f>
        <v>8.3824803235981932E-2</v>
      </c>
      <c r="W116">
        <f t="shared" si="20"/>
        <v>106</v>
      </c>
      <c r="Y116" s="56"/>
    </row>
    <row r="117" spans="3:25" x14ac:dyDescent="0.3">
      <c r="C117" s="171">
        <f t="shared" si="15"/>
        <v>44016</v>
      </c>
      <c r="E117" s="285">
        <v>395598</v>
      </c>
      <c r="F117" s="7"/>
      <c r="G117" s="7">
        <v>173033</v>
      </c>
      <c r="H117" s="7"/>
      <c r="I117" s="7">
        <v>46717</v>
      </c>
      <c r="J117" s="288"/>
      <c r="K117" s="7">
        <f t="shared" ref="K117" si="48">SUM(E117:I117)</f>
        <v>615348</v>
      </c>
      <c r="L117" s="6"/>
      <c r="M117" s="482">
        <f t="shared" ref="M117" si="49">+(K117-K116)/K116</f>
        <v>2.7627407037838173E-5</v>
      </c>
      <c r="N117" s="29"/>
      <c r="O117" s="29"/>
      <c r="P117" s="29"/>
      <c r="Q117" s="376">
        <f t="shared" ref="Q117" si="50">+K117-K116</f>
        <v>17</v>
      </c>
      <c r="R117" s="6"/>
      <c r="S117" s="7">
        <f>32157+15189+4355</f>
        <v>51701</v>
      </c>
      <c r="T117" s="6"/>
      <c r="U117" s="287">
        <f t="shared" ref="U117" si="51">+S117/K117</f>
        <v>8.4019124137886203E-2</v>
      </c>
      <c r="W117">
        <f t="shared" si="20"/>
        <v>107</v>
      </c>
      <c r="Y117" s="56"/>
    </row>
    <row r="118" spans="3:25" x14ac:dyDescent="0.3">
      <c r="C118" s="171">
        <f t="shared" si="15"/>
        <v>44017</v>
      </c>
      <c r="E118" s="285">
        <v>397131</v>
      </c>
      <c r="F118" s="7"/>
      <c r="G118" s="7">
        <v>173402</v>
      </c>
      <c r="H118" s="7"/>
      <c r="I118" s="7">
        <v>46717</v>
      </c>
      <c r="J118" s="288"/>
      <c r="K118" s="7">
        <f t="shared" ref="K118" si="52">SUM(E118:I118)</f>
        <v>617250</v>
      </c>
      <c r="L118" s="6"/>
      <c r="M118" s="482">
        <f t="shared" ref="M118" si="53">+(K118-K117)/K117</f>
        <v>3.0909339105676787E-3</v>
      </c>
      <c r="N118" s="29"/>
      <c r="O118" s="29"/>
      <c r="P118" s="29"/>
      <c r="Q118" s="376">
        <f t="shared" ref="Q118" si="54">+K118-K117</f>
        <v>1902</v>
      </c>
      <c r="R118" s="6"/>
      <c r="S118" s="7">
        <f>32189+15211+4335</f>
        <v>51735</v>
      </c>
      <c r="T118" s="6"/>
      <c r="U118" s="287">
        <f t="shared" ref="U118" si="55">+S118/K118</f>
        <v>8.3815309842041316E-2</v>
      </c>
      <c r="W118">
        <f t="shared" si="20"/>
        <v>108</v>
      </c>
      <c r="Y118" s="56"/>
    </row>
    <row r="119" spans="3:25" x14ac:dyDescent="0.3">
      <c r="C119" s="171">
        <f t="shared" si="15"/>
        <v>44018</v>
      </c>
      <c r="E119" s="285">
        <v>397649</v>
      </c>
      <c r="F119" s="7"/>
      <c r="G119" s="7">
        <v>173611</v>
      </c>
      <c r="H119" s="7"/>
      <c r="I119" s="7">
        <v>46976</v>
      </c>
      <c r="J119" s="288"/>
      <c r="K119" s="7">
        <f t="shared" ref="K119" si="56">SUM(E119:I119)</f>
        <v>618236</v>
      </c>
      <c r="L119" s="6"/>
      <c r="M119" s="482">
        <f t="shared" ref="M119" si="57">+(K119-K118)/K118</f>
        <v>1.5974078574321588E-3</v>
      </c>
      <c r="N119" s="29"/>
      <c r="O119" s="29"/>
      <c r="P119" s="29"/>
      <c r="Q119" s="376">
        <f t="shared" ref="Q119" si="58">+K119-K118</f>
        <v>986</v>
      </c>
      <c r="R119" s="6"/>
      <c r="S119" s="7">
        <f>32219+15229+4388</f>
        <v>51836</v>
      </c>
      <c r="T119" s="6"/>
      <c r="U119" s="287">
        <f t="shared" ref="U119" si="59">+S119/K119</f>
        <v>8.3845004173163651E-2</v>
      </c>
      <c r="W119">
        <f t="shared" si="20"/>
        <v>109</v>
      </c>
      <c r="Y119" s="56"/>
    </row>
    <row r="120" spans="3:25" x14ac:dyDescent="0.3">
      <c r="C120" s="171">
        <f t="shared" si="15"/>
        <v>44019</v>
      </c>
      <c r="E120" s="285">
        <v>398237</v>
      </c>
      <c r="F120" s="7"/>
      <c r="G120" s="7">
        <v>173878</v>
      </c>
      <c r="H120" s="7"/>
      <c r="I120" s="7">
        <v>47033</v>
      </c>
      <c r="J120" s="288"/>
      <c r="K120" s="7">
        <f t="shared" ref="K120" si="60">SUM(E120:I120)</f>
        <v>619148</v>
      </c>
      <c r="L120" s="6"/>
      <c r="M120" s="482">
        <f t="shared" ref="M120" si="61">+(K120-K119)/K119</f>
        <v>1.4751648237889738E-3</v>
      </c>
      <c r="N120" s="29"/>
      <c r="O120" s="29"/>
      <c r="P120" s="29"/>
      <c r="Q120" s="376">
        <f t="shared" ref="Q120" si="62">+K120-K119</f>
        <v>912</v>
      </c>
      <c r="R120" s="6"/>
      <c r="S120" s="7">
        <f>32243+15281+4338</f>
        <v>51862</v>
      </c>
      <c r="T120" s="6"/>
      <c r="U120" s="287">
        <f t="shared" ref="U120" si="63">+S120/K120</f>
        <v>8.3763494350300741E-2</v>
      </c>
      <c r="W120">
        <f t="shared" si="20"/>
        <v>110</v>
      </c>
      <c r="Y120" s="56"/>
    </row>
    <row r="121" spans="3:25" x14ac:dyDescent="0.3">
      <c r="C121" s="171">
        <f t="shared" si="15"/>
        <v>44020</v>
      </c>
      <c r="E121" s="285">
        <f>398909</f>
        <v>398909</v>
      </c>
      <c r="F121" s="7"/>
      <c r="G121" s="7">
        <v>174039</v>
      </c>
      <c r="H121" s="7"/>
      <c r="I121" s="7">
        <v>47108</v>
      </c>
      <c r="J121" s="288"/>
      <c r="K121" s="7">
        <f t="shared" ref="K121" si="64">SUM(E121:I121)</f>
        <v>620056</v>
      </c>
      <c r="L121" s="6"/>
      <c r="M121" s="482">
        <f t="shared" ref="M121" si="65">+(K121-K120)/K120</f>
        <v>1.4665314270578278E-3</v>
      </c>
      <c r="N121" s="29"/>
      <c r="O121" s="29"/>
      <c r="P121" s="29"/>
      <c r="Q121" s="376">
        <f t="shared" ref="Q121" si="66">+K121-K120</f>
        <v>908</v>
      </c>
      <c r="R121" s="6"/>
      <c r="S121" s="7">
        <f>32251+15332+4343</f>
        <v>51926</v>
      </c>
      <c r="T121" s="6"/>
      <c r="U121" s="287">
        <f t="shared" ref="U121" si="67">+S121/K121</f>
        <v>8.3744048924613262E-2</v>
      </c>
      <c r="W121">
        <f t="shared" si="20"/>
        <v>111</v>
      </c>
      <c r="Y121" s="56"/>
    </row>
    <row r="122" spans="3:25" x14ac:dyDescent="0.3">
      <c r="C122" s="171">
        <f t="shared" si="15"/>
        <v>44021</v>
      </c>
      <c r="E122" s="285">
        <v>399477</v>
      </c>
      <c r="F122" s="7"/>
      <c r="G122" s="7">
        <v>174270</v>
      </c>
      <c r="H122" s="7"/>
      <c r="I122" s="7">
        <v>47209</v>
      </c>
      <c r="J122" s="288"/>
      <c r="K122" s="7">
        <f t="shared" ref="K122" si="68">SUM(E122:I122)</f>
        <v>620956</v>
      </c>
      <c r="L122" s="6"/>
      <c r="M122" s="482">
        <f t="shared" ref="M122" si="69">+(K122-K121)/K121</f>
        <v>1.4514818016437224E-3</v>
      </c>
      <c r="N122" s="29"/>
      <c r="O122" s="29"/>
      <c r="P122" s="29"/>
      <c r="Q122" s="376">
        <f t="shared" ref="Q122" si="70">+K122-K121</f>
        <v>900</v>
      </c>
      <c r="R122" s="6"/>
      <c r="S122" s="7">
        <f>32283+15448+4348</f>
        <v>52079</v>
      </c>
      <c r="T122" s="6"/>
      <c r="U122" s="287">
        <f t="shared" ref="U122" si="71">+S122/K122</f>
        <v>8.3869066407281673E-2</v>
      </c>
      <c r="W122">
        <f t="shared" si="20"/>
        <v>112</v>
      </c>
      <c r="Y122" s="56"/>
    </row>
    <row r="123" spans="3:25" x14ac:dyDescent="0.3">
      <c r="C123" s="171">
        <f t="shared" si="15"/>
        <v>44022</v>
      </c>
      <c r="E123" s="285">
        <v>400299</v>
      </c>
      <c r="F123" s="7"/>
      <c r="G123" s="7">
        <v>174628</v>
      </c>
      <c r="H123" s="7"/>
      <c r="I123" s="7">
        <v>47287</v>
      </c>
      <c r="J123" s="288"/>
      <c r="K123" s="7">
        <f t="shared" ref="K123" si="72">SUM(E123:I123)</f>
        <v>622214</v>
      </c>
      <c r="L123" s="6"/>
      <c r="M123" s="482">
        <f t="shared" ref="M123" si="73">+(K123-K122)/K122</f>
        <v>2.0259084379569566E-3</v>
      </c>
      <c r="N123" s="29"/>
      <c r="O123" s="29"/>
      <c r="P123" s="29"/>
      <c r="Q123" s="376">
        <f t="shared" ref="Q123" si="74">+K123-K122</f>
        <v>1258</v>
      </c>
      <c r="R123" s="6"/>
      <c r="S123" s="7">
        <f>32307+15479+4348</f>
        <v>52134</v>
      </c>
      <c r="T123" s="6"/>
      <c r="U123" s="287">
        <f t="shared" ref="U123" si="75">+S123/K123</f>
        <v>8.378789291144205E-2</v>
      </c>
      <c r="W123">
        <f t="shared" si="20"/>
        <v>113</v>
      </c>
      <c r="Y123" s="56"/>
    </row>
    <row r="124" spans="3:25" x14ac:dyDescent="0.3">
      <c r="C124" s="171">
        <f t="shared" si="15"/>
        <v>44023</v>
      </c>
      <c r="E124" s="285">
        <v>401029</v>
      </c>
      <c r="F124" s="7"/>
      <c r="G124" s="7">
        <v>174959</v>
      </c>
      <c r="H124" s="7"/>
      <c r="I124" s="7">
        <v>47237</v>
      </c>
      <c r="J124" s="288"/>
      <c r="K124" s="7">
        <f t="shared" ref="K124" si="76">SUM(E124:I124)</f>
        <v>623225</v>
      </c>
      <c r="L124" s="6"/>
      <c r="M124" s="482">
        <f t="shared" ref="M124" si="77">+(K124-K123)/K123</f>
        <v>1.6248428997097462E-3</v>
      </c>
      <c r="N124" s="29"/>
      <c r="O124" s="29"/>
      <c r="P124" s="29"/>
      <c r="Q124" s="376">
        <f t="shared" ref="Q124" si="78">+K124-K123</f>
        <v>1011</v>
      </c>
      <c r="R124" s="6"/>
      <c r="S124" s="7">
        <f>32343+15525+4348</f>
        <v>52216</v>
      </c>
      <c r="T124" s="6"/>
      <c r="U124" s="287">
        <f t="shared" ref="U124" si="79">+S124/K124</f>
        <v>8.3783545268562715E-2</v>
      </c>
      <c r="W124">
        <f t="shared" si="20"/>
        <v>114</v>
      </c>
      <c r="Y124" s="56"/>
    </row>
    <row r="125" spans="3:25" x14ac:dyDescent="0.3">
      <c r="C125" s="171">
        <f t="shared" si="15"/>
        <v>44024</v>
      </c>
      <c r="E125" s="285">
        <v>401556</v>
      </c>
      <c r="F125" s="7"/>
      <c r="G125" s="7">
        <v>175298</v>
      </c>
      <c r="H125" s="7"/>
      <c r="I125" s="7">
        <v>47287</v>
      </c>
      <c r="J125" s="288"/>
      <c r="K125" s="7">
        <f t="shared" ref="K125" si="80">SUM(E125:I125)</f>
        <v>624141</v>
      </c>
      <c r="L125" s="6"/>
      <c r="M125" s="482">
        <f t="shared" ref="M125" si="81">+(K125-K124)/K124</f>
        <v>1.4697741586104536E-3</v>
      </c>
      <c r="N125" s="29"/>
      <c r="O125" s="29"/>
      <c r="P125" s="29"/>
      <c r="Q125" s="376">
        <f t="shared" ref="Q125" si="82">+K125-K124</f>
        <v>916</v>
      </c>
      <c r="R125" s="6"/>
      <c r="S125" s="7">
        <f>32350+15525+4348</f>
        <v>52223</v>
      </c>
      <c r="T125" s="6"/>
      <c r="U125" s="287">
        <f t="shared" ref="U125" si="83">+S125/K125</f>
        <v>8.3671798519885737E-2</v>
      </c>
      <c r="W125">
        <f t="shared" si="20"/>
        <v>115</v>
      </c>
      <c r="Y125" s="56"/>
    </row>
    <row r="126" spans="3:25" x14ac:dyDescent="0.3">
      <c r="C126" s="171">
        <f t="shared" si="15"/>
        <v>44025</v>
      </c>
      <c r="E126" s="285">
        <v>402263</v>
      </c>
      <c r="F126" s="7"/>
      <c r="G126" s="7">
        <v>175522</v>
      </c>
      <c r="H126" s="7"/>
      <c r="I126" s="7">
        <v>47510</v>
      </c>
      <c r="J126" s="288"/>
      <c r="K126" s="7">
        <f t="shared" ref="K126" si="84">SUM(E126:I126)</f>
        <v>625295</v>
      </c>
      <c r="L126" s="6"/>
      <c r="M126" s="482">
        <f t="shared" ref="M126" si="85">+(K126-K125)/K125</f>
        <v>1.8489411847643401E-3</v>
      </c>
      <c r="N126" s="29"/>
      <c r="O126" s="29"/>
      <c r="P126" s="29"/>
      <c r="Q126" s="376">
        <f t="shared" ref="Q126" si="86">+K126-K125</f>
        <v>1154</v>
      </c>
      <c r="R126" s="6"/>
      <c r="S126" s="7">
        <f>32395+15560+4371</f>
        <v>52326</v>
      </c>
      <c r="T126" s="6"/>
      <c r="U126" s="287">
        <f t="shared" ref="U126" si="87">+S126/K126</f>
        <v>8.3682102047833426E-2</v>
      </c>
      <c r="W126">
        <f t="shared" si="20"/>
        <v>116</v>
      </c>
      <c r="Y126" s="56"/>
    </row>
    <row r="127" spans="3:25" x14ac:dyDescent="0.3">
      <c r="C127" s="171">
        <f t="shared" si="15"/>
        <v>44026</v>
      </c>
      <c r="E127" s="285"/>
      <c r="F127" s="7"/>
      <c r="G127" s="7"/>
      <c r="H127" s="7"/>
      <c r="I127" s="7"/>
      <c r="J127" s="288"/>
      <c r="K127" s="7"/>
      <c r="L127" s="6"/>
      <c r="M127" s="482"/>
      <c r="N127" s="29"/>
      <c r="O127" s="29"/>
      <c r="P127" s="29"/>
      <c r="Q127" s="376"/>
      <c r="R127" s="6"/>
      <c r="S127" s="7"/>
      <c r="T127" s="6"/>
      <c r="U127" s="287"/>
      <c r="W127">
        <f t="shared" si="20"/>
        <v>117</v>
      </c>
      <c r="Y127" s="56"/>
    </row>
    <row r="128" spans="3:25" x14ac:dyDescent="0.3">
      <c r="C128" s="171">
        <f t="shared" si="15"/>
        <v>44027</v>
      </c>
      <c r="E128" s="285"/>
      <c r="F128" s="7"/>
      <c r="G128" s="7"/>
      <c r="H128" s="7"/>
      <c r="I128" s="7"/>
      <c r="J128" s="288"/>
      <c r="K128" s="7"/>
      <c r="L128" s="6"/>
      <c r="M128" s="482"/>
      <c r="N128" s="29"/>
      <c r="O128" s="29"/>
      <c r="P128" s="29"/>
      <c r="Q128" s="376"/>
      <c r="R128" s="6"/>
      <c r="S128" s="7"/>
      <c r="T128" s="6"/>
      <c r="U128" s="287"/>
      <c r="W128">
        <f t="shared" si="20"/>
        <v>118</v>
      </c>
      <c r="Y128" s="56"/>
    </row>
    <row r="129" spans="3:25" x14ac:dyDescent="0.3">
      <c r="C129" s="171">
        <f t="shared" si="15"/>
        <v>44028</v>
      </c>
      <c r="E129" s="285"/>
      <c r="F129" s="7"/>
      <c r="G129" s="7"/>
      <c r="H129" s="7"/>
      <c r="I129" s="7"/>
      <c r="J129" s="288"/>
      <c r="K129" s="7"/>
      <c r="L129" s="6"/>
      <c r="M129" s="482"/>
      <c r="N129" s="29"/>
      <c r="O129" s="29"/>
      <c r="P129" s="29"/>
      <c r="Q129" s="376"/>
      <c r="R129" s="6"/>
      <c r="S129" s="7"/>
      <c r="T129" s="6"/>
      <c r="U129" s="287"/>
      <c r="W129">
        <f t="shared" si="20"/>
        <v>119</v>
      </c>
      <c r="Y129" s="56"/>
    </row>
    <row r="130" spans="3:25" x14ac:dyDescent="0.3">
      <c r="C130" s="171">
        <f t="shared" si="15"/>
        <v>44029</v>
      </c>
      <c r="E130" s="285"/>
      <c r="F130" s="7"/>
      <c r="G130" s="7"/>
      <c r="H130" s="7"/>
      <c r="I130" s="7"/>
      <c r="J130" s="288"/>
      <c r="K130" s="7"/>
      <c r="L130" s="6"/>
      <c r="M130" s="482"/>
      <c r="N130" s="29"/>
      <c r="O130" s="29"/>
      <c r="P130" s="29"/>
      <c r="Q130" s="376"/>
      <c r="R130" s="6"/>
      <c r="S130" s="7"/>
      <c r="T130" s="6"/>
      <c r="U130" s="287"/>
      <c r="W130">
        <f t="shared" si="20"/>
        <v>120</v>
      </c>
      <c r="Y130" s="56"/>
    </row>
    <row r="131" spans="3:25" x14ac:dyDescent="0.3">
      <c r="C131" s="171">
        <f t="shared" si="15"/>
        <v>44030</v>
      </c>
      <c r="E131" s="285"/>
      <c r="F131" s="7"/>
      <c r="G131" s="7"/>
      <c r="H131" s="7"/>
      <c r="I131" s="7"/>
      <c r="J131" s="288"/>
      <c r="K131" s="7"/>
      <c r="L131" s="6"/>
      <c r="M131" s="482"/>
      <c r="N131" s="29"/>
      <c r="O131" s="29"/>
      <c r="P131" s="29"/>
      <c r="Q131" s="376"/>
      <c r="R131" s="6"/>
      <c r="S131" s="7"/>
      <c r="T131" s="6"/>
      <c r="U131" s="287"/>
      <c r="W131">
        <f t="shared" si="20"/>
        <v>121</v>
      </c>
      <c r="Y131" s="56"/>
    </row>
    <row r="132" spans="3:25" x14ac:dyDescent="0.3">
      <c r="C132" s="171">
        <f t="shared" si="15"/>
        <v>44031</v>
      </c>
      <c r="E132" s="285"/>
      <c r="F132" s="7"/>
      <c r="G132" s="7"/>
      <c r="H132" s="7"/>
      <c r="I132" s="7"/>
      <c r="J132" s="288"/>
      <c r="K132" s="7"/>
      <c r="L132" s="6"/>
      <c r="M132" s="482"/>
      <c r="N132" s="29"/>
      <c r="O132" s="29"/>
      <c r="P132" s="29"/>
      <c r="Q132" s="376"/>
      <c r="R132" s="6"/>
      <c r="S132" s="7"/>
      <c r="T132" s="6"/>
      <c r="U132" s="287"/>
      <c r="W132">
        <f t="shared" si="20"/>
        <v>122</v>
      </c>
      <c r="Y132" s="56"/>
    </row>
    <row r="133" spans="3:25" x14ac:dyDescent="0.3">
      <c r="C133" s="171">
        <f t="shared" si="15"/>
        <v>44032</v>
      </c>
      <c r="E133" s="285"/>
      <c r="F133" s="7"/>
      <c r="G133" s="7"/>
      <c r="H133" s="7"/>
      <c r="I133" s="7"/>
      <c r="J133" s="288"/>
      <c r="K133" s="7"/>
      <c r="L133" s="6"/>
      <c r="M133" s="482"/>
      <c r="N133" s="29"/>
      <c r="O133" s="29"/>
      <c r="P133" s="29"/>
      <c r="Q133" s="376"/>
      <c r="R133" s="6"/>
      <c r="S133" s="7"/>
      <c r="T133" s="6"/>
      <c r="U133" s="287"/>
      <c r="W133">
        <f t="shared" si="20"/>
        <v>123</v>
      </c>
      <c r="Y133" s="56"/>
    </row>
    <row r="134" spans="3:25" x14ac:dyDescent="0.3">
      <c r="C134" s="171">
        <f t="shared" si="15"/>
        <v>44033</v>
      </c>
      <c r="E134" s="285"/>
      <c r="F134" s="7"/>
      <c r="G134" s="7"/>
      <c r="H134" s="7"/>
      <c r="I134" s="7"/>
      <c r="J134" s="288"/>
      <c r="K134" s="7"/>
      <c r="L134" s="6"/>
      <c r="M134" s="482"/>
      <c r="N134" s="29"/>
      <c r="O134" s="29"/>
      <c r="P134" s="29"/>
      <c r="Q134" s="376"/>
      <c r="R134" s="6"/>
      <c r="S134" s="7"/>
      <c r="T134" s="6"/>
      <c r="U134" s="287"/>
      <c r="W134">
        <f t="shared" si="20"/>
        <v>124</v>
      </c>
      <c r="Y134" s="56"/>
    </row>
    <row r="135" spans="3:25" x14ac:dyDescent="0.3">
      <c r="C135" s="171">
        <f t="shared" si="15"/>
        <v>44034</v>
      </c>
      <c r="E135" s="285"/>
      <c r="F135" s="7"/>
      <c r="G135" s="7"/>
      <c r="H135" s="7"/>
      <c r="I135" s="7"/>
      <c r="J135" s="288"/>
      <c r="K135" s="7"/>
      <c r="L135" s="6"/>
      <c r="M135" s="475"/>
      <c r="N135" s="29"/>
      <c r="O135" s="29"/>
      <c r="P135" s="29"/>
      <c r="Q135" s="376"/>
      <c r="R135" s="6"/>
      <c r="S135" s="7"/>
      <c r="T135" s="6"/>
      <c r="U135" s="287"/>
      <c r="W135">
        <f t="shared" si="20"/>
        <v>125</v>
      </c>
      <c r="Y135" s="56"/>
    </row>
    <row r="136" spans="3:25" ht="15" thickBot="1" x14ac:dyDescent="0.35">
      <c r="C136" s="171">
        <f t="shared" si="15"/>
        <v>44035</v>
      </c>
      <c r="E136" s="289"/>
      <c r="F136" s="290"/>
      <c r="G136" s="290"/>
      <c r="H136" s="290"/>
      <c r="I136" s="290"/>
      <c r="J136" s="290"/>
      <c r="K136" s="290"/>
      <c r="L136" s="291"/>
      <c r="M136" s="292"/>
      <c r="N136" s="292"/>
      <c r="O136" s="292"/>
      <c r="P136" s="292"/>
      <c r="Q136" s="375"/>
      <c r="R136" s="291"/>
      <c r="S136" s="291"/>
      <c r="T136" s="291"/>
      <c r="U136" s="293"/>
      <c r="W136">
        <f t="shared" si="20"/>
        <v>126</v>
      </c>
      <c r="Y136" s="59"/>
    </row>
    <row r="137" spans="3:25" x14ac:dyDescent="0.3">
      <c r="E137" s="56"/>
      <c r="F137" s="1"/>
      <c r="G137" s="56"/>
      <c r="H137" s="56"/>
      <c r="I137" s="56"/>
      <c r="J137" s="1"/>
      <c r="K137" s="56"/>
      <c r="S137" s="56"/>
    </row>
    <row r="138" spans="3:25" x14ac:dyDescent="0.3">
      <c r="C138" s="180" t="s">
        <v>81</v>
      </c>
      <c r="E138" s="56">
        <f>+E124</f>
        <v>401029</v>
      </c>
      <c r="F138" s="56">
        <f>+F52</f>
        <v>0</v>
      </c>
      <c r="G138" s="56">
        <f t="shared" ref="G138:S138" si="88">+G124</f>
        <v>174959</v>
      </c>
      <c r="H138" s="56">
        <f t="shared" si="88"/>
        <v>0</v>
      </c>
      <c r="I138" s="56">
        <f t="shared" si="88"/>
        <v>47237</v>
      </c>
      <c r="J138" s="56">
        <f t="shared" si="88"/>
        <v>0</v>
      </c>
      <c r="K138" s="56">
        <f t="shared" si="88"/>
        <v>623225</v>
      </c>
      <c r="L138" s="56">
        <f t="shared" si="88"/>
        <v>0</v>
      </c>
      <c r="M138" s="56">
        <f t="shared" si="88"/>
        <v>1.6248428997097462E-3</v>
      </c>
      <c r="N138" s="56">
        <f t="shared" si="88"/>
        <v>0</v>
      </c>
      <c r="O138" s="56">
        <f t="shared" si="88"/>
        <v>0</v>
      </c>
      <c r="P138" s="56">
        <f t="shared" si="88"/>
        <v>0</v>
      </c>
      <c r="Q138" s="56">
        <f t="shared" si="88"/>
        <v>1011</v>
      </c>
      <c r="R138" s="56">
        <f t="shared" si="88"/>
        <v>0</v>
      </c>
      <c r="S138" s="56">
        <f t="shared" si="88"/>
        <v>52216</v>
      </c>
      <c r="T138" s="56">
        <f>+T60</f>
        <v>0</v>
      </c>
    </row>
    <row r="139" spans="3:25" x14ac:dyDescent="0.3">
      <c r="E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</row>
    <row r="140" spans="3:25" x14ac:dyDescent="0.3">
      <c r="E140" s="59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</row>
    <row r="141" spans="3:25" x14ac:dyDescent="0.3">
      <c r="C141" s="123"/>
      <c r="D141" s="124"/>
      <c r="E141" s="393"/>
      <c r="F141" s="10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</row>
    <row r="142" spans="3:25" x14ac:dyDescent="0.3">
      <c r="E142" s="56"/>
      <c r="K142" s="56"/>
      <c r="Q142" s="56"/>
    </row>
    <row r="143" spans="3:25" x14ac:dyDescent="0.3">
      <c r="Q143" s="56"/>
      <c r="S143" s="59"/>
    </row>
    <row r="146" spans="3:41" x14ac:dyDescent="0.3">
      <c r="AO146" s="1">
        <v>3797000</v>
      </c>
    </row>
    <row r="147" spans="3:41" x14ac:dyDescent="0.3">
      <c r="C147" s="1"/>
    </row>
    <row r="148" spans="3:41" x14ac:dyDescent="0.3">
      <c r="C148" s="1"/>
      <c r="AO148" s="1">
        <v>30000</v>
      </c>
    </row>
    <row r="149" spans="3:41" x14ac:dyDescent="0.3">
      <c r="C149" s="59"/>
    </row>
    <row r="150" spans="3:41" x14ac:dyDescent="0.3">
      <c r="AO150" s="278">
        <f>+AO148/AO146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85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15" t="s">
        <v>114</v>
      </c>
      <c r="U3" s="616"/>
      <c r="V3" s="616"/>
      <c r="W3" s="616"/>
      <c r="X3" s="616"/>
      <c r="Y3" s="616"/>
      <c r="Z3" s="616"/>
      <c r="AA3" s="616"/>
      <c r="AB3" s="616"/>
      <c r="AC3" s="616"/>
      <c r="AD3" s="617"/>
    </row>
    <row r="4" spans="2:30" ht="15.6" x14ac:dyDescent="0.3">
      <c r="B4" s="257"/>
      <c r="C4" s="257"/>
      <c r="D4" s="167"/>
      <c r="T4" s="498"/>
      <c r="U4" s="499" t="s">
        <v>78</v>
      </c>
      <c r="V4" s="500"/>
      <c r="W4" s="499" t="s">
        <v>106</v>
      </c>
      <c r="X4" s="501"/>
      <c r="Y4" s="499" t="s">
        <v>107</v>
      </c>
      <c r="Z4" s="501"/>
      <c r="AA4" s="499" t="s">
        <v>73</v>
      </c>
      <c r="AB4" s="500"/>
      <c r="AC4" s="502" t="s">
        <v>15</v>
      </c>
      <c r="AD4" s="503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0.20591191277554741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18" t="s">
        <v>104</v>
      </c>
      <c r="F15" s="618"/>
      <c r="G15" s="618"/>
      <c r="H15" s="618"/>
      <c r="I15" s="618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24" t="s">
        <v>46</v>
      </c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27" t="s">
        <v>75</v>
      </c>
      <c r="F19" s="627"/>
      <c r="G19" s="627"/>
      <c r="H19" s="627"/>
      <c r="I19" s="147" t="s">
        <v>74</v>
      </c>
      <c r="J19" s="148"/>
      <c r="K19" s="632" t="s">
        <v>72</v>
      </c>
      <c r="L19" s="632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Table'!H113</f>
        <v>2778950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Table'!Z133</f>
        <v>138247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15934</v>
      </c>
      <c r="J22" s="129"/>
      <c r="K22" s="140"/>
      <c r="L22" s="282">
        <v>15822</v>
      </c>
      <c r="M22" s="140"/>
      <c r="N22" s="160">
        <f>+(I22-L22)/I22</f>
        <v>7.0289946027362873E-3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2624769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Table'!AO133</f>
        <v>1549469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28" t="s">
        <v>49</v>
      </c>
      <c r="E25" s="629"/>
      <c r="F25" s="629"/>
      <c r="G25" s="629"/>
      <c r="H25" s="629"/>
      <c r="I25" s="132">
        <f>+I23-I24</f>
        <v>1075300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1549469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28" t="s">
        <v>46</v>
      </c>
      <c r="E27" s="629"/>
      <c r="F27" s="629"/>
      <c r="G27" s="629"/>
      <c r="H27" s="629"/>
      <c r="I27" s="149">
        <f>+I25+I26</f>
        <v>2624769</v>
      </c>
      <c r="J27" s="129"/>
      <c r="K27" s="633">
        <v>2574901</v>
      </c>
      <c r="L27" s="633"/>
      <c r="M27" s="140"/>
      <c r="N27" s="150">
        <f>+I27-K27</f>
        <v>49868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30" t="s">
        <v>69</v>
      </c>
      <c r="F28" s="630"/>
      <c r="G28" s="630"/>
      <c r="H28" s="137"/>
      <c r="I28" s="275">
        <f>+I27/I32</f>
        <v>0.75435603507762505</v>
      </c>
      <c r="J28" s="140"/>
      <c r="K28" s="140"/>
      <c r="L28" s="140"/>
      <c r="M28" s="110"/>
      <c r="N28" s="507">
        <f>+N27/K27</f>
        <v>1.9366958185965209E-2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09" t="s">
        <v>114</v>
      </c>
      <c r="F31" s="610"/>
      <c r="G31" s="610"/>
      <c r="H31" s="610"/>
      <c r="I31" s="610"/>
      <c r="J31" s="611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04">
        <f>+'Main Table'!H133</f>
        <v>3479483</v>
      </c>
      <c r="J32" s="604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05">
        <f>+I27</f>
        <v>2624769</v>
      </c>
      <c r="J34" s="606"/>
      <c r="K34" s="22"/>
      <c r="L34" s="25">
        <f>+I34/$I$32</f>
        <v>0.75435603507762505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12">
        <f>+I21</f>
        <v>138247</v>
      </c>
      <c r="J35" s="613"/>
      <c r="K35" s="22"/>
      <c r="L35" s="25">
        <f>+I35/$I$32</f>
        <v>3.9732052146827561E-2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31" t="s">
        <v>114</v>
      </c>
      <c r="F36" s="631"/>
      <c r="G36" s="631"/>
      <c r="H36" s="276"/>
      <c r="I36" s="607">
        <f>+I32-I34-I35</f>
        <v>716467</v>
      </c>
      <c r="J36" s="608"/>
      <c r="K36" s="303"/>
      <c r="L36" s="277">
        <f>+I36/$I$32</f>
        <v>0.20591191277554741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19" t="s">
        <v>127</v>
      </c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1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22" t="s">
        <v>75</v>
      </c>
      <c r="F42" s="622"/>
      <c r="G42" s="622"/>
      <c r="H42" s="622"/>
      <c r="I42" s="304" t="s">
        <v>74</v>
      </c>
      <c r="J42" s="305"/>
      <c r="K42" s="623" t="s">
        <v>37</v>
      </c>
      <c r="L42" s="623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Table'!AO151</f>
        <v>1356158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588" t="s">
        <v>49</v>
      </c>
      <c r="E48" s="589"/>
      <c r="F48" s="589"/>
      <c r="G48" s="589"/>
      <c r="H48" s="589"/>
      <c r="I48" s="313">
        <f>+I46-I47</f>
        <v>-1333986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1356158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588" t="s">
        <v>46</v>
      </c>
      <c r="E50" s="589"/>
      <c r="F50" s="589"/>
      <c r="G50" s="589"/>
      <c r="H50" s="589"/>
      <c r="I50" s="384">
        <f>+I48+I49</f>
        <v>22172</v>
      </c>
      <c r="J50" s="380"/>
      <c r="K50" s="590">
        <v>30167</v>
      </c>
      <c r="L50" s="590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591" t="s">
        <v>69</v>
      </c>
      <c r="F51" s="591"/>
      <c r="G51" s="591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88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592" t="s">
        <v>128</v>
      </c>
      <c r="F54" s="593"/>
      <c r="G54" s="593"/>
      <c r="H54" s="593"/>
      <c r="I54" s="593"/>
      <c r="J54" s="594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595">
        <f>+K50</f>
        <v>30167</v>
      </c>
      <c r="J55" s="595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596">
        <f>+I50</f>
        <v>22172</v>
      </c>
      <c r="J57" s="597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598">
        <f>+I44</f>
        <v>1836</v>
      </c>
      <c r="J58" s="599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00" t="s">
        <v>114</v>
      </c>
      <c r="F59" s="600"/>
      <c r="G59" s="600"/>
      <c r="H59" s="311"/>
      <c r="I59" s="601">
        <f>+I55-I57-I58</f>
        <v>6159</v>
      </c>
      <c r="J59" s="602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03">
        <f>+I45</f>
        <v>1397</v>
      </c>
      <c r="J60" s="603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01">
        <f>+I59-I60</f>
        <v>4762</v>
      </c>
      <c r="J61" s="601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592" t="s">
        <v>117</v>
      </c>
      <c r="F64" s="593"/>
      <c r="G64" s="593"/>
      <c r="H64" s="593"/>
      <c r="I64" s="593"/>
      <c r="J64" s="593"/>
      <c r="K64" s="593"/>
      <c r="L64" s="593"/>
      <c r="M64" s="594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587">
        <v>11690000</v>
      </c>
      <c r="J65" s="587"/>
      <c r="K65" s="587"/>
      <c r="L65" s="587"/>
      <c r="M65" s="367"/>
      <c r="P65" s="57"/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ref="AA65" si="6">+W64-W65</f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ref="AA66" si="7">+W65-W66</f>
        <v>-18187</v>
      </c>
      <c r="AB66" s="6"/>
      <c r="AC66" s="302"/>
      <c r="AD66" s="295"/>
    </row>
    <row r="67" spans="4:30" x14ac:dyDescent="0.3">
      <c r="E67" s="366"/>
      <c r="F67" s="614" t="s">
        <v>108</v>
      </c>
      <c r="G67" s="614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v>477287</v>
      </c>
      <c r="X67" s="6"/>
      <c r="Y67" s="44">
        <v>0.17499999999999999</v>
      </c>
      <c r="Z67" s="6"/>
      <c r="AA67" s="298">
        <f t="shared" ref="AA67" si="8">+W66-W67</f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>
        <v>494808</v>
      </c>
      <c r="X68" s="6"/>
      <c r="Y68" s="44">
        <v>0.17799999999999999</v>
      </c>
      <c r="Z68" s="6"/>
      <c r="AA68" s="298">
        <f t="shared" ref="AA68" si="9">+W67-W68</f>
        <v>-17521</v>
      </c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>
        <v>518711</v>
      </c>
      <c r="X69" s="6"/>
      <c r="Y69" s="44">
        <v>0.183</v>
      </c>
      <c r="Z69" s="6"/>
      <c r="AA69" s="298">
        <f t="shared" ref="AA69" si="10">+W68-W69</f>
        <v>-23903</v>
      </c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>
        <v>537924</v>
      </c>
      <c r="X70" s="6"/>
      <c r="Y70" s="44">
        <v>0.187</v>
      </c>
      <c r="Z70" s="6"/>
      <c r="AA70" s="298">
        <f t="shared" ref="AA70" si="11">+W69-W70</f>
        <v>-19213</v>
      </c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>
        <v>561332</v>
      </c>
      <c r="X71" s="6"/>
      <c r="Y71" s="44">
        <v>0.191</v>
      </c>
      <c r="Z71" s="6"/>
      <c r="AA71" s="298">
        <f t="shared" ref="AA71" si="12">+W70-W71</f>
        <v>-23408</v>
      </c>
      <c r="AB71" s="6"/>
      <c r="AC71" s="302"/>
      <c r="AD71" s="295"/>
    </row>
    <row r="72" spans="4:30" ht="15" thickBot="1" x14ac:dyDescent="0.35">
      <c r="D72" s="562" t="s">
        <v>131</v>
      </c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4"/>
      <c r="T72" s="294"/>
      <c r="U72" s="296">
        <f t="shared" si="3"/>
        <v>44017</v>
      </c>
      <c r="V72" s="6"/>
      <c r="W72" s="297">
        <v>569824</v>
      </c>
      <c r="X72" s="6"/>
      <c r="Y72" s="44">
        <v>0.191</v>
      </c>
      <c r="Z72" s="6"/>
      <c r="AA72" s="298">
        <f t="shared" ref="AA72" si="13">+W71-W72</f>
        <v>-8492</v>
      </c>
      <c r="AB72" s="6"/>
      <c r="AC72" s="302"/>
      <c r="AD72" s="295"/>
    </row>
    <row r="73" spans="4:30" ht="15" thickBot="1" x14ac:dyDescent="0.35">
      <c r="D73" s="398"/>
      <c r="E73" s="565" t="s">
        <v>75</v>
      </c>
      <c r="F73" s="565"/>
      <c r="G73" s="565"/>
      <c r="H73" s="565"/>
      <c r="I73" s="399" t="s">
        <v>74</v>
      </c>
      <c r="J73" s="400"/>
      <c r="K73" s="566" t="s">
        <v>37</v>
      </c>
      <c r="L73" s="566"/>
      <c r="M73" s="401"/>
      <c r="N73" s="402" t="s">
        <v>73</v>
      </c>
      <c r="O73" s="403"/>
      <c r="T73" s="294"/>
      <c r="U73" s="296">
        <f t="shared" si="3"/>
        <v>44018</v>
      </c>
      <c r="V73" s="6"/>
      <c r="W73" s="297">
        <v>581179</v>
      </c>
      <c r="X73" s="6"/>
      <c r="Y73" s="44">
        <v>0.192</v>
      </c>
      <c r="Z73" s="6"/>
      <c r="AA73" s="298">
        <f t="shared" ref="AA73" si="14">+W72-W73</f>
        <v>-11355</v>
      </c>
      <c r="AB73" s="6"/>
      <c r="AC73" s="302"/>
      <c r="AD73" s="295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  <c r="T74" s="294"/>
      <c r="U74" s="296">
        <f t="shared" si="3"/>
        <v>44019</v>
      </c>
      <c r="V74" s="6"/>
      <c r="W74" s="297">
        <v>606840</v>
      </c>
      <c r="X74" s="6"/>
      <c r="Y74" s="44">
        <v>0.19600000000000001</v>
      </c>
      <c r="Z74" s="6"/>
      <c r="AA74" s="298">
        <f t="shared" ref="AA74" si="15">+W73-W74</f>
        <v>-25661</v>
      </c>
      <c r="AB74" s="6"/>
      <c r="AC74" s="302"/>
      <c r="AD74" s="295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  <c r="T75" s="294"/>
      <c r="U75" s="296">
        <f t="shared" si="3"/>
        <v>44020</v>
      </c>
      <c r="V75" s="6"/>
      <c r="W75" s="297">
        <v>621347</v>
      </c>
      <c r="X75" s="6"/>
      <c r="Y75" s="44">
        <v>0.19700000000000001</v>
      </c>
      <c r="Z75" s="6"/>
      <c r="AA75" s="298">
        <f t="shared" ref="AA75" si="16">+W74-W75</f>
        <v>-14507</v>
      </c>
      <c r="AB75" s="6"/>
      <c r="AC75" s="302"/>
      <c r="AD75" s="295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  <c r="T76" s="294"/>
      <c r="U76" s="296">
        <f t="shared" si="3"/>
        <v>44021</v>
      </c>
      <c r="V76" s="6"/>
      <c r="W76" s="297">
        <v>639107</v>
      </c>
      <c r="X76" s="6"/>
      <c r="Y76" s="44">
        <v>0.19800000000000001</v>
      </c>
      <c r="Z76" s="6"/>
      <c r="AA76" s="298">
        <f t="shared" ref="AA76" si="17">+W75-W76</f>
        <v>-17760</v>
      </c>
      <c r="AB76" s="6"/>
      <c r="AC76" s="302"/>
      <c r="AD76" s="295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  <c r="T77" s="294"/>
      <c r="U77" s="296">
        <f t="shared" si="3"/>
        <v>44022</v>
      </c>
      <c r="V77" s="6"/>
      <c r="W77" s="297">
        <v>670486</v>
      </c>
      <c r="X77" s="6"/>
      <c r="Y77" s="44">
        <v>0.20399999999999999</v>
      </c>
      <c r="Z77" s="6"/>
      <c r="AA77" s="298">
        <f t="shared" ref="AA77" si="18">+W76-W77</f>
        <v>-31379</v>
      </c>
      <c r="AB77" s="6"/>
      <c r="AC77" s="302"/>
      <c r="AD77" s="295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Table'!AO185</f>
        <v>0</v>
      </c>
      <c r="J78" s="407"/>
      <c r="K78" s="408"/>
      <c r="L78" s="408"/>
      <c r="M78" s="408"/>
      <c r="N78" s="408"/>
      <c r="O78" s="409"/>
      <c r="T78" s="294"/>
      <c r="U78" s="296">
        <f t="shared" si="3"/>
        <v>44023</v>
      </c>
      <c r="V78" s="6"/>
      <c r="W78" s="297">
        <v>687513</v>
      </c>
      <c r="X78" s="6"/>
      <c r="Y78" s="44">
        <v>0.20499999999999999</v>
      </c>
      <c r="Z78" s="6"/>
      <c r="AA78" s="298">
        <f t="shared" ref="AA78" si="19">+W77-W78</f>
        <v>-17027</v>
      </c>
      <c r="AB78" s="6"/>
      <c r="AC78" s="302"/>
      <c r="AD78" s="295"/>
    </row>
    <row r="79" spans="4:30" x14ac:dyDescent="0.3">
      <c r="D79" s="567" t="s">
        <v>49</v>
      </c>
      <c r="E79" s="568"/>
      <c r="F79" s="568"/>
      <c r="G79" s="568"/>
      <c r="H79" s="568"/>
      <c r="I79" s="413">
        <f>+I77-I78</f>
        <v>36684</v>
      </c>
      <c r="J79" s="407"/>
      <c r="K79" s="408"/>
      <c r="L79" s="408"/>
      <c r="M79" s="408"/>
      <c r="N79" s="408"/>
      <c r="O79" s="409"/>
      <c r="T79" s="294"/>
      <c r="U79" s="296">
        <f t="shared" si="3"/>
        <v>44024</v>
      </c>
      <c r="V79" s="6"/>
      <c r="W79" s="297">
        <v>699823</v>
      </c>
      <c r="X79" s="6"/>
      <c r="Y79" s="44">
        <v>0.20499999999999999</v>
      </c>
      <c r="Z79" s="6"/>
      <c r="AA79" s="298">
        <f t="shared" ref="AA79" si="20">+W78-W79</f>
        <v>-12310</v>
      </c>
      <c r="AB79" s="6"/>
      <c r="AC79" s="302"/>
      <c r="AD79" s="295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  <c r="T80" s="294"/>
      <c r="U80" s="296">
        <f t="shared" si="3"/>
        <v>44025</v>
      </c>
      <c r="V80" s="6"/>
      <c r="W80" s="297">
        <f>+I$36</f>
        <v>716467</v>
      </c>
      <c r="X80" s="6"/>
      <c r="Y80" s="44">
        <f>+L$36</f>
        <v>0.20591191277554741</v>
      </c>
      <c r="Z80" s="6"/>
      <c r="AA80" s="298">
        <f t="shared" ref="AA80" si="21">+W79-W80</f>
        <v>-16644</v>
      </c>
      <c r="AB80" s="6"/>
      <c r="AC80" s="302"/>
      <c r="AD80" s="295"/>
    </row>
    <row r="81" spans="4:36" ht="15" thickBot="1" x14ac:dyDescent="0.35">
      <c r="D81" s="567" t="s">
        <v>46</v>
      </c>
      <c r="E81" s="568"/>
      <c r="F81" s="568"/>
      <c r="G81" s="568"/>
      <c r="H81" s="568"/>
      <c r="I81" s="414">
        <f>+I79+I80</f>
        <v>36684</v>
      </c>
      <c r="J81" s="407"/>
      <c r="K81" s="570">
        <v>48675</v>
      </c>
      <c r="L81" s="570"/>
      <c r="M81" s="408"/>
      <c r="N81" s="415">
        <f>+K81-I81</f>
        <v>11991</v>
      </c>
      <c r="O81" s="409"/>
      <c r="S81" s="57"/>
      <c r="T81" s="294"/>
      <c r="U81" s="296">
        <f t="shared" si="3"/>
        <v>44026</v>
      </c>
      <c r="V81" s="6"/>
      <c r="W81" s="297"/>
      <c r="X81" s="6"/>
      <c r="Y81" s="44"/>
      <c r="Z81" s="6"/>
      <c r="AA81" s="298"/>
      <c r="AB81" s="6"/>
      <c r="AC81" s="302"/>
      <c r="AD81" s="295"/>
    </row>
    <row r="82" spans="4:36" ht="15.6" thickTop="1" thickBot="1" x14ac:dyDescent="0.35">
      <c r="D82" s="416"/>
      <c r="E82" s="569" t="s">
        <v>69</v>
      </c>
      <c r="F82" s="569"/>
      <c r="G82" s="569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  <c r="T82" s="294"/>
      <c r="U82" s="296">
        <f t="shared" si="3"/>
        <v>44027</v>
      </c>
      <c r="V82" s="6"/>
      <c r="W82" s="297"/>
      <c r="X82" s="6"/>
      <c r="Y82" s="44"/>
      <c r="Z82" s="6"/>
      <c r="AA82" s="298"/>
      <c r="AB82" s="6"/>
      <c r="AC82" s="302"/>
      <c r="AD82" s="295"/>
    </row>
    <row r="83" spans="4:36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  <c r="T83" s="294"/>
      <c r="U83" s="296">
        <f t="shared" si="3"/>
        <v>44028</v>
      </c>
      <c r="V83" s="6"/>
      <c r="W83" s="297"/>
      <c r="X83" s="6"/>
      <c r="Y83" s="44"/>
      <c r="Z83" s="6"/>
      <c r="AA83" s="298"/>
      <c r="AB83" s="6"/>
      <c r="AC83" s="302"/>
      <c r="AD83" s="295"/>
    </row>
    <row r="84" spans="4:36" ht="15" thickBot="1" x14ac:dyDescent="0.35">
      <c r="D84" s="90"/>
      <c r="E84" s="152"/>
      <c r="F84" s="152"/>
      <c r="G84" s="152"/>
      <c r="H84" s="152"/>
      <c r="I84" s="354"/>
      <c r="J84" s="90"/>
      <c r="K84" s="110"/>
      <c r="L84" s="110"/>
      <c r="M84" s="360"/>
      <c r="N84" s="110"/>
      <c r="O84" s="110"/>
      <c r="T84" s="294"/>
      <c r="U84" s="296">
        <f t="shared" si="3"/>
        <v>44029</v>
      </c>
      <c r="V84" s="6"/>
      <c r="W84" s="297"/>
      <c r="X84" s="6"/>
      <c r="Y84" s="44"/>
      <c r="Z84" s="6"/>
      <c r="AA84" s="298"/>
      <c r="AB84" s="6"/>
      <c r="AC84" s="302"/>
      <c r="AD84" s="295"/>
    </row>
    <row r="85" spans="4:36" ht="16.2" thickBot="1" x14ac:dyDescent="0.35">
      <c r="D85" s="425"/>
      <c r="E85" s="571" t="s">
        <v>132</v>
      </c>
      <c r="F85" s="572"/>
      <c r="G85" s="572"/>
      <c r="H85" s="572"/>
      <c r="I85" s="572"/>
      <c r="J85" s="573"/>
      <c r="K85" s="426"/>
      <c r="L85" s="438" t="s">
        <v>10</v>
      </c>
      <c r="M85" s="427"/>
      <c r="N85" s="110"/>
      <c r="O85" s="110"/>
      <c r="T85" s="294"/>
      <c r="U85" s="296">
        <f t="shared" si="3"/>
        <v>44030</v>
      </c>
      <c r="V85" s="6"/>
      <c r="W85" s="297"/>
      <c r="X85" s="6"/>
      <c r="Y85" s="44"/>
      <c r="Z85" s="6"/>
      <c r="AA85" s="298"/>
      <c r="AB85" s="6"/>
      <c r="AC85" s="302"/>
      <c r="AD85" s="295"/>
    </row>
    <row r="86" spans="4:36" x14ac:dyDescent="0.3">
      <c r="D86" s="404"/>
      <c r="E86" s="428" t="s">
        <v>88</v>
      </c>
      <c r="F86" s="16"/>
      <c r="G86" s="16"/>
      <c r="H86" s="16"/>
      <c r="I86" s="574">
        <f>+K81</f>
        <v>48675</v>
      </c>
      <c r="J86" s="574"/>
      <c r="K86" s="16"/>
      <c r="L86" s="60">
        <f>+I86/$I$86</f>
        <v>1</v>
      </c>
      <c r="M86" s="429"/>
      <c r="N86" s="110"/>
      <c r="O86" s="110"/>
      <c r="T86" s="294"/>
      <c r="U86" s="296">
        <f t="shared" si="3"/>
        <v>44031</v>
      </c>
      <c r="V86" s="6"/>
      <c r="W86" s="297"/>
      <c r="X86" s="6"/>
      <c r="Y86" s="44"/>
      <c r="Z86" s="6"/>
      <c r="AA86" s="298"/>
      <c r="AB86" s="6"/>
      <c r="AC86" s="302"/>
      <c r="AD86" s="295"/>
    </row>
    <row r="87" spans="4:36" x14ac:dyDescent="0.3">
      <c r="D87" s="404"/>
      <c r="E87" s="428"/>
      <c r="F87" s="16"/>
      <c r="G87" s="16"/>
      <c r="H87" s="16"/>
      <c r="I87" s="16"/>
      <c r="J87" s="16"/>
      <c r="K87" s="16"/>
      <c r="L87" s="16"/>
      <c r="M87" s="429"/>
      <c r="N87" s="110"/>
      <c r="O87" s="110"/>
      <c r="T87" s="294"/>
      <c r="U87" s="296">
        <f t="shared" si="3"/>
        <v>44032</v>
      </c>
      <c r="V87" s="6"/>
      <c r="W87" s="297"/>
      <c r="X87" s="6"/>
      <c r="Y87" s="44"/>
      <c r="Z87" s="6"/>
      <c r="AA87" s="298"/>
      <c r="AB87" s="6"/>
      <c r="AC87" s="302"/>
      <c r="AD87" s="295"/>
    </row>
    <row r="88" spans="4:36" ht="15" thickBot="1" x14ac:dyDescent="0.35">
      <c r="D88" s="416"/>
      <c r="E88" s="15"/>
      <c r="F88" s="430" t="s">
        <v>113</v>
      </c>
      <c r="G88" s="430"/>
      <c r="H88" s="15"/>
      <c r="I88" s="575">
        <f>+I81</f>
        <v>36684</v>
      </c>
      <c r="J88" s="576"/>
      <c r="K88" s="15"/>
      <c r="L88" s="60">
        <f>+I88/$I$86</f>
        <v>0.75365177195685673</v>
      </c>
      <c r="M88" s="409"/>
      <c r="N88" s="110"/>
      <c r="O88" s="110"/>
      <c r="T88" s="299"/>
      <c r="U88" s="394">
        <f t="shared" si="3"/>
        <v>44033</v>
      </c>
      <c r="V88" s="291"/>
      <c r="W88" s="395"/>
      <c r="X88" s="291"/>
      <c r="Y88" s="300"/>
      <c r="Z88" s="291"/>
      <c r="AA88" s="396"/>
      <c r="AB88" s="291"/>
      <c r="AC88" s="397"/>
      <c r="AD88" s="301"/>
    </row>
    <row r="89" spans="4:36" x14ac:dyDescent="0.3">
      <c r="D89" s="416"/>
      <c r="E89" s="15"/>
      <c r="F89" s="15" t="s">
        <v>89</v>
      </c>
      <c r="G89" s="15"/>
      <c r="H89" s="15"/>
      <c r="I89" s="577">
        <f>+I75</f>
        <v>2144</v>
      </c>
      <c r="J89" s="578"/>
      <c r="K89" s="15"/>
      <c r="L89" s="60">
        <f>+I89/$I$86</f>
        <v>4.4047252182845401E-2</v>
      </c>
      <c r="M89" s="409"/>
      <c r="N89" s="110"/>
      <c r="O89" s="110"/>
    </row>
    <row r="90" spans="4:36" ht="15" thickBot="1" x14ac:dyDescent="0.35">
      <c r="D90" s="416"/>
      <c r="E90" s="580" t="s">
        <v>114</v>
      </c>
      <c r="F90" s="580"/>
      <c r="G90" s="580"/>
      <c r="H90" s="15"/>
      <c r="I90" s="581">
        <f>+I86-I88-I89</f>
        <v>9847</v>
      </c>
      <c r="J90" s="582"/>
      <c r="K90" s="431"/>
      <c r="L90" s="432">
        <f>+I90/$I$86</f>
        <v>0.20230097586029788</v>
      </c>
      <c r="M90" s="409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6"/>
      <c r="E91" s="433"/>
      <c r="F91" s="433"/>
      <c r="G91" s="433"/>
      <c r="H91" s="15"/>
      <c r="I91" s="434"/>
      <c r="J91" s="433"/>
      <c r="K91" s="431"/>
      <c r="L91" s="435"/>
      <c r="M91" s="409"/>
      <c r="N91" s="110"/>
      <c r="O91" s="110"/>
    </row>
    <row r="92" spans="4:36" ht="15" thickBot="1" x14ac:dyDescent="0.35">
      <c r="D92" s="436"/>
      <c r="E92" s="437"/>
      <c r="F92" s="437"/>
      <c r="G92" s="437"/>
      <c r="H92" s="437"/>
      <c r="I92" s="437"/>
      <c r="J92" s="437"/>
      <c r="K92" s="437"/>
      <c r="L92" s="437"/>
      <c r="M92" s="424"/>
      <c r="N92" s="110"/>
      <c r="O92" s="110"/>
    </row>
    <row r="93" spans="4:36" ht="15.6" thickTop="1" thickBot="1" x14ac:dyDescent="0.35">
      <c r="Q93" s="485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7"/>
    </row>
    <row r="94" spans="4:36" ht="15" thickBot="1" x14ac:dyDescent="0.35">
      <c r="E94" s="583" t="s">
        <v>119</v>
      </c>
      <c r="F94" s="584"/>
      <c r="G94" s="584"/>
      <c r="H94" s="584"/>
      <c r="I94" s="584"/>
      <c r="J94" s="584"/>
      <c r="K94" s="584"/>
      <c r="L94" s="584"/>
      <c r="M94" s="585"/>
      <c r="Q94" s="488"/>
      <c r="R94" s="6"/>
      <c r="S94" s="6"/>
      <c r="T94" s="6"/>
      <c r="U94" s="5" t="s">
        <v>146</v>
      </c>
      <c r="V94" s="5"/>
      <c r="W94" s="5"/>
      <c r="X94" s="5"/>
      <c r="Y94" s="5"/>
      <c r="Z94" s="5"/>
      <c r="AA94" s="5" t="s">
        <v>30</v>
      </c>
      <c r="AB94" s="489"/>
    </row>
    <row r="95" spans="4:36" x14ac:dyDescent="0.3">
      <c r="E95" s="439"/>
      <c r="F95" s="440" t="s">
        <v>120</v>
      </c>
      <c r="G95" s="440"/>
      <c r="H95" s="440"/>
      <c r="I95" s="586">
        <v>21477737</v>
      </c>
      <c r="J95" s="586"/>
      <c r="K95" s="586"/>
      <c r="L95" s="586"/>
      <c r="M95" s="441"/>
      <c r="Q95" s="488"/>
      <c r="R95" s="481" t="s">
        <v>148</v>
      </c>
      <c r="S95" s="6"/>
      <c r="T95" s="6"/>
      <c r="U95" s="481" t="s">
        <v>147</v>
      </c>
      <c r="V95" s="5"/>
      <c r="W95" s="481" t="s">
        <v>20</v>
      </c>
      <c r="X95" s="5"/>
      <c r="Y95" s="481" t="s">
        <v>4</v>
      </c>
      <c r="Z95" s="5"/>
      <c r="AA95" s="490" t="s">
        <v>145</v>
      </c>
      <c r="AB95" s="489"/>
    </row>
    <row r="96" spans="4:36" x14ac:dyDescent="0.3">
      <c r="E96" s="439"/>
      <c r="F96" s="440" t="s">
        <v>110</v>
      </c>
      <c r="G96" s="440"/>
      <c r="H96" s="440"/>
      <c r="I96" s="440"/>
      <c r="J96" s="440"/>
      <c r="K96" s="440"/>
      <c r="L96" s="442">
        <f>+I90/I95</f>
        <v>4.5847474526762295E-4</v>
      </c>
      <c r="M96" s="441"/>
      <c r="Q96" s="488"/>
      <c r="R96" s="6" t="s">
        <v>135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7">
        <f>+AJ96</f>
        <v>19500</v>
      </c>
      <c r="AB96" s="489"/>
      <c r="AJ96" s="1">
        <v>19500</v>
      </c>
    </row>
    <row r="97" spans="5:36" x14ac:dyDescent="0.3">
      <c r="E97" s="439"/>
      <c r="F97" s="579" t="s">
        <v>108</v>
      </c>
      <c r="G97" s="579"/>
      <c r="H97" s="440"/>
      <c r="I97" s="440"/>
      <c r="J97" s="440"/>
      <c r="K97" s="440"/>
      <c r="L97" s="443">
        <f>+I90/(I95/100000)</f>
        <v>45.847474526762298</v>
      </c>
      <c r="M97" s="441"/>
      <c r="Q97" s="488"/>
      <c r="R97" s="6" t="s">
        <v>136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7">
        <f t="shared" ref="AA97:AA105" si="22">+AJ97</f>
        <v>8900</v>
      </c>
      <c r="AB97" s="489"/>
      <c r="AJ97" s="1">
        <v>8900</v>
      </c>
    </row>
    <row r="98" spans="5:36" x14ac:dyDescent="0.3">
      <c r="E98" s="439"/>
      <c r="F98" s="444"/>
      <c r="G98" s="444"/>
      <c r="H98" s="440"/>
      <c r="I98" s="440"/>
      <c r="J98" s="440"/>
      <c r="K98" s="440"/>
      <c r="L98" s="443"/>
      <c r="M98" s="441"/>
      <c r="Q98" s="488"/>
      <c r="R98" s="6" t="s">
        <v>137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7">
        <f t="shared" si="22"/>
        <v>1100</v>
      </c>
      <c r="AB98" s="489"/>
      <c r="AJ98" s="1">
        <v>1100</v>
      </c>
    </row>
    <row r="99" spans="5:36" x14ac:dyDescent="0.3">
      <c r="E99" s="439"/>
      <c r="F99" s="444" t="s">
        <v>121</v>
      </c>
      <c r="G99" s="444"/>
      <c r="H99" s="579" t="s">
        <v>122</v>
      </c>
      <c r="I99" s="579"/>
      <c r="J99" s="440"/>
      <c r="K99" s="440"/>
      <c r="L99" s="443"/>
      <c r="M99" s="441"/>
      <c r="Q99" s="488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7">
        <f t="shared" si="22"/>
        <v>7000</v>
      </c>
      <c r="AB99" s="489"/>
      <c r="AJ99" s="1">
        <v>7000</v>
      </c>
    </row>
    <row r="100" spans="5:36" ht="15" thickBot="1" x14ac:dyDescent="0.35">
      <c r="E100" s="445"/>
      <c r="F100" s="446"/>
      <c r="G100" s="446"/>
      <c r="H100" s="446"/>
      <c r="I100" s="446"/>
      <c r="J100" s="446"/>
      <c r="K100" s="446"/>
      <c r="L100" s="446"/>
      <c r="M100" s="447"/>
      <c r="Q100" s="488"/>
      <c r="R100" s="6" t="s">
        <v>142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7">
        <f t="shared" si="22"/>
        <v>700</v>
      </c>
      <c r="AB100" s="489"/>
      <c r="AJ100" s="1">
        <v>700</v>
      </c>
    </row>
    <row r="101" spans="5:36" x14ac:dyDescent="0.3">
      <c r="Q101" s="488"/>
      <c r="R101" s="6" t="s">
        <v>138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7">
        <f t="shared" si="22"/>
        <v>3600</v>
      </c>
      <c r="AB101" s="489"/>
      <c r="AJ101" s="1">
        <v>3600</v>
      </c>
    </row>
    <row r="102" spans="5:36" x14ac:dyDescent="0.3">
      <c r="Q102" s="488"/>
      <c r="R102" s="6" t="s">
        <v>143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7">
        <f t="shared" si="22"/>
        <v>4600</v>
      </c>
      <c r="AB102" s="489"/>
      <c r="AJ102" s="1">
        <v>4600</v>
      </c>
    </row>
    <row r="103" spans="5:36" x14ac:dyDescent="0.3">
      <c r="Q103" s="488"/>
      <c r="R103" s="6" t="s">
        <v>139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7">
        <f t="shared" si="22"/>
        <v>980</v>
      </c>
      <c r="AB103" s="489"/>
      <c r="AJ103" s="1">
        <v>980</v>
      </c>
    </row>
    <row r="104" spans="5:36" x14ac:dyDescent="0.3">
      <c r="Q104" s="488"/>
      <c r="R104" s="6" t="s">
        <v>140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7">
        <f t="shared" si="22"/>
        <v>12700</v>
      </c>
      <c r="AB104" s="489"/>
      <c r="AJ104" s="1">
        <v>12700</v>
      </c>
    </row>
    <row r="105" spans="5:36" x14ac:dyDescent="0.3">
      <c r="Q105" s="488"/>
      <c r="R105" s="6" t="s">
        <v>141</v>
      </c>
      <c r="S105" s="6"/>
      <c r="T105" s="6"/>
      <c r="U105" s="491">
        <v>1081</v>
      </c>
      <c r="V105" s="6"/>
      <c r="W105" s="491">
        <v>65337</v>
      </c>
      <c r="X105" s="6"/>
      <c r="Y105" s="491">
        <v>3108</v>
      </c>
      <c r="Z105" s="6"/>
      <c r="AA105" s="492">
        <f t="shared" si="22"/>
        <v>6100</v>
      </c>
      <c r="AB105" s="489"/>
      <c r="AJ105" s="483">
        <v>6100</v>
      </c>
    </row>
    <row r="106" spans="5:36" x14ac:dyDescent="0.3">
      <c r="Q106" s="488"/>
      <c r="R106" s="5" t="s">
        <v>33</v>
      </c>
      <c r="S106" s="6"/>
      <c r="T106" s="6"/>
      <c r="U106" s="297">
        <f>+W106/(AA106/100)</f>
        <v>1545.0521632402579</v>
      </c>
      <c r="V106" s="6"/>
      <c r="W106" s="297">
        <f>SUM(W96:W105)</f>
        <v>1007065</v>
      </c>
      <c r="X106" s="6"/>
      <c r="Y106" s="297">
        <f>SUM(Y96:Y105)</f>
        <v>71545</v>
      </c>
      <c r="Z106" s="6"/>
      <c r="AA106" s="297">
        <f>SUM(AA96:AA105)</f>
        <v>65180</v>
      </c>
      <c r="AB106" s="489"/>
      <c r="AJ106" s="56">
        <f>SUM(AJ96:AJ105)</f>
        <v>65180</v>
      </c>
    </row>
    <row r="107" spans="5:36" x14ac:dyDescent="0.3">
      <c r="Q107" s="488"/>
      <c r="R107" s="5"/>
      <c r="S107" s="6"/>
      <c r="T107" s="6"/>
      <c r="U107" s="6"/>
      <c r="V107" s="6"/>
      <c r="W107" s="297"/>
      <c r="X107" s="6"/>
      <c r="Y107" s="297"/>
      <c r="Z107" s="6"/>
      <c r="AA107" s="6"/>
      <c r="AB107" s="489"/>
      <c r="AJ107" s="56"/>
    </row>
    <row r="108" spans="5:36" x14ac:dyDescent="0.3">
      <c r="Q108" s="488"/>
      <c r="R108" s="5" t="s">
        <v>59</v>
      </c>
      <c r="S108" s="6"/>
      <c r="T108" s="6"/>
      <c r="U108" s="7">
        <v>7441</v>
      </c>
      <c r="V108" s="6"/>
      <c r="W108" s="7">
        <f>+'Main Table'!H106</f>
        <v>2465403</v>
      </c>
      <c r="X108" s="6"/>
      <c r="Y108" s="7">
        <f>+'Main Table'!Z106</f>
        <v>126977</v>
      </c>
      <c r="Z108" s="6"/>
      <c r="AA108" s="297">
        <v>331000</v>
      </c>
      <c r="AB108" s="489"/>
      <c r="AJ108" s="56">
        <v>333000</v>
      </c>
    </row>
    <row r="109" spans="5:36" ht="15" thickBot="1" x14ac:dyDescent="0.35">
      <c r="Q109" s="488"/>
      <c r="R109" s="5" t="s">
        <v>144</v>
      </c>
      <c r="S109" s="6"/>
      <c r="T109" s="6"/>
      <c r="U109" s="493"/>
      <c r="V109" s="6"/>
      <c r="W109" s="494">
        <f>+W106/W108</f>
        <v>0.40847885720914595</v>
      </c>
      <c r="X109" s="6"/>
      <c r="Y109" s="494">
        <f>+Y106/Y108</f>
        <v>0.56344849854698098</v>
      </c>
      <c r="Z109" s="6"/>
      <c r="AA109" s="494">
        <f>+AA106/AA108</f>
        <v>0.19691842900302114</v>
      </c>
      <c r="AB109" s="489"/>
      <c r="AJ109" s="484">
        <f>+AJ106/AJ108</f>
        <v>0.19573573573573574</v>
      </c>
    </row>
    <row r="110" spans="5:36" ht="15.6" thickTop="1" thickBot="1" x14ac:dyDescent="0.35">
      <c r="Q110" s="495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7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27" t="s">
        <v>5</v>
      </c>
      <c r="C1" s="527"/>
      <c r="D1" s="527"/>
    </row>
    <row r="2" spans="2:31" ht="15.6" x14ac:dyDescent="0.3">
      <c r="B2" s="527" t="s">
        <v>6</v>
      </c>
      <c r="C2" s="527"/>
      <c r="D2" s="527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35" t="s">
        <v>23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7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Table'!J133</f>
        <v>1.9182219071791261E-2</v>
      </c>
      <c r="U14" s="230"/>
      <c r="V14" s="1"/>
      <c r="X14" s="234"/>
      <c r="Y14" s="634" t="s">
        <v>62</v>
      </c>
      <c r="Z14" s="634"/>
      <c r="AA14" s="634"/>
      <c r="AB14" s="634"/>
      <c r="AC14" s="634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87073.832886398479</v>
      </c>
      <c r="Q15" s="81"/>
      <c r="R15" s="81"/>
      <c r="S15" s="81"/>
      <c r="T15" s="82">
        <f t="shared" ref="T15:T59" si="5">+T14</f>
        <v>1.9182219071791261E-2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88744.102224245915</v>
      </c>
      <c r="Q16" s="81"/>
      <c r="R16" s="81"/>
      <c r="S16" s="81"/>
      <c r="T16" s="82">
        <f t="shared" si="5"/>
        <v>1.9182219071791261E-2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90446.411034440825</v>
      </c>
      <c r="Q17" s="81"/>
      <c r="R17" s="81"/>
      <c r="S17" s="81"/>
      <c r="T17" s="82">
        <f t="shared" si="5"/>
        <v>1.9182219071791261E-2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92181.373905160741</v>
      </c>
      <c r="Q18" s="81"/>
      <c r="R18" s="81"/>
      <c r="S18" s="81"/>
      <c r="T18" s="82">
        <f t="shared" si="5"/>
        <v>1.9182219071791261E-2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93949.617213748235</v>
      </c>
      <c r="Q19" s="81"/>
      <c r="R19" s="81"/>
      <c r="S19" s="81"/>
      <c r="T19" s="82">
        <f t="shared" si="5"/>
        <v>1.9182219071791261E-2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95751.779352853278</v>
      </c>
      <c r="Q20" s="81"/>
      <c r="R20" s="81"/>
      <c r="S20" s="81"/>
      <c r="T20" s="82">
        <f t="shared" si="5"/>
        <v>1.9182219071791261E-2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97588.510960913525</v>
      </c>
      <c r="Q21" s="81"/>
      <c r="R21" s="81"/>
      <c r="S21" s="81"/>
      <c r="T21" s="82">
        <f t="shared" si="5"/>
        <v>1.9182219071791261E-2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99460.475157055669</v>
      </c>
      <c r="Q22" s="81"/>
      <c r="R22" s="81"/>
      <c r="S22" s="81"/>
      <c r="T22" s="82">
        <f t="shared" si="5"/>
        <v>1.9182219071791261E-2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101368.34778050275</v>
      </c>
      <c r="Q23" s="81"/>
      <c r="R23" s="81"/>
      <c r="S23" s="81"/>
      <c r="T23" s="82">
        <f t="shared" si="5"/>
        <v>1.9182219071791261E-2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103312.81763457388</v>
      </c>
      <c r="Q24" s="81"/>
      <c r="R24" s="81"/>
      <c r="S24" s="81"/>
      <c r="T24" s="82">
        <f t="shared" si="5"/>
        <v>1.9182219071791261E-2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105294.58673536428</v>
      </c>
      <c r="Q25" s="81"/>
      <c r="R25" s="81"/>
      <c r="S25" s="81"/>
      <c r="T25" s="82">
        <f t="shared" si="5"/>
        <v>1.9182219071791261E-2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107314.37056519576</v>
      </c>
      <c r="Q26" s="81"/>
      <c r="R26" s="81"/>
      <c r="S26" s="81"/>
      <c r="T26" s="82">
        <f t="shared" si="5"/>
        <v>1.9182219071791261E-2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109372.89833092873</v>
      </c>
      <c r="Q27" s="81"/>
      <c r="R27" s="81"/>
      <c r="S27" s="81"/>
      <c r="T27" s="82">
        <f t="shared" si="5"/>
        <v>1.9182219071791261E-2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111470.91322722935</v>
      </c>
      <c r="Q28" s="81"/>
      <c r="R28" s="81"/>
      <c r="S28" s="81"/>
      <c r="T28" s="82">
        <f t="shared" si="5"/>
        <v>1.9182219071791261E-2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113609.17270488669</v>
      </c>
      <c r="Q29" s="81"/>
      <c r="R29" s="81"/>
      <c r="S29" s="81"/>
      <c r="T29" s="82">
        <f t="shared" si="5"/>
        <v>1.9182219071791261E-2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115788.44874427679</v>
      </c>
      <c r="Q30" s="81"/>
      <c r="R30" s="81"/>
      <c r="S30" s="81"/>
      <c r="T30" s="82">
        <f t="shared" si="5"/>
        <v>1.9182219071791261E-2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118009.52813407237</v>
      </c>
      <c r="Q31" s="81"/>
      <c r="R31" s="81"/>
      <c r="S31" s="81"/>
      <c r="T31" s="82">
        <f t="shared" si="5"/>
        <v>1.9182219071791261E-2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120273.21275529885</v>
      </c>
      <c r="Q32" s="81"/>
      <c r="R32" s="81"/>
      <c r="S32" s="81"/>
      <c r="T32" s="82">
        <f t="shared" si="5"/>
        <v>1.9182219071791261E-2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122580.31987083914</v>
      </c>
      <c r="Q33" s="81"/>
      <c r="R33" s="81"/>
      <c r="S33" s="81"/>
      <c r="T33" s="82">
        <f t="shared" si="5"/>
        <v>1.9182219071791261E-2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124931.68242049182</v>
      </c>
      <c r="Q34" s="81"/>
      <c r="R34" s="81"/>
      <c r="S34" s="81"/>
      <c r="T34" s="82">
        <f t="shared" si="5"/>
        <v>1.9182219071791261E-2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127328.14932168914</v>
      </c>
      <c r="Q35" s="81"/>
      <c r="R35" s="81"/>
      <c r="S35" s="81"/>
      <c r="T35" s="82">
        <f t="shared" si="5"/>
        <v>1.9182219071791261E-2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129770.58577598352</v>
      </c>
      <c r="Q36" s="81"/>
      <c r="R36" s="81"/>
      <c r="S36" s="81"/>
      <c r="T36" s="82">
        <f t="shared" si="5"/>
        <v>1.9182219071791261E-2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132259.87358141309</v>
      </c>
      <c r="Q37" s="81"/>
      <c r="R37" s="81"/>
      <c r="S37" s="81"/>
      <c r="T37" s="82">
        <f t="shared" si="5"/>
        <v>1.9182219071791261E-2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134796.91145085916</v>
      </c>
      <c r="Q38" s="81"/>
      <c r="R38" s="81"/>
      <c r="S38" s="81"/>
      <c r="T38" s="82">
        <f t="shared" si="5"/>
        <v>1.9182219071791261E-2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137382.61533651038</v>
      </c>
      <c r="Q39" s="81"/>
      <c r="R39" s="81"/>
      <c r="S39" s="81"/>
      <c r="T39" s="82">
        <f t="shared" si="5"/>
        <v>1.9182219071791261E-2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140017.91876055094</v>
      </c>
      <c r="Q40" s="81"/>
      <c r="R40" s="81"/>
      <c r="S40" s="81"/>
      <c r="T40" s="82">
        <f t="shared" si="5"/>
        <v>1.9182219071791261E-2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142703.77315219209</v>
      </c>
      <c r="Q41" s="81"/>
      <c r="R41" s="81"/>
      <c r="S41" s="81"/>
      <c r="T41" s="82">
        <f t="shared" si="5"/>
        <v>1.9182219071791261E-2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145441.14819116864</v>
      </c>
      <c r="Q42" s="81"/>
      <c r="R42" s="81"/>
      <c r="S42" s="81"/>
      <c r="T42" s="82">
        <f t="shared" si="5"/>
        <v>1.9182219071791261E-2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148231.03215782449</v>
      </c>
      <c r="Q43" s="81"/>
      <c r="R43" s="81"/>
      <c r="S43" s="81"/>
      <c r="T43" s="82">
        <f t="shared" si="5"/>
        <v>1.9182219071791261E-2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151074.43228991362</v>
      </c>
      <c r="Q44" s="81"/>
      <c r="R44" s="81"/>
      <c r="S44" s="81"/>
      <c r="T44" s="82">
        <f t="shared" si="5"/>
        <v>1.9182219071791261E-2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153972.37514624523</v>
      </c>
      <c r="Q45" s="81"/>
      <c r="R45" s="81"/>
      <c r="S45" s="81"/>
      <c r="T45" s="82">
        <f t="shared" si="5"/>
        <v>1.9182219071791261E-2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156925.90697730452</v>
      </c>
      <c r="Q46" s="81"/>
      <c r="R46" s="81"/>
      <c r="S46" s="81"/>
      <c r="T46" s="82">
        <f t="shared" si="5"/>
        <v>1.9182219071791261E-2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159936.09410298269</v>
      </c>
      <c r="Q47" s="81"/>
      <c r="R47" s="81"/>
      <c r="S47" s="81"/>
      <c r="T47" s="82">
        <f t="shared" si="5"/>
        <v>1.9182219071791261E-2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163004.02329755272</v>
      </c>
      <c r="Q48" s="81"/>
      <c r="R48" s="81"/>
      <c r="S48" s="81"/>
      <c r="T48" s="82">
        <f t="shared" si="5"/>
        <v>1.9182219071791261E-2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166130.80218202973</v>
      </c>
      <c r="Q49" s="81"/>
      <c r="R49" s="81"/>
      <c r="S49" s="81"/>
      <c r="T49" s="82">
        <f t="shared" si="5"/>
        <v>1.9182219071791261E-2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169317.55962405782</v>
      </c>
      <c r="Q50" s="81"/>
      <c r="R50" s="81"/>
      <c r="S50" s="81"/>
      <c r="T50" s="82">
        <f t="shared" si="5"/>
        <v>1.9182219071791261E-2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172565.44614546755</v>
      </c>
      <c r="Q51" s="81"/>
      <c r="R51" s="81"/>
      <c r="S51" s="81"/>
      <c r="T51" s="82">
        <f t="shared" si="5"/>
        <v>1.9182219071791261E-2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175875.63433765128</v>
      </c>
      <c r="Q52" s="81"/>
      <c r="R52" s="81"/>
      <c r="S52" s="81"/>
      <c r="T52" s="82">
        <f t="shared" si="5"/>
        <v>1.9182219071791261E-2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179249.31928490635</v>
      </c>
      <c r="Q53" s="81"/>
      <c r="R53" s="81"/>
      <c r="S53" s="81"/>
      <c r="T53" s="82">
        <f t="shared" si="5"/>
        <v>1.9182219071791261E-2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182687.71899589887</v>
      </c>
      <c r="Q54" s="81"/>
      <c r="R54" s="81"/>
      <c r="S54" s="81"/>
      <c r="T54" s="82">
        <f t="shared" si="5"/>
        <v>1.9182219071791261E-2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186192.07484340403</v>
      </c>
      <c r="Q55" s="81"/>
      <c r="R55" s="81"/>
      <c r="S55" s="81"/>
      <c r="T55" s="82">
        <f t="shared" si="5"/>
        <v>1.9182219071791261E-2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189763.65201248156</v>
      </c>
      <c r="Q56" s="81"/>
      <c r="R56" s="81"/>
      <c r="S56" s="81"/>
      <c r="T56" s="82">
        <f t="shared" si="5"/>
        <v>1.9182219071791261E-2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193403.73995724812</v>
      </c>
      <c r="Q57" s="81"/>
      <c r="R57" s="81"/>
      <c r="S57" s="81"/>
      <c r="T57" s="82">
        <f t="shared" si="5"/>
        <v>1.9182219071791261E-2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197113.65286641178</v>
      </c>
      <c r="Q58" s="81"/>
      <c r="R58" s="81"/>
      <c r="S58" s="81"/>
      <c r="T58" s="82">
        <f t="shared" si="5"/>
        <v>1.9182219071791261E-2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200894.7301377363</v>
      </c>
      <c r="Q59" s="81"/>
      <c r="R59" s="81"/>
      <c r="S59" s="81"/>
      <c r="T59" s="82">
        <f t="shared" si="5"/>
        <v>1.9182219071791261E-2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2020-07-14T02:23:57Z</dcterms:modified>
</cp:coreProperties>
</file>