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8BA9F328-4310-48AA-B141-D8B3303211DE}" xr6:coauthVersionLast="47" xr6:coauthVersionMax="47" xr10:uidLastSave="{00000000-0000-0000-0000-000000000000}"/>
  <bookViews>
    <workbookView xWindow="-98" yWindow="-98" windowWidth="28996" windowHeight="157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Table'!$A$1:$CJ$866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Y815" i="1" l="1"/>
  <c r="BC869" i="1"/>
  <c r="BA869" i="1"/>
  <c r="BO865" i="1"/>
  <c r="BK865" i="1"/>
  <c r="BI865" i="1"/>
  <c r="BG865" i="1"/>
  <c r="BC865" i="1"/>
  <c r="BA865" i="1"/>
  <c r="AY865" i="1"/>
  <c r="AU865" i="1"/>
  <c r="AS865" i="1"/>
  <c r="AQ865" i="1"/>
  <c r="AM865" i="1"/>
  <c r="AK865" i="1"/>
  <c r="AI865" i="1"/>
  <c r="AE865" i="1"/>
  <c r="AC865" i="1"/>
  <c r="AA865" i="1"/>
  <c r="W865" i="1"/>
  <c r="U865" i="1"/>
  <c r="S865" i="1"/>
  <c r="O865" i="1"/>
  <c r="M865" i="1"/>
  <c r="K865" i="1"/>
  <c r="BP864" i="1"/>
  <c r="BP865" i="1" s="1"/>
  <c r="BO864" i="1"/>
  <c r="BN864" i="1"/>
  <c r="BN865" i="1" s="1"/>
  <c r="BM864" i="1"/>
  <c r="BM865" i="1" s="1"/>
  <c r="BL864" i="1"/>
  <c r="BL865" i="1" s="1"/>
  <c r="BK864" i="1"/>
  <c r="BJ864" i="1"/>
  <c r="BJ865" i="1" s="1"/>
  <c r="BI864" i="1"/>
  <c r="BH864" i="1"/>
  <c r="BH865" i="1" s="1"/>
  <c r="BG864" i="1"/>
  <c r="BF864" i="1"/>
  <c r="BF865" i="1" s="1"/>
  <c r="BE864" i="1"/>
  <c r="BE865" i="1" s="1"/>
  <c r="BD864" i="1"/>
  <c r="BD865" i="1" s="1"/>
  <c r="BC864" i="1"/>
  <c r="BB864" i="1"/>
  <c r="BB865" i="1" s="1"/>
  <c r="BA864" i="1"/>
  <c r="AZ864" i="1"/>
  <c r="AZ865" i="1" s="1"/>
  <c r="AY864" i="1"/>
  <c r="AX864" i="1"/>
  <c r="AX865" i="1" s="1"/>
  <c r="AW864" i="1"/>
  <c r="AW865" i="1" s="1"/>
  <c r="AV864" i="1"/>
  <c r="AV865" i="1" s="1"/>
  <c r="AU864" i="1"/>
  <c r="AT864" i="1"/>
  <c r="AT865" i="1" s="1"/>
  <c r="AS864" i="1"/>
  <c r="AR864" i="1"/>
  <c r="AR865" i="1" s="1"/>
  <c r="AQ864" i="1"/>
  <c r="AP864" i="1"/>
  <c r="AP865" i="1" s="1"/>
  <c r="AO864" i="1"/>
  <c r="AO865" i="1" s="1"/>
  <c r="AN864" i="1"/>
  <c r="AN865" i="1" s="1"/>
  <c r="AM864" i="1"/>
  <c r="AL864" i="1"/>
  <c r="AL865" i="1" s="1"/>
  <c r="AK864" i="1"/>
  <c r="AJ864" i="1"/>
  <c r="AJ865" i="1" s="1"/>
  <c r="AI864" i="1"/>
  <c r="AH864" i="1"/>
  <c r="AH865" i="1" s="1"/>
  <c r="AG864" i="1"/>
  <c r="AG865" i="1" s="1"/>
  <c r="AF864" i="1"/>
  <c r="AF865" i="1" s="1"/>
  <c r="AE864" i="1"/>
  <c r="AD864" i="1"/>
  <c r="AD865" i="1" s="1"/>
  <c r="AC864" i="1"/>
  <c r="AB864" i="1"/>
  <c r="AB865" i="1" s="1"/>
  <c r="AA864" i="1"/>
  <c r="Z864" i="1"/>
  <c r="Z865" i="1" s="1"/>
  <c r="Y864" i="1"/>
  <c r="Y865" i="1" s="1"/>
  <c r="X864" i="1"/>
  <c r="X865" i="1" s="1"/>
  <c r="W864" i="1"/>
  <c r="V864" i="1"/>
  <c r="V865" i="1" s="1"/>
  <c r="U864" i="1"/>
  <c r="T864" i="1"/>
  <c r="T865" i="1" s="1"/>
  <c r="S864" i="1"/>
  <c r="R864" i="1"/>
  <c r="R865" i="1" s="1"/>
  <c r="Q864" i="1"/>
  <c r="Q865" i="1" s="1"/>
  <c r="P864" i="1"/>
  <c r="P865" i="1" s="1"/>
  <c r="O864" i="1"/>
  <c r="N864" i="1"/>
  <c r="N865" i="1" s="1"/>
  <c r="M864" i="1"/>
  <c r="L864" i="1"/>
  <c r="L865" i="1" s="1"/>
  <c r="K864" i="1"/>
  <c r="J864" i="1"/>
  <c r="J865" i="1" s="1"/>
  <c r="I864" i="1"/>
  <c r="I865" i="1" s="1"/>
  <c r="H864" i="1"/>
  <c r="H865" i="1" s="1"/>
  <c r="D865" i="1"/>
  <c r="D864" i="1" l="1"/>
  <c r="BW859" i="1"/>
  <c r="BN859" i="1" s="1"/>
  <c r="BE859" i="1"/>
  <c r="BP859" i="1" s="1"/>
  <c r="BR859" i="1" s="1"/>
  <c r="BA859" i="1"/>
  <c r="AX859" i="1"/>
  <c r="AL859" i="1"/>
  <c r="AA859" i="1"/>
  <c r="Z859" i="1"/>
  <c r="V859" i="1"/>
  <c r="Q859" i="1"/>
  <c r="S859" i="1" s="1"/>
  <c r="N859" i="1"/>
  <c r="J859" i="1"/>
  <c r="H859" i="1"/>
  <c r="O859" i="1" s="1"/>
  <c r="I20" i="3"/>
  <c r="BW858" i="1"/>
  <c r="BW860" i="1" s="1"/>
  <c r="BW861" i="1" s="1"/>
  <c r="BN858" i="1"/>
  <c r="BE858" i="1"/>
  <c r="BP858" i="1" s="1"/>
  <c r="BR858" i="1" s="1"/>
  <c r="BA858" i="1"/>
  <c r="AX858" i="1"/>
  <c r="AV858" i="1"/>
  <c r="AR858" i="1"/>
  <c r="AL858" i="1"/>
  <c r="AE858" i="1"/>
  <c r="AA858" i="1"/>
  <c r="AC858" i="1" s="1"/>
  <c r="Z858" i="1"/>
  <c r="V858" i="1"/>
  <c r="Q858" i="1"/>
  <c r="S858" i="1" s="1"/>
  <c r="N858" i="1"/>
  <c r="J858" i="1"/>
  <c r="H858" i="1"/>
  <c r="O858" i="1" s="1"/>
  <c r="U814" i="3"/>
  <c r="U815" i="3" s="1"/>
  <c r="U816" i="3" s="1"/>
  <c r="U817" i="3" s="1"/>
  <c r="BW857" i="1"/>
  <c r="BN857" i="1" s="1"/>
  <c r="BE857" i="1"/>
  <c r="BP857" i="1" s="1"/>
  <c r="BR857" i="1" s="1"/>
  <c r="BA857" i="1"/>
  <c r="AL857" i="1"/>
  <c r="AR857" i="1" s="1"/>
  <c r="AA857" i="1"/>
  <c r="AE857" i="1" s="1"/>
  <c r="Z857" i="1"/>
  <c r="V857" i="1"/>
  <c r="Q857" i="1"/>
  <c r="S857" i="1" s="1"/>
  <c r="N857" i="1"/>
  <c r="J857" i="1"/>
  <c r="H857" i="1"/>
  <c r="O857" i="1" s="1"/>
  <c r="B857" i="1"/>
  <c r="B858" i="1" s="1"/>
  <c r="B859" i="1" s="1"/>
  <c r="B860" i="1" s="1"/>
  <c r="B861" i="1" s="1"/>
  <c r="BE856" i="1"/>
  <c r="BA856" i="1"/>
  <c r="AL856" i="1"/>
  <c r="Z856" i="1"/>
  <c r="Q856" i="1"/>
  <c r="N856" i="1"/>
  <c r="BE855" i="1"/>
  <c r="BA855" i="1"/>
  <c r="AL855" i="1"/>
  <c r="Z855" i="1"/>
  <c r="Q855" i="1"/>
  <c r="N855" i="1"/>
  <c r="BE854" i="1"/>
  <c r="BA854" i="1"/>
  <c r="AL854" i="1"/>
  <c r="AR854" i="1" s="1"/>
  <c r="Z854" i="1"/>
  <c r="Q854" i="1"/>
  <c r="N854" i="1"/>
  <c r="BE853" i="1"/>
  <c r="BA853" i="1"/>
  <c r="AL853" i="1"/>
  <c r="Z853" i="1"/>
  <c r="Q853" i="1"/>
  <c r="N853" i="1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E867" i="2"/>
  <c r="S860" i="2"/>
  <c r="C861" i="2"/>
  <c r="C862" i="2" s="1"/>
  <c r="C863" i="2" s="1"/>
  <c r="C864" i="2" s="1"/>
  <c r="K860" i="2"/>
  <c r="S859" i="2"/>
  <c r="K859" i="2"/>
  <c r="S858" i="2"/>
  <c r="K858" i="2"/>
  <c r="Q858" i="2" s="1"/>
  <c r="S857" i="2"/>
  <c r="K857" i="2"/>
  <c r="S856" i="2"/>
  <c r="K856" i="2"/>
  <c r="Q856" i="2" s="1"/>
  <c r="S855" i="2"/>
  <c r="K855" i="2"/>
  <c r="S854" i="2"/>
  <c r="K854" i="2"/>
  <c r="AR859" i="1" l="1"/>
  <c r="BG859" i="1"/>
  <c r="AC859" i="1"/>
  <c r="AV859" i="1"/>
  <c r="AE859" i="1"/>
  <c r="BG858" i="1"/>
  <c r="AV857" i="1"/>
  <c r="AX857" i="1"/>
  <c r="AC857" i="1"/>
  <c r="BG857" i="1"/>
  <c r="S856" i="1"/>
  <c r="AR856" i="1"/>
  <c r="BG856" i="1"/>
  <c r="AR855" i="1"/>
  <c r="BG855" i="1"/>
  <c r="BG854" i="1"/>
  <c r="AR853" i="1"/>
  <c r="BG853" i="1"/>
  <c r="Q857" i="2"/>
  <c r="Q859" i="2"/>
  <c r="Q860" i="2"/>
  <c r="M855" i="2"/>
  <c r="M860" i="2"/>
  <c r="M859" i="2"/>
  <c r="M858" i="2"/>
  <c r="M857" i="2"/>
  <c r="M856" i="2"/>
  <c r="Q855" i="2"/>
  <c r="BE852" i="1"/>
  <c r="BG852" i="1" s="1"/>
  <c r="BA852" i="1"/>
  <c r="AL852" i="1"/>
  <c r="AR852" i="1" s="1"/>
  <c r="Z852" i="1"/>
  <c r="Q852" i="1"/>
  <c r="S852" i="1" s="1"/>
  <c r="N852" i="1"/>
  <c r="BE851" i="1"/>
  <c r="BA851" i="1"/>
  <c r="AL851" i="1"/>
  <c r="AR851" i="1" s="1"/>
  <c r="Z851" i="1"/>
  <c r="Q851" i="1"/>
  <c r="S851" i="1" s="1"/>
  <c r="N851" i="1"/>
  <c r="BE850" i="1"/>
  <c r="BA850" i="1"/>
  <c r="AL850" i="1"/>
  <c r="AR850" i="1" s="1"/>
  <c r="Z850" i="1"/>
  <c r="Q850" i="1"/>
  <c r="N850" i="1"/>
  <c r="BE849" i="1"/>
  <c r="BA849" i="1"/>
  <c r="AL849" i="1"/>
  <c r="Z849" i="1"/>
  <c r="Q849" i="1"/>
  <c r="N849" i="1"/>
  <c r="BE848" i="1"/>
  <c r="BA848" i="1"/>
  <c r="AL848" i="1"/>
  <c r="AR848" i="1" s="1"/>
  <c r="Z848" i="1"/>
  <c r="Q848" i="1"/>
  <c r="S855" i="1" s="1"/>
  <c r="N848" i="1"/>
  <c r="BE847" i="1"/>
  <c r="BA847" i="1"/>
  <c r="AL847" i="1"/>
  <c r="AR847" i="1" s="1"/>
  <c r="Z847" i="1"/>
  <c r="Q847" i="1"/>
  <c r="S847" i="1" s="1"/>
  <c r="N847" i="1"/>
  <c r="BE846" i="1"/>
  <c r="BA846" i="1"/>
  <c r="AL846" i="1"/>
  <c r="AR846" i="1" s="1"/>
  <c r="Z846" i="1"/>
  <c r="Q846" i="1"/>
  <c r="S853" i="1" s="1"/>
  <c r="N846" i="1"/>
  <c r="BE845" i="1"/>
  <c r="BA845" i="1"/>
  <c r="AL845" i="1"/>
  <c r="Z845" i="1"/>
  <c r="Q845" i="1"/>
  <c r="N845" i="1"/>
  <c r="BE844" i="1"/>
  <c r="BA844" i="1"/>
  <c r="AL844" i="1"/>
  <c r="AR844" i="1" s="1"/>
  <c r="Z844" i="1"/>
  <c r="Q844" i="1"/>
  <c r="N844" i="1"/>
  <c r="BE843" i="1"/>
  <c r="BA843" i="1"/>
  <c r="AL843" i="1"/>
  <c r="AR843" i="1" s="1"/>
  <c r="Z843" i="1"/>
  <c r="Q843" i="1"/>
  <c r="N843" i="1"/>
  <c r="BE842" i="1"/>
  <c r="BA842" i="1"/>
  <c r="AL842" i="1"/>
  <c r="AR842" i="1" s="1"/>
  <c r="Z842" i="1"/>
  <c r="Q842" i="1"/>
  <c r="N842" i="1"/>
  <c r="BE841" i="1"/>
  <c r="BA841" i="1"/>
  <c r="AL841" i="1"/>
  <c r="AR841" i="1" s="1"/>
  <c r="Z841" i="1"/>
  <c r="Q841" i="1"/>
  <c r="N841" i="1"/>
  <c r="BE840" i="1"/>
  <c r="BA840" i="1"/>
  <c r="AL840" i="1"/>
  <c r="AR840" i="1" s="1"/>
  <c r="Z840" i="1"/>
  <c r="Q840" i="1"/>
  <c r="N840" i="1"/>
  <c r="BE839" i="1"/>
  <c r="BA839" i="1"/>
  <c r="AL839" i="1"/>
  <c r="AR839" i="1" s="1"/>
  <c r="Z839" i="1"/>
  <c r="Q839" i="1"/>
  <c r="N839" i="1"/>
  <c r="S853" i="2"/>
  <c r="K853" i="2"/>
  <c r="S852" i="2"/>
  <c r="K852" i="2"/>
  <c r="S851" i="2"/>
  <c r="K851" i="2"/>
  <c r="S850" i="2"/>
  <c r="K850" i="2"/>
  <c r="S849" i="2"/>
  <c r="K849" i="2"/>
  <c r="S848" i="2"/>
  <c r="K848" i="2"/>
  <c r="S847" i="2"/>
  <c r="K847" i="2"/>
  <c r="S846" i="2"/>
  <c r="K846" i="2"/>
  <c r="S845" i="2"/>
  <c r="K845" i="2"/>
  <c r="S844" i="2"/>
  <c r="K844" i="2"/>
  <c r="S843" i="2"/>
  <c r="K843" i="2"/>
  <c r="S842" i="2"/>
  <c r="K842" i="2"/>
  <c r="S841" i="2"/>
  <c r="K841" i="2"/>
  <c r="S840" i="2"/>
  <c r="K840" i="2"/>
  <c r="BE838" i="1"/>
  <c r="BA838" i="1"/>
  <c r="AL838" i="1"/>
  <c r="AR838" i="1" s="1"/>
  <c r="Z838" i="1"/>
  <c r="Q838" i="1"/>
  <c r="N838" i="1"/>
  <c r="BE837" i="1"/>
  <c r="BA837" i="1"/>
  <c r="AL837" i="1"/>
  <c r="AR837" i="1" s="1"/>
  <c r="Z837" i="1"/>
  <c r="Q837" i="1"/>
  <c r="N837" i="1"/>
  <c r="BE836" i="1"/>
  <c r="BA836" i="1"/>
  <c r="AL836" i="1"/>
  <c r="Z836" i="1"/>
  <c r="Q836" i="1"/>
  <c r="N836" i="1"/>
  <c r="BE835" i="1"/>
  <c r="BA835" i="1"/>
  <c r="AL835" i="1"/>
  <c r="AR835" i="1" s="1"/>
  <c r="Z835" i="1"/>
  <c r="Q835" i="1"/>
  <c r="N835" i="1"/>
  <c r="BE834" i="1"/>
  <c r="BA834" i="1"/>
  <c r="AL834" i="1"/>
  <c r="Z834" i="1"/>
  <c r="Q834" i="1"/>
  <c r="N834" i="1"/>
  <c r="BE833" i="1"/>
  <c r="BA833" i="1"/>
  <c r="AL833" i="1"/>
  <c r="AR833" i="1" s="1"/>
  <c r="Z833" i="1"/>
  <c r="Q833" i="1"/>
  <c r="N833" i="1"/>
  <c r="BE832" i="1"/>
  <c r="BA832" i="1"/>
  <c r="AL832" i="1"/>
  <c r="AR832" i="1" s="1"/>
  <c r="Z832" i="1"/>
  <c r="Q832" i="1"/>
  <c r="N832" i="1"/>
  <c r="S839" i="2"/>
  <c r="K839" i="2"/>
  <c r="S838" i="2"/>
  <c r="K838" i="2"/>
  <c r="S837" i="2"/>
  <c r="K837" i="2"/>
  <c r="S836" i="2"/>
  <c r="K836" i="2"/>
  <c r="S835" i="2"/>
  <c r="K835" i="2"/>
  <c r="S834" i="2"/>
  <c r="K834" i="2"/>
  <c r="S833" i="2"/>
  <c r="K833" i="2"/>
  <c r="BE831" i="1"/>
  <c r="BA831" i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N828" i="1"/>
  <c r="BE827" i="1"/>
  <c r="BA827" i="1"/>
  <c r="AL827" i="1"/>
  <c r="AR827" i="1" s="1"/>
  <c r="Z827" i="1"/>
  <c r="Q827" i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N825" i="1"/>
  <c r="S832" i="2"/>
  <c r="K832" i="2"/>
  <c r="S831" i="2"/>
  <c r="K831" i="2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R823" i="1"/>
  <c r="AL823" i="1"/>
  <c r="Z823" i="1"/>
  <c r="Q823" i="1"/>
  <c r="N823" i="1"/>
  <c r="BE822" i="1"/>
  <c r="BA822" i="1"/>
  <c r="AL822" i="1"/>
  <c r="AR822" i="1" s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S850" i="1" l="1"/>
  <c r="S854" i="1"/>
  <c r="S848" i="1"/>
  <c r="S846" i="1"/>
  <c r="S849" i="1"/>
  <c r="Q851" i="2"/>
  <c r="Q837" i="2"/>
  <c r="Q844" i="2"/>
  <c r="M852" i="2"/>
  <c r="M854" i="2"/>
  <c r="Q854" i="2"/>
  <c r="M847" i="2"/>
  <c r="Q853" i="2"/>
  <c r="Q833" i="2"/>
  <c r="Q849" i="2"/>
  <c r="BG851" i="1"/>
  <c r="BG850" i="1"/>
  <c r="AR849" i="1"/>
  <c r="BG849" i="1"/>
  <c r="BG848" i="1"/>
  <c r="BG847" i="1"/>
  <c r="S839" i="1"/>
  <c r="S845" i="1"/>
  <c r="S844" i="1"/>
  <c r="BG836" i="1"/>
  <c r="BG846" i="1"/>
  <c r="AR845" i="1"/>
  <c r="BG845" i="1"/>
  <c r="BG844" i="1"/>
  <c r="S842" i="1"/>
  <c r="S833" i="1"/>
  <c r="S825" i="1"/>
  <c r="S841" i="1"/>
  <c r="S820" i="1"/>
  <c r="S828" i="1"/>
  <c r="S840" i="1"/>
  <c r="S843" i="1"/>
  <c r="S815" i="1"/>
  <c r="BG843" i="1"/>
  <c r="BG842" i="1"/>
  <c r="BG841" i="1"/>
  <c r="BG840" i="1"/>
  <c r="BG839" i="1"/>
  <c r="S835" i="1"/>
  <c r="BG835" i="1"/>
  <c r="S838" i="1"/>
  <c r="BG838" i="1"/>
  <c r="S827" i="1"/>
  <c r="S832" i="1"/>
  <c r="S837" i="1"/>
  <c r="S834" i="1"/>
  <c r="BG831" i="1"/>
  <c r="M853" i="2"/>
  <c r="Q852" i="2"/>
  <c r="M851" i="2"/>
  <c r="Q850" i="2"/>
  <c r="M850" i="2"/>
  <c r="Q841" i="2"/>
  <c r="Q848" i="2"/>
  <c r="M846" i="2"/>
  <c r="M849" i="2"/>
  <c r="M848" i="2"/>
  <c r="Q847" i="2"/>
  <c r="Q846" i="2"/>
  <c r="M837" i="2"/>
  <c r="M842" i="2"/>
  <c r="Q838" i="2"/>
  <c r="M845" i="2"/>
  <c r="Q835" i="2"/>
  <c r="Q840" i="2"/>
  <c r="Q845" i="2"/>
  <c r="Q825" i="2"/>
  <c r="Q843" i="2"/>
  <c r="M844" i="2"/>
  <c r="M843" i="2"/>
  <c r="Q842" i="2"/>
  <c r="M841" i="2"/>
  <c r="M840" i="2"/>
  <c r="M831" i="2"/>
  <c r="Q836" i="2"/>
  <c r="Q834" i="2"/>
  <c r="Q839" i="2"/>
  <c r="BG837" i="1"/>
  <c r="AR836" i="1"/>
  <c r="S836" i="1"/>
  <c r="AR834" i="1"/>
  <c r="BG834" i="1"/>
  <c r="BG833" i="1"/>
  <c r="BG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67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64" i="1"/>
  <c r="BQ865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56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55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64" i="1"/>
  <c r="BU865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64" i="1"/>
  <c r="BV865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90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38" i="3"/>
  <c r="AJ836" i="3"/>
  <c r="AJ839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54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55" i="1"/>
  <c r="BG975" i="1"/>
  <c r="BG976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75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90" i="1"/>
  <c r="BP976" i="1"/>
  <c r="BG977" i="1" s="1"/>
  <c r="BN973" i="1"/>
  <c r="BP973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54" i="1"/>
  <c r="BP954" i="1" s="1"/>
  <c r="BP956" i="1"/>
  <c r="BP957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77" i="1"/>
  <c r="BG978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74" i="1"/>
  <c r="BP974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78" i="1" l="1"/>
  <c r="BY978" i="1" s="1"/>
  <c r="Q358" i="2"/>
  <c r="M357" i="2"/>
  <c r="U357" i="2"/>
  <c r="M358" i="2"/>
  <c r="CL984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58" i="1" l="1"/>
  <c r="BG982" i="1"/>
  <c r="BP981" i="1"/>
  <c r="BP983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49" i="1"/>
  <c r="N951" i="1" s="1"/>
  <c r="N952" i="1" l="1"/>
  <c r="D952" i="1" s="1"/>
  <c r="N953" i="1"/>
  <c r="N954" i="1"/>
  <c r="D953" i="1" l="1"/>
  <c r="D954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40" i="1"/>
  <c r="BG940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85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70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64" i="1"/>
  <c r="G865" i="1" s="1"/>
  <c r="F864" i="1"/>
  <c r="F865" i="1" s="1"/>
  <c r="E864" i="1"/>
  <c r="E865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88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85" i="1" l="1"/>
  <c r="AR884" i="1"/>
  <c r="AP884" i="1"/>
  <c r="AR883" i="1"/>
  <c r="AP883" i="1"/>
  <c r="AV883" i="1" l="1"/>
  <c r="AV884" i="1"/>
  <c r="AV885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29" i="1"/>
  <c r="N214" i="1"/>
  <c r="N204" i="1"/>
  <c r="BA928" i="1" s="1"/>
  <c r="N174" i="1"/>
  <c r="BA927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28" i="1" l="1"/>
  <c r="BE928" i="1" s="1"/>
  <c r="Q218" i="2"/>
  <c r="BC929" i="1"/>
  <c r="BE929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97" i="1"/>
  <c r="H897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916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69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67" i="1"/>
  <c r="BK870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917" i="1"/>
  <c r="AP918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912" i="1"/>
  <c r="H913" i="1"/>
  <c r="J913" i="1" s="1"/>
  <c r="H914" i="1"/>
  <c r="J914" i="1" s="1"/>
  <c r="S154" i="2"/>
  <c r="M156" i="2" l="1"/>
  <c r="Q156" i="2"/>
  <c r="O914" i="1"/>
  <c r="AI154" i="1"/>
  <c r="AI161" i="1"/>
  <c r="BK160" i="1"/>
  <c r="BM160" i="1" s="1"/>
  <c r="AR154" i="1"/>
  <c r="BG154" i="1"/>
  <c r="U155" i="2"/>
  <c r="J912" i="1"/>
  <c r="J919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915" i="1"/>
  <c r="AA914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53" i="3"/>
  <c r="F854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90" i="1" l="1"/>
  <c r="AR882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89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94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81" i="1" s="1"/>
  <c r="AH113" i="1"/>
  <c r="AP881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81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901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88" i="1"/>
  <c r="AP882" i="1" s="1"/>
  <c r="AV882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26" i="1"/>
  <c r="BC927" i="1" s="1"/>
  <c r="BE927" i="1" s="1"/>
  <c r="BE938" i="1"/>
  <c r="BE942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29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38" i="1" s="1"/>
  <c r="AL113" i="1"/>
  <c r="K114" i="2"/>
  <c r="V578" i="1" l="1"/>
  <c r="BA942" i="1"/>
  <c r="BC940" i="1"/>
  <c r="BG938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35" i="3"/>
  <c r="AA834" i="3"/>
  <c r="AA833" i="3"/>
  <c r="AA832" i="3"/>
  <c r="AA831" i="3"/>
  <c r="AA830" i="3"/>
  <c r="AA829" i="3"/>
  <c r="AA828" i="3"/>
  <c r="AA827" i="3"/>
  <c r="AA826" i="3"/>
  <c r="Y836" i="3"/>
  <c r="W836" i="3"/>
  <c r="S107" i="2"/>
  <c r="V621" i="1" l="1"/>
  <c r="V622" i="1" s="1"/>
  <c r="V623" i="1" s="1"/>
  <c r="V624" i="1" s="1"/>
  <c r="V625" i="1" s="1"/>
  <c r="V626" i="1" s="1"/>
  <c r="V627" i="1" s="1"/>
  <c r="V628" i="1" s="1"/>
  <c r="AA836" i="3"/>
  <c r="AA839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36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47" i="3"/>
  <c r="F850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880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S78" i="2"/>
  <c r="BE77" i="1"/>
  <c r="BA77" i="1"/>
  <c r="AL77" i="1"/>
  <c r="AR77" i="1" s="1"/>
  <c r="K78" i="2"/>
  <c r="V842" i="1" l="1"/>
  <c r="Q79" i="2"/>
  <c r="M79" i="2"/>
  <c r="BG77" i="1"/>
  <c r="U78" i="2"/>
  <c r="BE76" i="1"/>
  <c r="BA76" i="1"/>
  <c r="AL76" i="1"/>
  <c r="AR76" i="1" s="1"/>
  <c r="S77" i="2"/>
  <c r="K77" i="2"/>
  <c r="Q78" i="2" s="1"/>
  <c r="V843" i="1" l="1"/>
  <c r="V844" i="1" s="1"/>
  <c r="V845" i="1" s="1"/>
  <c r="BK82" i="1"/>
  <c r="BK83" i="1"/>
  <c r="M78" i="2"/>
  <c r="BG76" i="1"/>
  <c r="U77" i="2"/>
  <c r="S76" i="2"/>
  <c r="V846" i="1" l="1"/>
  <c r="V847" i="1" s="1"/>
  <c r="V848" i="1" s="1"/>
  <c r="BM82" i="1"/>
  <c r="BE75" i="1"/>
  <c r="BA75" i="1"/>
  <c r="AL75" i="1"/>
  <c r="AR75" i="1" s="1"/>
  <c r="K76" i="2"/>
  <c r="V849" i="1" l="1"/>
  <c r="V850" i="1" s="1"/>
  <c r="V851" i="1" s="1"/>
  <c r="V852" i="1" s="1"/>
  <c r="V853" i="1" s="1"/>
  <c r="V854" i="1" s="1"/>
  <c r="V855" i="1" s="1"/>
  <c r="V856" i="1" s="1"/>
  <c r="Q77" i="2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80" i="1"/>
  <c r="AV880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37" i="3" l="1"/>
  <c r="I834" i="3"/>
  <c r="L834" i="3" s="1"/>
  <c r="I78" i="3"/>
  <c r="I80" i="3" s="1"/>
  <c r="I77" i="3"/>
  <c r="BE64" i="1"/>
  <c r="BA64" i="1"/>
  <c r="AL64" i="1"/>
  <c r="AR64" i="1" s="1"/>
  <c r="K65" i="2"/>
  <c r="Y19" i="3"/>
  <c r="Q66" i="2" l="1"/>
  <c r="M66" i="2"/>
  <c r="L837" i="3"/>
  <c r="I79" i="3"/>
  <c r="I81" i="3" s="1"/>
  <c r="I82" i="3" s="1"/>
  <c r="BG64" i="1"/>
  <c r="U65" i="2"/>
  <c r="S64" i="2"/>
  <c r="N81" i="3" l="1"/>
  <c r="N82" i="3" s="1"/>
  <c r="I836" i="3"/>
  <c r="L836" i="3" s="1"/>
  <c r="K64" i="2"/>
  <c r="BE63" i="1"/>
  <c r="BA63" i="1"/>
  <c r="AL63" i="1"/>
  <c r="AR63" i="1" s="1"/>
  <c r="Y18" i="3"/>
  <c r="Q65" i="2" l="1"/>
  <c r="M65" i="2"/>
  <c r="I838" i="3"/>
  <c r="U64" i="2"/>
  <c r="BG63" i="1"/>
  <c r="L827" i="3" l="1"/>
  <c r="L838" i="3"/>
  <c r="L826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79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25" i="1"/>
  <c r="B928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AR879" i="1" s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87" i="1"/>
  <c r="AR889" i="1" s="1"/>
  <c r="AV889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79" i="1"/>
  <c r="AV879" i="1" s="1"/>
  <c r="BA885" i="1" s="1"/>
  <c r="BA886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6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C836" i="2" l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U710" i="3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C847" i="2" l="1"/>
  <c r="C848" i="2" s="1"/>
  <c r="C849" i="2" s="1"/>
  <c r="U713" i="3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C850" i="2" l="1"/>
  <c r="C851" i="2" s="1"/>
  <c r="C852" i="2" s="1"/>
  <c r="C853" i="2" s="1"/>
  <c r="C854" i="2" s="1"/>
  <c r="U717" i="3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C855" i="2" l="1"/>
  <c r="U730" i="3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C856" i="2" l="1"/>
  <c r="C857" i="2" s="1"/>
  <c r="C858" i="2" s="1"/>
  <c r="C859" i="2" s="1"/>
  <c r="C860" i="2" s="1"/>
  <c r="C865" i="2" s="1"/>
  <c r="U732" i="3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U735" i="3" l="1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U739" i="3" l="1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U743" i="3" l="1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U746" i="3" l="1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38" i="3"/>
  <c r="Y839" i="3" s="1"/>
  <c r="O92" i="1"/>
  <c r="H93" i="1"/>
  <c r="J93" i="1"/>
  <c r="AC92" i="1"/>
  <c r="AV92" i="1"/>
  <c r="U749" i="3" l="1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U755" i="3" l="1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U760" i="3" l="1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U788" i="3" l="1"/>
  <c r="U789" i="3" s="1"/>
  <c r="U790" i="3" s="1"/>
  <c r="U791" i="3" s="1"/>
  <c r="U792" i="3" s="1"/>
  <c r="U793" i="3" s="1"/>
  <c r="U794" i="3" s="1"/>
  <c r="U795" i="3" s="1"/>
  <c r="B676" i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U796" i="3" l="1"/>
  <c r="U797" i="3" s="1"/>
  <c r="U798" i="3" s="1"/>
  <c r="U799" i="3" s="1"/>
  <c r="B680" i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U800" i="3" l="1"/>
  <c r="U801" i="3" s="1"/>
  <c r="U802" i="3" s="1"/>
  <c r="B682" i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38" i="3"/>
  <c r="W839" i="3" s="1"/>
  <c r="AC106" i="1"/>
  <c r="U803" i="3" l="1"/>
  <c r="U804" i="3" s="1"/>
  <c r="U805" i="3" s="1"/>
  <c r="U806" i="3" s="1"/>
  <c r="U807" i="3" s="1"/>
  <c r="B684" i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U808" i="3" l="1"/>
  <c r="B687" i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U809" i="3" l="1"/>
  <c r="U810" i="3" s="1"/>
  <c r="U811" i="3" s="1"/>
  <c r="U812" i="3" s="1"/>
  <c r="U813" i="3" s="1"/>
  <c r="U818" i="3" s="1"/>
  <c r="B691" i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B845" i="1" l="1"/>
  <c r="B846" i="1" s="1"/>
  <c r="AX212" i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847" i="1" l="1"/>
  <c r="B848" i="1" s="1"/>
  <c r="B849" i="1" s="1"/>
  <c r="BW214" i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850" i="1" l="1"/>
  <c r="B851" i="1" s="1"/>
  <c r="B852" i="1" s="1"/>
  <c r="B853" i="1" s="1"/>
  <c r="BN215" i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854" i="1" l="1"/>
  <c r="B855" i="1" s="1"/>
  <c r="B856" i="1" s="1"/>
  <c r="B862" i="1" s="1"/>
  <c r="BW217" i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98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51" i="1" s="1"/>
  <c r="O173" i="1"/>
  <c r="AV173" i="1"/>
  <c r="AC173" i="1"/>
  <c r="BE951" i="1" l="1"/>
  <c r="BA973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73" i="1" l="1"/>
  <c r="BP951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73" i="1" l="1"/>
  <c r="CA973" i="1" s="1"/>
  <c r="BC973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64" i="1" s="1"/>
  <c r="BA952" i="1" s="1"/>
  <c r="J235" i="1"/>
  <c r="O234" i="1"/>
  <c r="AC234" i="1"/>
  <c r="BE952" i="1" l="1"/>
  <c r="BA974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52" i="1" l="1"/>
  <c r="BE974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74" i="1" l="1"/>
  <c r="BC974" i="1"/>
  <c r="BC978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66" i="1"/>
  <c r="BA953" i="1" s="1"/>
  <c r="BA957" i="1" s="1"/>
  <c r="BR961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59" i="1"/>
  <c r="AA403" i="1"/>
  <c r="AA404" i="1" s="1"/>
  <c r="AE402" i="1"/>
  <c r="BE953" i="1"/>
  <c r="BA975" i="1"/>
  <c r="BA976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60" i="1"/>
  <c r="AA405" i="1"/>
  <c r="AE404" i="1"/>
  <c r="AE403" i="1"/>
  <c r="BE957" i="1"/>
  <c r="BE975" i="1"/>
  <c r="BP953" i="1"/>
  <c r="AC329" i="1"/>
  <c r="J330" i="1"/>
  <c r="H330" i="1"/>
  <c r="AV329" i="1"/>
  <c r="O329" i="1"/>
  <c r="BE977" i="1" l="1"/>
  <c r="BA978" i="1"/>
  <c r="BE978" i="1" s="1"/>
  <c r="BR978" i="1" s="1"/>
  <c r="CL979" i="1" s="1"/>
  <c r="BE976" i="1"/>
  <c r="BC975" i="1"/>
  <c r="AX439" i="1"/>
  <c r="BW440" i="1"/>
  <c r="BW441" i="1" s="1"/>
  <c r="BN439" i="1"/>
  <c r="BR424" i="1"/>
  <c r="BP425" i="1"/>
  <c r="BP426" i="1" s="1"/>
  <c r="AE405" i="1"/>
  <c r="AA406" i="1"/>
  <c r="AA407" i="1" s="1"/>
  <c r="BR975" i="1"/>
  <c r="D957" i="1"/>
  <c r="AH580" i="1" s="1"/>
  <c r="BG957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76" i="1"/>
  <c r="BC976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57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77" i="1"/>
  <c r="CL993" i="1" s="1"/>
  <c r="CL995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81" i="1"/>
  <c r="BC981" i="1" s="1"/>
  <c r="CL981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BW832" i="1" s="1"/>
  <c r="AX830" i="1"/>
  <c r="BR806" i="1"/>
  <c r="BP807" i="1"/>
  <c r="AE795" i="1"/>
  <c r="AA796" i="1"/>
  <c r="AA797" i="1" s="1"/>
  <c r="O623" i="1"/>
  <c r="H624" i="1"/>
  <c r="J624" i="1"/>
  <c r="AV623" i="1"/>
  <c r="AC623" i="1"/>
  <c r="BN832" i="1" l="1"/>
  <c r="BW833" i="1"/>
  <c r="AX832" i="1"/>
  <c r="BW862" i="1"/>
  <c r="BN831" i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N833" i="1" l="1"/>
  <c r="AX833" i="1"/>
  <c r="BW834" i="1"/>
  <c r="BR809" i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N834" i="1" l="1"/>
  <c r="BW835" i="1"/>
  <c r="AX834" i="1"/>
  <c r="BR810" i="1"/>
  <c r="BP811" i="1"/>
  <c r="AE800" i="1"/>
  <c r="AA801" i="1"/>
  <c r="AE799" i="1"/>
  <c r="AC626" i="1"/>
  <c r="J627" i="1"/>
  <c r="AV626" i="1"/>
  <c r="H627" i="1"/>
  <c r="O626" i="1"/>
  <c r="BN835" i="1" l="1"/>
  <c r="BW836" i="1"/>
  <c r="AX835" i="1"/>
  <c r="BR811" i="1"/>
  <c r="BP812" i="1"/>
  <c r="AE801" i="1"/>
  <c r="AA802" i="1"/>
  <c r="O627" i="1"/>
  <c r="H628" i="1"/>
  <c r="J628" i="1"/>
  <c r="AV627" i="1"/>
  <c r="AC627" i="1"/>
  <c r="BN836" i="1" l="1"/>
  <c r="BW837" i="1"/>
  <c r="AX836" i="1"/>
  <c r="BR812" i="1"/>
  <c r="BP813" i="1"/>
  <c r="BP814" i="1" s="1"/>
  <c r="AE802" i="1"/>
  <c r="AA803" i="1"/>
  <c r="AA804" i="1" s="1"/>
  <c r="AC628" i="1"/>
  <c r="H629" i="1"/>
  <c r="J629" i="1"/>
  <c r="O628" i="1"/>
  <c r="AV628" i="1"/>
  <c r="BN837" i="1" l="1"/>
  <c r="BW838" i="1"/>
  <c r="BW839" i="1" s="1"/>
  <c r="AX837" i="1"/>
  <c r="BR814" i="1"/>
  <c r="BP815" i="1"/>
  <c r="BR813" i="1"/>
  <c r="AE804" i="1"/>
  <c r="AA805" i="1"/>
  <c r="AE803" i="1"/>
  <c r="J630" i="1"/>
  <c r="H630" i="1"/>
  <c r="AV629" i="1"/>
  <c r="O629" i="1"/>
  <c r="AC629" i="1"/>
  <c r="BW840" i="1" l="1"/>
  <c r="AX839" i="1"/>
  <c r="BN839" i="1"/>
  <c r="BN838" i="1"/>
  <c r="AX838" i="1"/>
  <c r="BR815" i="1"/>
  <c r="BP816" i="1"/>
  <c r="AA806" i="1"/>
  <c r="AE805" i="1"/>
  <c r="H631" i="1"/>
  <c r="J631" i="1"/>
  <c r="AV630" i="1"/>
  <c r="O630" i="1"/>
  <c r="AC630" i="1"/>
  <c r="BN840" i="1" l="1"/>
  <c r="BW841" i="1"/>
  <c r="AX840" i="1"/>
  <c r="BR816" i="1"/>
  <c r="BP817" i="1"/>
  <c r="BP818" i="1" s="1"/>
  <c r="AE806" i="1"/>
  <c r="AA807" i="1"/>
  <c r="O631" i="1"/>
  <c r="J632" i="1"/>
  <c r="H632" i="1"/>
  <c r="AV631" i="1"/>
  <c r="AC631" i="1"/>
  <c r="BW842" i="1" l="1"/>
  <c r="AX841" i="1"/>
  <c r="BN841" i="1"/>
  <c r="BR818" i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N842" i="1" l="1"/>
  <c r="BW843" i="1"/>
  <c r="BW844" i="1" s="1"/>
  <c r="AX842" i="1"/>
  <c r="BR819" i="1"/>
  <c r="BP820" i="1"/>
  <c r="AA810" i="1"/>
  <c r="AE809" i="1"/>
  <c r="AE808" i="1"/>
  <c r="O633" i="1"/>
  <c r="J634" i="1"/>
  <c r="H634" i="1"/>
  <c r="AV633" i="1"/>
  <c r="AC633" i="1"/>
  <c r="AA588" i="3"/>
  <c r="BN844" i="1" l="1"/>
  <c r="BW845" i="1"/>
  <c r="AX844" i="1"/>
  <c r="BN843" i="1"/>
  <c r="AX843" i="1"/>
  <c r="BR820" i="1"/>
  <c r="BP821" i="1"/>
  <c r="BP822" i="1" s="1"/>
  <c r="AE810" i="1"/>
  <c r="AA811" i="1"/>
  <c r="H635" i="1"/>
  <c r="J635" i="1"/>
  <c r="O634" i="1"/>
  <c r="AV634" i="1"/>
  <c r="AC634" i="1"/>
  <c r="BW846" i="1" l="1"/>
  <c r="BW847" i="1" s="1"/>
  <c r="AX845" i="1"/>
  <c r="BN845" i="1"/>
  <c r="BR822" i="1"/>
  <c r="BP823" i="1"/>
  <c r="BR821" i="1"/>
  <c r="AE811" i="1"/>
  <c r="AA812" i="1"/>
  <c r="AV635" i="1"/>
  <c r="H636" i="1"/>
  <c r="J636" i="1"/>
  <c r="O635" i="1"/>
  <c r="AC635" i="1"/>
  <c r="BN847" i="1" l="1"/>
  <c r="BW848" i="1"/>
  <c r="AX847" i="1"/>
  <c r="BN846" i="1"/>
  <c r="AX846" i="1"/>
  <c r="BR823" i="1"/>
  <c r="BP824" i="1"/>
  <c r="BP825" i="1" s="1"/>
  <c r="AE812" i="1"/>
  <c r="AA813" i="1"/>
  <c r="AA814" i="1" s="1"/>
  <c r="J637" i="1"/>
  <c r="H637" i="1"/>
  <c r="O636" i="1"/>
  <c r="AV636" i="1"/>
  <c r="AC636" i="1"/>
  <c r="BN848" i="1" l="1"/>
  <c r="BW849" i="1"/>
  <c r="BW850" i="1" s="1"/>
  <c r="AX848" i="1"/>
  <c r="BR825" i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W851" i="1" l="1"/>
  <c r="AX850" i="1"/>
  <c r="BN850" i="1"/>
  <c r="BN849" i="1"/>
  <c r="AX849" i="1"/>
  <c r="BP827" i="1"/>
  <c r="BR826" i="1"/>
  <c r="AE815" i="1"/>
  <c r="AA816" i="1"/>
  <c r="AV638" i="1"/>
  <c r="J639" i="1"/>
  <c r="H639" i="1"/>
  <c r="O638" i="1"/>
  <c r="AC638" i="1"/>
  <c r="BN851" i="1" l="1"/>
  <c r="BW852" i="1"/>
  <c r="AX851" i="1"/>
  <c r="BR827" i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W853" i="1" l="1"/>
  <c r="BW854" i="1" s="1"/>
  <c r="AX852" i="1"/>
  <c r="BN852" i="1"/>
  <c r="BR828" i="1"/>
  <c r="BP829" i="1"/>
  <c r="AE818" i="1"/>
  <c r="AA819" i="1"/>
  <c r="AE817" i="1"/>
  <c r="H641" i="1"/>
  <c r="J641" i="1"/>
  <c r="O640" i="1"/>
  <c r="AV640" i="1"/>
  <c r="AC640" i="1"/>
  <c r="BN854" i="1" l="1"/>
  <c r="BW855" i="1"/>
  <c r="AX854" i="1"/>
  <c r="BN853" i="1"/>
  <c r="AX853" i="1"/>
  <c r="BR829" i="1"/>
  <c r="BP830" i="1"/>
  <c r="AE819" i="1"/>
  <c r="AA820" i="1"/>
  <c r="J642" i="1"/>
  <c r="H642" i="1"/>
  <c r="O641" i="1"/>
  <c r="AV641" i="1"/>
  <c r="AC641" i="1"/>
  <c r="BN855" i="1" l="1"/>
  <c r="BW856" i="1"/>
  <c r="AX855" i="1"/>
  <c r="BR830" i="1"/>
  <c r="BP831" i="1"/>
  <c r="BP832" i="1" s="1"/>
  <c r="AE820" i="1"/>
  <c r="AA821" i="1"/>
  <c r="AA822" i="1" s="1"/>
  <c r="J643" i="1"/>
  <c r="AV642" i="1"/>
  <c r="H643" i="1"/>
  <c r="O642" i="1"/>
  <c r="AC642" i="1"/>
  <c r="BN856" i="1" l="1"/>
  <c r="AX856" i="1"/>
  <c r="BR832" i="1"/>
  <c r="BP833" i="1"/>
  <c r="BR831" i="1"/>
  <c r="AE822" i="1"/>
  <c r="AA823" i="1"/>
  <c r="AE821" i="1"/>
  <c r="J644" i="1"/>
  <c r="H644" i="1"/>
  <c r="AV643" i="1"/>
  <c r="O643" i="1"/>
  <c r="AC643" i="1"/>
  <c r="BR833" i="1" l="1"/>
  <c r="BP834" i="1"/>
  <c r="AA824" i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BR834" i="1" l="1"/>
  <c r="BP835" i="1"/>
  <c r="AE825" i="1"/>
  <c r="AA826" i="1"/>
  <c r="AE824" i="1"/>
  <c r="J646" i="1"/>
  <c r="H646" i="1"/>
  <c r="O645" i="1"/>
  <c r="AV645" i="1"/>
  <c r="AC645" i="1"/>
  <c r="BR835" i="1" l="1"/>
  <c r="BP836" i="1"/>
  <c r="AE826" i="1"/>
  <c r="AA827" i="1"/>
  <c r="O646" i="1"/>
  <c r="AV646" i="1"/>
  <c r="J647" i="1"/>
  <c r="H647" i="1"/>
  <c r="AC646" i="1"/>
  <c r="BR836" i="1" l="1"/>
  <c r="BP837" i="1"/>
  <c r="AE827" i="1"/>
  <c r="AA828" i="1"/>
  <c r="H648" i="1"/>
  <c r="J648" i="1"/>
  <c r="AV647" i="1"/>
  <c r="O647" i="1"/>
  <c r="AC647" i="1"/>
  <c r="BR837" i="1" l="1"/>
  <c r="BP838" i="1"/>
  <c r="BP839" i="1" s="1"/>
  <c r="AE828" i="1"/>
  <c r="AA829" i="1"/>
  <c r="AV648" i="1"/>
  <c r="J649" i="1"/>
  <c r="H649" i="1"/>
  <c r="O648" i="1"/>
  <c r="AC648" i="1"/>
  <c r="BR839" i="1" l="1"/>
  <c r="BP840" i="1"/>
  <c r="BR838" i="1"/>
  <c r="AE829" i="1"/>
  <c r="AA830" i="1"/>
  <c r="J650" i="1"/>
  <c r="H650" i="1"/>
  <c r="O649" i="1"/>
  <c r="AV649" i="1"/>
  <c r="AC649" i="1"/>
  <c r="BR840" i="1" l="1"/>
  <c r="BP841" i="1"/>
  <c r="AE830" i="1"/>
  <c r="AA831" i="1"/>
  <c r="AA832" i="1" s="1"/>
  <c r="O650" i="1"/>
  <c r="H651" i="1"/>
  <c r="J651" i="1"/>
  <c r="AV650" i="1"/>
  <c r="AC650" i="1"/>
  <c r="BR841" i="1" l="1"/>
  <c r="BP842" i="1"/>
  <c r="AE832" i="1"/>
  <c r="AA833" i="1"/>
  <c r="AE831" i="1"/>
  <c r="O651" i="1"/>
  <c r="H652" i="1"/>
  <c r="J652" i="1"/>
  <c r="AV651" i="1"/>
  <c r="AC651" i="1"/>
  <c r="BR842" i="1" l="1"/>
  <c r="BP843" i="1"/>
  <c r="BP844" i="1" s="1"/>
  <c r="AA834" i="1"/>
  <c r="AE833" i="1"/>
  <c r="J653" i="1"/>
  <c r="H653" i="1"/>
  <c r="O652" i="1"/>
  <c r="AV652" i="1"/>
  <c r="AC652" i="1"/>
  <c r="AA606" i="3"/>
  <c r="AA605" i="3"/>
  <c r="BR844" i="1" l="1"/>
  <c r="BP845" i="1"/>
  <c r="BR843" i="1"/>
  <c r="AE834" i="1"/>
  <c r="AA835" i="1"/>
  <c r="O653" i="1"/>
  <c r="H654" i="1"/>
  <c r="J654" i="1"/>
  <c r="AV653" i="1"/>
  <c r="AC653" i="1"/>
  <c r="AA607" i="3"/>
  <c r="BR845" i="1" l="1"/>
  <c r="BP846" i="1"/>
  <c r="BP847" i="1" s="1"/>
  <c r="AE835" i="1"/>
  <c r="AA836" i="1"/>
  <c r="O654" i="1"/>
  <c r="J655" i="1"/>
  <c r="H655" i="1"/>
  <c r="AV654" i="1"/>
  <c r="AC654" i="1"/>
  <c r="BR847" i="1" l="1"/>
  <c r="BP848" i="1"/>
  <c r="BR846" i="1"/>
  <c r="AE836" i="1"/>
  <c r="AA837" i="1"/>
  <c r="AV655" i="1"/>
  <c r="J656" i="1"/>
  <c r="H656" i="1"/>
  <c r="O655" i="1"/>
  <c r="AC655" i="1"/>
  <c r="AA611" i="3"/>
  <c r="AA609" i="3"/>
  <c r="AA610" i="3"/>
  <c r="AA608" i="3"/>
  <c r="BR848" i="1" l="1"/>
  <c r="BP849" i="1"/>
  <c r="BP850" i="1" s="1"/>
  <c r="AE837" i="1"/>
  <c r="AA838" i="1"/>
  <c r="AA839" i="1" s="1"/>
  <c r="AV656" i="1"/>
  <c r="J657" i="1"/>
  <c r="H657" i="1"/>
  <c r="O656" i="1"/>
  <c r="AC656" i="1"/>
  <c r="BR850" i="1" l="1"/>
  <c r="BP851" i="1"/>
  <c r="BR849" i="1"/>
  <c r="AA840" i="1"/>
  <c r="AE839" i="1"/>
  <c r="AE838" i="1"/>
  <c r="J658" i="1"/>
  <c r="H658" i="1"/>
  <c r="AV657" i="1"/>
  <c r="O657" i="1"/>
  <c r="AC657" i="1"/>
  <c r="BR851" i="1" l="1"/>
  <c r="BP852" i="1"/>
  <c r="AE840" i="1"/>
  <c r="AA841" i="1"/>
  <c r="O658" i="1"/>
  <c r="J659" i="1"/>
  <c r="AV658" i="1"/>
  <c r="H659" i="1"/>
  <c r="AC658" i="1"/>
  <c r="BR852" i="1" l="1"/>
  <c r="BP853" i="1"/>
  <c r="BP854" i="1" s="1"/>
  <c r="AE841" i="1"/>
  <c r="AA842" i="1"/>
  <c r="AV659" i="1"/>
  <c r="H660" i="1"/>
  <c r="J660" i="1"/>
  <c r="O659" i="1"/>
  <c r="AC659" i="1"/>
  <c r="AA615" i="3"/>
  <c r="AA616" i="3"/>
  <c r="AA613" i="3"/>
  <c r="AA614" i="3"/>
  <c r="AA612" i="3"/>
  <c r="BR854" i="1" l="1"/>
  <c r="BP855" i="1"/>
  <c r="BR853" i="1"/>
  <c r="AE842" i="1"/>
  <c r="AA843" i="1"/>
  <c r="AA844" i="1" s="1"/>
  <c r="AV660" i="1"/>
  <c r="H661" i="1"/>
  <c r="J661" i="1"/>
  <c r="O660" i="1"/>
  <c r="AC660" i="1"/>
  <c r="BR855" i="1" l="1"/>
  <c r="BP856" i="1"/>
  <c r="AA845" i="1"/>
  <c r="AE844" i="1"/>
  <c r="AE843" i="1"/>
  <c r="H662" i="1"/>
  <c r="J662" i="1"/>
  <c r="O661" i="1"/>
  <c r="AV661" i="1"/>
  <c r="AC661" i="1"/>
  <c r="BR856" i="1" l="1"/>
  <c r="AA846" i="1"/>
  <c r="AA847" i="1" s="1"/>
  <c r="AE845" i="1"/>
  <c r="O662" i="1"/>
  <c r="AV662" i="1"/>
  <c r="J663" i="1"/>
  <c r="H663" i="1"/>
  <c r="AC662" i="1"/>
  <c r="AA848" i="1" l="1"/>
  <c r="AE847" i="1"/>
  <c r="AE846" i="1"/>
  <c r="O663" i="1"/>
  <c r="J664" i="1"/>
  <c r="H664" i="1"/>
  <c r="AV663" i="1"/>
  <c r="AC663" i="1"/>
  <c r="AE848" i="1" l="1"/>
  <c r="AA849" i="1"/>
  <c r="AA850" i="1" s="1"/>
  <c r="H665" i="1"/>
  <c r="J665" i="1"/>
  <c r="O664" i="1"/>
  <c r="AV664" i="1"/>
  <c r="AC664" i="1"/>
  <c r="AA618" i="3"/>
  <c r="AA617" i="3"/>
  <c r="AE850" i="1" l="1"/>
  <c r="AA851" i="1"/>
  <c r="AE849" i="1"/>
  <c r="O665" i="1"/>
  <c r="J666" i="1"/>
  <c r="H666" i="1"/>
  <c r="AV665" i="1"/>
  <c r="AC665" i="1"/>
  <c r="AA619" i="3"/>
  <c r="AE851" i="1" l="1"/>
  <c r="AA852" i="1"/>
  <c r="AV666" i="1"/>
  <c r="H667" i="1"/>
  <c r="J667" i="1"/>
  <c r="O666" i="1"/>
  <c r="AC666" i="1"/>
  <c r="AE852" i="1" l="1"/>
  <c r="AA853" i="1"/>
  <c r="AA854" i="1" s="1"/>
  <c r="AV667" i="1"/>
  <c r="H668" i="1"/>
  <c r="J668" i="1"/>
  <c r="O667" i="1"/>
  <c r="AC667" i="1"/>
  <c r="AA621" i="3"/>
  <c r="AA622" i="3"/>
  <c r="AA620" i="3"/>
  <c r="AA855" i="1" l="1"/>
  <c r="AE854" i="1"/>
  <c r="AE853" i="1"/>
  <c r="J669" i="1"/>
  <c r="H669" i="1"/>
  <c r="O668" i="1"/>
  <c r="AV668" i="1"/>
  <c r="AC668" i="1"/>
  <c r="AE855" i="1" l="1"/>
  <c r="AA856" i="1"/>
  <c r="AV669" i="1"/>
  <c r="J670" i="1"/>
  <c r="H670" i="1"/>
  <c r="O669" i="1"/>
  <c r="AC669" i="1"/>
  <c r="AE856" i="1" l="1"/>
  <c r="O670" i="1"/>
  <c r="J671" i="1"/>
  <c r="H671" i="1"/>
  <c r="AV670" i="1"/>
  <c r="AC670" i="1"/>
  <c r="I21" i="3" l="1"/>
  <c r="I35" i="3" s="1"/>
  <c r="AJ21" i="2"/>
  <c r="AD49" i="2"/>
  <c r="AD51" i="2" s="1"/>
  <c r="AD53" i="2" s="1"/>
  <c r="AD55" i="2" s="1"/>
  <c r="AD57" i="2" s="1"/>
  <c r="AV671" i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J832" i="1" l="1"/>
  <c r="H832" i="1"/>
  <c r="O831" i="1"/>
  <c r="AV831" i="1"/>
  <c r="AC831" i="1"/>
  <c r="AV832" i="1" l="1"/>
  <c r="J833" i="1"/>
  <c r="H833" i="1"/>
  <c r="O832" i="1"/>
  <c r="AC832" i="1"/>
  <c r="AV833" i="1" l="1"/>
  <c r="J834" i="1"/>
  <c r="H834" i="1"/>
  <c r="O833" i="1"/>
  <c r="AC833" i="1"/>
  <c r="AV834" i="1" l="1"/>
  <c r="J835" i="1"/>
  <c r="H835" i="1"/>
  <c r="O834" i="1"/>
  <c r="AC834" i="1"/>
  <c r="AA792" i="3"/>
  <c r="AA793" i="3"/>
  <c r="AA790" i="3"/>
  <c r="AA791" i="3"/>
  <c r="AA788" i="3"/>
  <c r="AA789" i="3"/>
  <c r="AA787" i="3"/>
  <c r="AV835" i="1" l="1"/>
  <c r="J836" i="1"/>
  <c r="H836" i="1"/>
  <c r="O835" i="1"/>
  <c r="AC835" i="1"/>
  <c r="O836" i="1" l="1"/>
  <c r="H837" i="1"/>
  <c r="AV836" i="1"/>
  <c r="J837" i="1"/>
  <c r="AC836" i="1"/>
  <c r="AV837" i="1" l="1"/>
  <c r="J838" i="1"/>
  <c r="H838" i="1"/>
  <c r="O837" i="1"/>
  <c r="AC837" i="1"/>
  <c r="H839" i="1" l="1"/>
  <c r="J839" i="1"/>
  <c r="O838" i="1"/>
  <c r="AV838" i="1"/>
  <c r="AC838" i="1"/>
  <c r="O839" i="1" l="1"/>
  <c r="J840" i="1"/>
  <c r="H840" i="1"/>
  <c r="AV839" i="1"/>
  <c r="AC839" i="1"/>
  <c r="O840" i="1" l="1"/>
  <c r="H841" i="1"/>
  <c r="J841" i="1"/>
  <c r="AV840" i="1"/>
  <c r="AC840" i="1"/>
  <c r="AV841" i="1" l="1"/>
  <c r="J842" i="1"/>
  <c r="H842" i="1"/>
  <c r="O841" i="1"/>
  <c r="AC841" i="1"/>
  <c r="AA797" i="3"/>
  <c r="AA795" i="3"/>
  <c r="AA796" i="3"/>
  <c r="AA794" i="3"/>
  <c r="O842" i="1" l="1"/>
  <c r="J843" i="1"/>
  <c r="H843" i="1"/>
  <c r="AV842" i="1"/>
  <c r="AC842" i="1"/>
  <c r="J844" i="1" l="1"/>
  <c r="H844" i="1"/>
  <c r="AV843" i="1"/>
  <c r="O843" i="1"/>
  <c r="AC843" i="1"/>
  <c r="AV844" i="1" l="1"/>
  <c r="J845" i="1"/>
  <c r="H845" i="1"/>
  <c r="O844" i="1"/>
  <c r="AC844" i="1"/>
  <c r="O845" i="1" l="1"/>
  <c r="J846" i="1"/>
  <c r="H846" i="1"/>
  <c r="I23" i="3" s="1"/>
  <c r="I25" i="3" s="1"/>
  <c r="I27" i="3" s="1"/>
  <c r="AV845" i="1"/>
  <c r="AC845" i="1"/>
  <c r="AA801" i="3"/>
  <c r="AA799" i="3"/>
  <c r="AA800" i="3"/>
  <c r="AA798" i="3"/>
  <c r="N27" i="3" l="1"/>
  <c r="N28" i="3" s="1"/>
  <c r="I34" i="3"/>
  <c r="J847" i="1"/>
  <c r="H847" i="1"/>
  <c r="O846" i="1"/>
  <c r="AV846" i="1"/>
  <c r="AC846" i="1"/>
  <c r="O847" i="1" l="1"/>
  <c r="H848" i="1"/>
  <c r="J848" i="1"/>
  <c r="AV847" i="1"/>
  <c r="AC847" i="1"/>
  <c r="AV848" i="1" l="1"/>
  <c r="J849" i="1"/>
  <c r="H849" i="1"/>
  <c r="O848" i="1"/>
  <c r="AC848" i="1"/>
  <c r="J850" i="1" l="1"/>
  <c r="H850" i="1"/>
  <c r="O849" i="1"/>
  <c r="AV849" i="1"/>
  <c r="AC849" i="1"/>
  <c r="AA803" i="3"/>
  <c r="AA802" i="3"/>
  <c r="AV850" i="1" l="1"/>
  <c r="J851" i="1"/>
  <c r="H851" i="1"/>
  <c r="O850" i="1"/>
  <c r="AC850" i="1"/>
  <c r="AV851" i="1" l="1"/>
  <c r="J852" i="1"/>
  <c r="H852" i="1"/>
  <c r="O851" i="1"/>
  <c r="AC851" i="1"/>
  <c r="AV852" i="1" l="1"/>
  <c r="H853" i="1"/>
  <c r="J853" i="1"/>
  <c r="O852" i="1"/>
  <c r="AC852" i="1"/>
  <c r="AA807" i="3"/>
  <c r="AE793" i="3"/>
  <c r="AF793" i="3" s="1"/>
  <c r="AE777" i="3"/>
  <c r="AF777" i="3" s="1"/>
  <c r="AA805" i="3"/>
  <c r="AA806" i="3"/>
  <c r="AA804" i="3"/>
  <c r="J854" i="1" l="1"/>
  <c r="H854" i="1"/>
  <c r="O853" i="1"/>
  <c r="AV853" i="1"/>
  <c r="AC853" i="1"/>
  <c r="AV854" i="1" l="1"/>
  <c r="H855" i="1"/>
  <c r="J855" i="1"/>
  <c r="O854" i="1"/>
  <c r="AC854" i="1"/>
  <c r="AV855" i="1" l="1"/>
  <c r="J856" i="1"/>
  <c r="H856" i="1"/>
  <c r="O855" i="1"/>
  <c r="AC855" i="1"/>
  <c r="O856" i="1" l="1"/>
  <c r="AV856" i="1"/>
  <c r="AC856" i="1"/>
  <c r="AA811" i="3"/>
  <c r="AA809" i="3"/>
  <c r="AA810" i="3"/>
  <c r="AA808" i="3"/>
  <c r="I32" i="3" l="1"/>
  <c r="AF21" i="2"/>
  <c r="I28" i="3" l="1"/>
  <c r="L35" i="3"/>
  <c r="I36" i="3"/>
  <c r="W814" i="3" s="1"/>
  <c r="AA814" i="3" s="1"/>
  <c r="L34" i="3"/>
  <c r="L32" i="3"/>
  <c r="AA812" i="3" l="1"/>
  <c r="L36" i="3"/>
  <c r="AA813" i="3" l="1"/>
  <c r="Y244" i="3"/>
  <c r="Y12" i="3"/>
  <c r="Y121" i="3"/>
  <c r="Y214" i="3"/>
  <c r="Y350" i="3"/>
</calcChain>
</file>

<file path=xl/sharedStrings.xml><?xml version="1.0" encoding="utf-8"?>
<sst xmlns="http://schemas.openxmlformats.org/spreadsheetml/2006/main" count="396" uniqueCount="190">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</sst>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Table'!$BA$968:$BA$972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Table'!$AS$973:$AT$978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Table'!$BA$973:$BA$978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Table'!$BC$968:$BC$972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Table'!$AS$973:$AT$978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Table'!$BC$973:$BC$978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Table'!$BJ$968:$BJ$972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Table'!$AS$973:$AT$978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Table'!$BJ$973:$BJ$977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Table'!$BK$968:$BK$972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Table'!$AS$973:$AT$978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Table'!$BK$973:$BK$977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Table'!$BL$968:$BL$972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Table'!$AS$973:$AT$978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Table'!$BL$973:$BL$977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Table'!$BM$968:$BM$972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Table'!$AS$973:$AT$978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Table'!$BM$973:$BM$977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Table'!$BP$968:$BP$972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Table'!$AS$973:$AT$978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Table'!$BP$973:$BP$978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Table'!$AU$968:$AU$972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Table'!$AU$973:$AU$978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Table'!$AV$968:$AV$972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Table'!$AV$973:$AV$977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Table'!$AW$968:$AW$972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Table'!$AW$973:$AW$977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Table'!$AX$968:$AX$972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Table'!$AX$973:$AX$977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Table'!$AY$968:$AY$972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Table'!$AY$973:$AY$977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Table'!$AZ$968:$AZ$972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Table'!$AZ$973:$AZ$977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Table'!$BB$968:$BB$972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Table'!$BB$973:$BB$977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Table'!$BD$968:$BD$972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Table'!$BD$973:$BD$977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Table'!$BE$968:$BE$972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Table'!$BE$973:$BE$977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Table'!$BF$968:$BF$972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Table'!$BF$973:$BF$977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Table'!$BG$968:$BG$972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Table'!$BG$973:$BG$977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Table'!$BH$968:$BH$972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Table'!$BH$973:$BH$977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Table'!$BI$968:$BI$972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Table'!$BI$973:$BI$977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Table'!$BN$968:$BN$972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Table'!$BN$973:$BN$977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Table'!$BO$968:$BO$972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Table'!$BO$973:$BO$977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Table'!$BQ$968:$BQ$972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Table'!$BQ$973:$BQ$977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Table'!$BR$968:$BR$972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Table'!$BR$973:$BR$977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Table'!$BS$968:$BS$972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Table'!$BS$973:$BS$977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Table'!$BT$968:$BT$972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Table'!$BR$973:$BR$978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Table'!$BU$968:$BU$972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Table'!$BU$973:$BU$977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Table'!$BV$968:$BV$972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Table'!$AS$973:$AT$978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Table'!$BV$973:$BV$977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877</xdr:row>
      <xdr:rowOff>99060</xdr:rowOff>
    </xdr:from>
    <xdr:to>
      <xdr:col>22</xdr:col>
      <xdr:colOff>312420</xdr:colOff>
      <xdr:row>878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877</xdr:row>
      <xdr:rowOff>129540</xdr:rowOff>
    </xdr:from>
    <xdr:to>
      <xdr:col>23</xdr:col>
      <xdr:colOff>68580</xdr:colOff>
      <xdr:row>878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895</xdr:row>
      <xdr:rowOff>125730</xdr:rowOff>
    </xdr:from>
    <xdr:to>
      <xdr:col>54</xdr:col>
      <xdr:colOff>213360</xdr:colOff>
      <xdr:row>910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985</xdr:row>
      <xdr:rowOff>91440</xdr:rowOff>
    </xdr:from>
    <xdr:to>
      <xdr:col>76</xdr:col>
      <xdr:colOff>472440</xdr:colOff>
      <xdr:row>1008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989</xdr:row>
      <xdr:rowOff>60960</xdr:rowOff>
    </xdr:from>
    <xdr:to>
      <xdr:col>76</xdr:col>
      <xdr:colOff>60960</xdr:colOff>
      <xdr:row>989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838</xdr:row>
      <xdr:rowOff>0</xdr:rowOff>
    </xdr:from>
    <xdr:to>
      <xdr:col>64</xdr:col>
      <xdr:colOff>83820</xdr:colOff>
      <xdr:row>838</xdr:row>
      <xdr:rowOff>114300</xdr:rowOff>
    </xdr:to>
    <xdr:sp macro="" textlink="">
      <xdr:nvSpPr>
        <xdr:cNvPr id="6162" name="Arrow: Down 6161">
          <a:extLst>
            <a:ext uri="{FF2B5EF4-FFF2-40B4-BE49-F238E27FC236}">
              <a16:creationId xmlns:a16="http://schemas.microsoft.com/office/drawing/2014/main" id="{26F51A5D-C6DD-4BA5-8A2F-305F26F487D7}"/>
            </a:ext>
          </a:extLst>
        </xdr:cNvPr>
        <xdr:cNvSpPr/>
      </xdr:nvSpPr>
      <xdr:spPr>
        <a:xfrm rot="10800000">
          <a:off x="19392900" y="15316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838</xdr:row>
      <xdr:rowOff>0</xdr:rowOff>
    </xdr:from>
    <xdr:to>
      <xdr:col>39</xdr:col>
      <xdr:colOff>83820</xdr:colOff>
      <xdr:row>838</xdr:row>
      <xdr:rowOff>114300</xdr:rowOff>
    </xdr:to>
    <xdr:sp macro="" textlink="">
      <xdr:nvSpPr>
        <xdr:cNvPr id="6233" name="Arrow: Down 6232">
          <a:extLst>
            <a:ext uri="{FF2B5EF4-FFF2-40B4-BE49-F238E27FC236}">
              <a16:creationId xmlns:a16="http://schemas.microsoft.com/office/drawing/2014/main" id="{44C2504F-6CFC-4088-A087-C83E4FF8CDAC}"/>
            </a:ext>
          </a:extLst>
        </xdr:cNvPr>
        <xdr:cNvSpPr/>
      </xdr:nvSpPr>
      <xdr:spPr>
        <a:xfrm rot="10800000">
          <a:off x="1154430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838</xdr:row>
      <xdr:rowOff>0</xdr:rowOff>
    </xdr:from>
    <xdr:to>
      <xdr:col>45</xdr:col>
      <xdr:colOff>83820</xdr:colOff>
      <xdr:row>838</xdr:row>
      <xdr:rowOff>114300</xdr:rowOff>
    </xdr:to>
    <xdr:sp macro="" textlink="">
      <xdr:nvSpPr>
        <xdr:cNvPr id="6267" name="Arrow: Down 6266">
          <a:extLst>
            <a:ext uri="{FF2B5EF4-FFF2-40B4-BE49-F238E27FC236}">
              <a16:creationId xmlns:a16="http://schemas.microsoft.com/office/drawing/2014/main" id="{F3416CF1-9C1F-4B2A-AAD3-A415C747FA6C}"/>
            </a:ext>
          </a:extLst>
        </xdr:cNvPr>
        <xdr:cNvSpPr/>
      </xdr:nvSpPr>
      <xdr:spPr>
        <a:xfrm rot="10800000">
          <a:off x="1340358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839</xdr:row>
      <xdr:rowOff>0</xdr:rowOff>
    </xdr:from>
    <xdr:to>
      <xdr:col>64</xdr:col>
      <xdr:colOff>83820</xdr:colOff>
      <xdr:row>839</xdr:row>
      <xdr:rowOff>114300</xdr:rowOff>
    </xdr:to>
    <xdr:sp macro="" textlink="">
      <xdr:nvSpPr>
        <xdr:cNvPr id="6280" name="Arrow: Down 6279">
          <a:extLst>
            <a:ext uri="{FF2B5EF4-FFF2-40B4-BE49-F238E27FC236}">
              <a16:creationId xmlns:a16="http://schemas.microsoft.com/office/drawing/2014/main" id="{63016D32-F1F8-44BB-BFD9-544BEDCF2912}"/>
            </a:ext>
          </a:extLst>
        </xdr:cNvPr>
        <xdr:cNvSpPr/>
      </xdr:nvSpPr>
      <xdr:spPr>
        <a:xfrm rot="10800000">
          <a:off x="19392900" y="15335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839</xdr:row>
      <xdr:rowOff>0</xdr:rowOff>
    </xdr:from>
    <xdr:to>
      <xdr:col>39</xdr:col>
      <xdr:colOff>83820</xdr:colOff>
      <xdr:row>839</xdr:row>
      <xdr:rowOff>114300</xdr:rowOff>
    </xdr:to>
    <xdr:sp macro="" textlink="">
      <xdr:nvSpPr>
        <xdr:cNvPr id="6301" name="Arrow: Down 6300">
          <a:extLst>
            <a:ext uri="{FF2B5EF4-FFF2-40B4-BE49-F238E27FC236}">
              <a16:creationId xmlns:a16="http://schemas.microsoft.com/office/drawing/2014/main" id="{0E00578C-552B-4567-AF5C-9B57991995A8}"/>
            </a:ext>
          </a:extLst>
        </xdr:cNvPr>
        <xdr:cNvSpPr/>
      </xdr:nvSpPr>
      <xdr:spPr>
        <a:xfrm rot="10800000">
          <a:off x="1154430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839</xdr:row>
      <xdr:rowOff>0</xdr:rowOff>
    </xdr:from>
    <xdr:to>
      <xdr:col>45</xdr:col>
      <xdr:colOff>83820</xdr:colOff>
      <xdr:row>839</xdr:row>
      <xdr:rowOff>114300</xdr:rowOff>
    </xdr:to>
    <xdr:sp macro="" textlink="">
      <xdr:nvSpPr>
        <xdr:cNvPr id="6302" name="Arrow: Down 6301">
          <a:extLst>
            <a:ext uri="{FF2B5EF4-FFF2-40B4-BE49-F238E27FC236}">
              <a16:creationId xmlns:a16="http://schemas.microsoft.com/office/drawing/2014/main" id="{E003CD1A-FADD-4252-8B0F-6457F0D30B74}"/>
            </a:ext>
          </a:extLst>
        </xdr:cNvPr>
        <xdr:cNvSpPr/>
      </xdr:nvSpPr>
      <xdr:spPr>
        <a:xfrm rot="10800000">
          <a:off x="1340358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839</xdr:row>
      <xdr:rowOff>0</xdr:rowOff>
    </xdr:from>
    <xdr:to>
      <xdr:col>71</xdr:col>
      <xdr:colOff>83820</xdr:colOff>
      <xdr:row>839</xdr:row>
      <xdr:rowOff>114300</xdr:rowOff>
    </xdr:to>
    <xdr:sp macro="" textlink="">
      <xdr:nvSpPr>
        <xdr:cNvPr id="6303" name="Arrow: Down 6302">
          <a:extLst>
            <a:ext uri="{FF2B5EF4-FFF2-40B4-BE49-F238E27FC236}">
              <a16:creationId xmlns:a16="http://schemas.microsoft.com/office/drawing/2014/main" id="{478737AC-6AC7-429E-AE37-BF141447A8F9}"/>
            </a:ext>
          </a:extLst>
        </xdr:cNvPr>
        <xdr:cNvSpPr/>
      </xdr:nvSpPr>
      <xdr:spPr>
        <a:xfrm rot="10800000">
          <a:off x="220065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839</xdr:row>
      <xdr:rowOff>0</xdr:rowOff>
    </xdr:from>
    <xdr:to>
      <xdr:col>60</xdr:col>
      <xdr:colOff>83820</xdr:colOff>
      <xdr:row>839</xdr:row>
      <xdr:rowOff>114300</xdr:rowOff>
    </xdr:to>
    <xdr:sp macro="" textlink="">
      <xdr:nvSpPr>
        <xdr:cNvPr id="6305" name="Arrow: Down 6304">
          <a:extLst>
            <a:ext uri="{FF2B5EF4-FFF2-40B4-BE49-F238E27FC236}">
              <a16:creationId xmlns:a16="http://schemas.microsoft.com/office/drawing/2014/main" id="{562C3555-7399-4CB9-9A67-99D60C7CF536}"/>
            </a:ext>
          </a:extLst>
        </xdr:cNvPr>
        <xdr:cNvSpPr/>
      </xdr:nvSpPr>
      <xdr:spPr>
        <a:xfrm rot="10800000">
          <a:off x="191262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840</xdr:row>
      <xdr:rowOff>0</xdr:rowOff>
    </xdr:from>
    <xdr:to>
      <xdr:col>64</xdr:col>
      <xdr:colOff>83820</xdr:colOff>
      <xdr:row>840</xdr:row>
      <xdr:rowOff>114300</xdr:rowOff>
    </xdr:to>
    <xdr:sp macro="" textlink="">
      <xdr:nvSpPr>
        <xdr:cNvPr id="6308" name="Arrow: Down 6307">
          <a:extLst>
            <a:ext uri="{FF2B5EF4-FFF2-40B4-BE49-F238E27FC236}">
              <a16:creationId xmlns:a16="http://schemas.microsoft.com/office/drawing/2014/main" id="{E02140E1-6C10-4483-BE83-6ECB4D4CF190}"/>
            </a:ext>
          </a:extLst>
        </xdr:cNvPr>
        <xdr:cNvSpPr/>
      </xdr:nvSpPr>
      <xdr:spPr>
        <a:xfrm rot="10800000">
          <a:off x="19392900" y="15353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840</xdr:row>
      <xdr:rowOff>0</xdr:rowOff>
    </xdr:from>
    <xdr:to>
      <xdr:col>45</xdr:col>
      <xdr:colOff>83820</xdr:colOff>
      <xdr:row>840</xdr:row>
      <xdr:rowOff>114300</xdr:rowOff>
    </xdr:to>
    <xdr:sp macro="" textlink="">
      <xdr:nvSpPr>
        <xdr:cNvPr id="6402" name="Arrow: Down 6401">
          <a:extLst>
            <a:ext uri="{FF2B5EF4-FFF2-40B4-BE49-F238E27FC236}">
              <a16:creationId xmlns:a16="http://schemas.microsoft.com/office/drawing/2014/main" id="{C39C968B-01DA-4D57-8432-D1DA1009E818}"/>
            </a:ext>
          </a:extLst>
        </xdr:cNvPr>
        <xdr:cNvSpPr/>
      </xdr:nvSpPr>
      <xdr:spPr>
        <a:xfrm rot="10800000">
          <a:off x="13403580" y="15353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840</xdr:row>
      <xdr:rowOff>0</xdr:rowOff>
    </xdr:from>
    <xdr:to>
      <xdr:col>71</xdr:col>
      <xdr:colOff>83820</xdr:colOff>
      <xdr:row>840</xdr:row>
      <xdr:rowOff>114300</xdr:rowOff>
    </xdr:to>
    <xdr:sp macro="" textlink="">
      <xdr:nvSpPr>
        <xdr:cNvPr id="6412" name="Arrow: Down 6411">
          <a:extLst>
            <a:ext uri="{FF2B5EF4-FFF2-40B4-BE49-F238E27FC236}">
              <a16:creationId xmlns:a16="http://schemas.microsoft.com/office/drawing/2014/main" id="{F79AC289-D9BD-4E67-827A-3B55EEE06FBE}"/>
            </a:ext>
          </a:extLst>
        </xdr:cNvPr>
        <xdr:cNvSpPr/>
      </xdr:nvSpPr>
      <xdr:spPr>
        <a:xfrm rot="10800000">
          <a:off x="220065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841</xdr:row>
      <xdr:rowOff>0</xdr:rowOff>
    </xdr:from>
    <xdr:to>
      <xdr:col>64</xdr:col>
      <xdr:colOff>83820</xdr:colOff>
      <xdr:row>841</xdr:row>
      <xdr:rowOff>114300</xdr:rowOff>
    </xdr:to>
    <xdr:sp macro="" textlink="">
      <xdr:nvSpPr>
        <xdr:cNvPr id="6420" name="Arrow: Down 6419">
          <a:extLst>
            <a:ext uri="{FF2B5EF4-FFF2-40B4-BE49-F238E27FC236}">
              <a16:creationId xmlns:a16="http://schemas.microsoft.com/office/drawing/2014/main" id="{A4DB54E0-C307-436B-9E96-B18E19DCD7F5}"/>
            </a:ext>
          </a:extLst>
        </xdr:cNvPr>
        <xdr:cNvSpPr/>
      </xdr:nvSpPr>
      <xdr:spPr>
        <a:xfrm rot="10800000">
          <a:off x="19392900" y="15371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841</xdr:row>
      <xdr:rowOff>0</xdr:rowOff>
    </xdr:from>
    <xdr:to>
      <xdr:col>24</xdr:col>
      <xdr:colOff>83820</xdr:colOff>
      <xdr:row>841</xdr:row>
      <xdr:rowOff>114300</xdr:rowOff>
    </xdr:to>
    <xdr:sp macro="" textlink="">
      <xdr:nvSpPr>
        <xdr:cNvPr id="6425" name="Arrow: Down 6424">
          <a:extLst>
            <a:ext uri="{FF2B5EF4-FFF2-40B4-BE49-F238E27FC236}">
              <a16:creationId xmlns:a16="http://schemas.microsoft.com/office/drawing/2014/main" id="{BFFE6413-BDAC-44CA-8D7B-188EC802B60E}"/>
            </a:ext>
          </a:extLst>
        </xdr:cNvPr>
        <xdr:cNvSpPr/>
      </xdr:nvSpPr>
      <xdr:spPr>
        <a:xfrm>
          <a:off x="833628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841</xdr:row>
      <xdr:rowOff>0</xdr:rowOff>
    </xdr:from>
    <xdr:to>
      <xdr:col>5</xdr:col>
      <xdr:colOff>83820</xdr:colOff>
      <xdr:row>841</xdr:row>
      <xdr:rowOff>114300</xdr:rowOff>
    </xdr:to>
    <xdr:sp macro="" textlink="">
      <xdr:nvSpPr>
        <xdr:cNvPr id="6435" name="Arrow: Down 6434">
          <a:extLst>
            <a:ext uri="{FF2B5EF4-FFF2-40B4-BE49-F238E27FC236}">
              <a16:creationId xmlns:a16="http://schemas.microsoft.com/office/drawing/2014/main" id="{E11A542A-8ABC-4154-9C4A-D9A22C1EA0DA}"/>
            </a:ext>
          </a:extLst>
        </xdr:cNvPr>
        <xdr:cNvSpPr/>
      </xdr:nvSpPr>
      <xdr:spPr>
        <a:xfrm>
          <a:off x="192786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841</xdr:row>
      <xdr:rowOff>0</xdr:rowOff>
    </xdr:from>
    <xdr:to>
      <xdr:col>11</xdr:col>
      <xdr:colOff>83820</xdr:colOff>
      <xdr:row>841</xdr:row>
      <xdr:rowOff>114300</xdr:rowOff>
    </xdr:to>
    <xdr:sp macro="" textlink="">
      <xdr:nvSpPr>
        <xdr:cNvPr id="6436" name="Arrow: Down 6435">
          <a:extLst>
            <a:ext uri="{FF2B5EF4-FFF2-40B4-BE49-F238E27FC236}">
              <a16:creationId xmlns:a16="http://schemas.microsoft.com/office/drawing/2014/main" id="{D12C32FD-12AA-4A50-A715-D502FEDE1474}"/>
            </a:ext>
          </a:extLst>
        </xdr:cNvPr>
        <xdr:cNvSpPr/>
      </xdr:nvSpPr>
      <xdr:spPr>
        <a:xfrm>
          <a:off x="36957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841</xdr:row>
      <xdr:rowOff>0</xdr:rowOff>
    </xdr:from>
    <xdr:to>
      <xdr:col>39</xdr:col>
      <xdr:colOff>83820</xdr:colOff>
      <xdr:row>841</xdr:row>
      <xdr:rowOff>114300</xdr:rowOff>
    </xdr:to>
    <xdr:sp macro="" textlink="">
      <xdr:nvSpPr>
        <xdr:cNvPr id="6437" name="Arrow: Down 6436">
          <a:extLst>
            <a:ext uri="{FF2B5EF4-FFF2-40B4-BE49-F238E27FC236}">
              <a16:creationId xmlns:a16="http://schemas.microsoft.com/office/drawing/2014/main" id="{7205CD7E-F9DC-42EF-9B8B-03E7A984072A}"/>
            </a:ext>
          </a:extLst>
        </xdr:cNvPr>
        <xdr:cNvSpPr/>
      </xdr:nvSpPr>
      <xdr:spPr>
        <a:xfrm rot="10800000">
          <a:off x="1154430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841</xdr:row>
      <xdr:rowOff>0</xdr:rowOff>
    </xdr:from>
    <xdr:to>
      <xdr:col>45</xdr:col>
      <xdr:colOff>83820</xdr:colOff>
      <xdr:row>841</xdr:row>
      <xdr:rowOff>114300</xdr:rowOff>
    </xdr:to>
    <xdr:sp macro="" textlink="">
      <xdr:nvSpPr>
        <xdr:cNvPr id="6438" name="Arrow: Down 6437">
          <a:extLst>
            <a:ext uri="{FF2B5EF4-FFF2-40B4-BE49-F238E27FC236}">
              <a16:creationId xmlns:a16="http://schemas.microsoft.com/office/drawing/2014/main" id="{6523CC8A-F1E8-4111-8E71-BA5EF0E66391}"/>
            </a:ext>
          </a:extLst>
        </xdr:cNvPr>
        <xdr:cNvSpPr/>
      </xdr:nvSpPr>
      <xdr:spPr>
        <a:xfrm rot="10800000">
          <a:off x="1340358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841</xdr:row>
      <xdr:rowOff>0</xdr:rowOff>
    </xdr:from>
    <xdr:to>
      <xdr:col>71</xdr:col>
      <xdr:colOff>83820</xdr:colOff>
      <xdr:row>841</xdr:row>
      <xdr:rowOff>114300</xdr:rowOff>
    </xdr:to>
    <xdr:sp macro="" textlink="">
      <xdr:nvSpPr>
        <xdr:cNvPr id="6439" name="Arrow: Down 6438">
          <a:extLst>
            <a:ext uri="{FF2B5EF4-FFF2-40B4-BE49-F238E27FC236}">
              <a16:creationId xmlns:a16="http://schemas.microsoft.com/office/drawing/2014/main" id="{24C2B74A-7D81-4269-A3E3-2C5849940EF4}"/>
            </a:ext>
          </a:extLst>
        </xdr:cNvPr>
        <xdr:cNvSpPr/>
      </xdr:nvSpPr>
      <xdr:spPr>
        <a:xfrm rot="10800000">
          <a:off x="220065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841</xdr:row>
      <xdr:rowOff>0</xdr:rowOff>
    </xdr:from>
    <xdr:to>
      <xdr:col>60</xdr:col>
      <xdr:colOff>83820</xdr:colOff>
      <xdr:row>841</xdr:row>
      <xdr:rowOff>114300</xdr:rowOff>
    </xdr:to>
    <xdr:sp macro="" textlink="">
      <xdr:nvSpPr>
        <xdr:cNvPr id="6440" name="Arrow: Down 6439">
          <a:extLst>
            <a:ext uri="{FF2B5EF4-FFF2-40B4-BE49-F238E27FC236}">
              <a16:creationId xmlns:a16="http://schemas.microsoft.com/office/drawing/2014/main" id="{39E387E8-21E2-4E46-8CEE-FACA8FA77463}"/>
            </a:ext>
          </a:extLst>
        </xdr:cNvPr>
        <xdr:cNvSpPr/>
      </xdr:nvSpPr>
      <xdr:spPr>
        <a:xfrm rot="10800000">
          <a:off x="191262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842</xdr:row>
      <xdr:rowOff>0</xdr:rowOff>
    </xdr:from>
    <xdr:to>
      <xdr:col>64</xdr:col>
      <xdr:colOff>83820</xdr:colOff>
      <xdr:row>842</xdr:row>
      <xdr:rowOff>114300</xdr:rowOff>
    </xdr:to>
    <xdr:sp macro="" textlink="">
      <xdr:nvSpPr>
        <xdr:cNvPr id="6449" name="Arrow: Down 6448">
          <a:extLst>
            <a:ext uri="{FF2B5EF4-FFF2-40B4-BE49-F238E27FC236}">
              <a16:creationId xmlns:a16="http://schemas.microsoft.com/office/drawing/2014/main" id="{949CEC19-9C75-4DCE-8182-C49F71291B28}"/>
            </a:ext>
          </a:extLst>
        </xdr:cNvPr>
        <xdr:cNvSpPr/>
      </xdr:nvSpPr>
      <xdr:spPr>
        <a:xfrm rot="10800000">
          <a:off x="19392900" y="15390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842</xdr:row>
      <xdr:rowOff>0</xdr:rowOff>
    </xdr:from>
    <xdr:to>
      <xdr:col>45</xdr:col>
      <xdr:colOff>83820</xdr:colOff>
      <xdr:row>842</xdr:row>
      <xdr:rowOff>114300</xdr:rowOff>
    </xdr:to>
    <xdr:sp macro="" textlink="">
      <xdr:nvSpPr>
        <xdr:cNvPr id="6454" name="Arrow: Down 6453">
          <a:extLst>
            <a:ext uri="{FF2B5EF4-FFF2-40B4-BE49-F238E27FC236}">
              <a16:creationId xmlns:a16="http://schemas.microsoft.com/office/drawing/2014/main" id="{993097DE-A9E5-4471-8C38-08353AFB0D34}"/>
            </a:ext>
          </a:extLst>
        </xdr:cNvPr>
        <xdr:cNvSpPr/>
      </xdr:nvSpPr>
      <xdr:spPr>
        <a:xfrm rot="10800000">
          <a:off x="13403580" y="15390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843</xdr:row>
      <xdr:rowOff>0</xdr:rowOff>
    </xdr:from>
    <xdr:to>
      <xdr:col>64</xdr:col>
      <xdr:colOff>83820</xdr:colOff>
      <xdr:row>843</xdr:row>
      <xdr:rowOff>114300</xdr:rowOff>
    </xdr:to>
    <xdr:sp macro="" textlink="">
      <xdr:nvSpPr>
        <xdr:cNvPr id="6457" name="Arrow: Down 6456">
          <a:extLst>
            <a:ext uri="{FF2B5EF4-FFF2-40B4-BE49-F238E27FC236}">
              <a16:creationId xmlns:a16="http://schemas.microsoft.com/office/drawing/2014/main" id="{B280F1CC-DCC1-4632-A221-262FF53A8CB6}"/>
            </a:ext>
          </a:extLst>
        </xdr:cNvPr>
        <xdr:cNvSpPr/>
      </xdr:nvSpPr>
      <xdr:spPr>
        <a:xfrm rot="10800000">
          <a:off x="19392900" y="15408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843</xdr:row>
      <xdr:rowOff>0</xdr:rowOff>
    </xdr:from>
    <xdr:to>
      <xdr:col>24</xdr:col>
      <xdr:colOff>83820</xdr:colOff>
      <xdr:row>843</xdr:row>
      <xdr:rowOff>114300</xdr:rowOff>
    </xdr:to>
    <xdr:sp macro="" textlink="">
      <xdr:nvSpPr>
        <xdr:cNvPr id="6458" name="Arrow: Down 6457">
          <a:extLst>
            <a:ext uri="{FF2B5EF4-FFF2-40B4-BE49-F238E27FC236}">
              <a16:creationId xmlns:a16="http://schemas.microsoft.com/office/drawing/2014/main" id="{15BEB4FA-3852-4013-A73B-F29F2D98428C}"/>
            </a:ext>
          </a:extLst>
        </xdr:cNvPr>
        <xdr:cNvSpPr/>
      </xdr:nvSpPr>
      <xdr:spPr>
        <a:xfrm>
          <a:off x="833628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843</xdr:row>
      <xdr:rowOff>0</xdr:rowOff>
    </xdr:from>
    <xdr:to>
      <xdr:col>5</xdr:col>
      <xdr:colOff>83820</xdr:colOff>
      <xdr:row>843</xdr:row>
      <xdr:rowOff>114300</xdr:rowOff>
    </xdr:to>
    <xdr:sp macro="" textlink="">
      <xdr:nvSpPr>
        <xdr:cNvPr id="6459" name="Arrow: Down 6458">
          <a:extLst>
            <a:ext uri="{FF2B5EF4-FFF2-40B4-BE49-F238E27FC236}">
              <a16:creationId xmlns:a16="http://schemas.microsoft.com/office/drawing/2014/main" id="{5406663E-579A-4A81-A5E6-AED139606571}"/>
            </a:ext>
          </a:extLst>
        </xdr:cNvPr>
        <xdr:cNvSpPr/>
      </xdr:nvSpPr>
      <xdr:spPr>
        <a:xfrm>
          <a:off x="19278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843</xdr:row>
      <xdr:rowOff>0</xdr:rowOff>
    </xdr:from>
    <xdr:to>
      <xdr:col>11</xdr:col>
      <xdr:colOff>83820</xdr:colOff>
      <xdr:row>843</xdr:row>
      <xdr:rowOff>114300</xdr:rowOff>
    </xdr:to>
    <xdr:sp macro="" textlink="">
      <xdr:nvSpPr>
        <xdr:cNvPr id="6460" name="Arrow: Down 6459">
          <a:extLst>
            <a:ext uri="{FF2B5EF4-FFF2-40B4-BE49-F238E27FC236}">
              <a16:creationId xmlns:a16="http://schemas.microsoft.com/office/drawing/2014/main" id="{C5B3514C-B5F9-4D0F-B5CF-F2C97C52236F}"/>
            </a:ext>
          </a:extLst>
        </xdr:cNvPr>
        <xdr:cNvSpPr/>
      </xdr:nvSpPr>
      <xdr:spPr>
        <a:xfrm>
          <a:off x="36957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843</xdr:row>
      <xdr:rowOff>0</xdr:rowOff>
    </xdr:from>
    <xdr:to>
      <xdr:col>45</xdr:col>
      <xdr:colOff>83820</xdr:colOff>
      <xdr:row>843</xdr:row>
      <xdr:rowOff>114300</xdr:rowOff>
    </xdr:to>
    <xdr:sp macro="" textlink="">
      <xdr:nvSpPr>
        <xdr:cNvPr id="6462" name="Arrow: Down 6461">
          <a:extLst>
            <a:ext uri="{FF2B5EF4-FFF2-40B4-BE49-F238E27FC236}">
              <a16:creationId xmlns:a16="http://schemas.microsoft.com/office/drawing/2014/main" id="{B4BAD3E6-91D2-4DAA-AA3D-BB8E4A2CFE2C}"/>
            </a:ext>
          </a:extLst>
        </xdr:cNvPr>
        <xdr:cNvSpPr/>
      </xdr:nvSpPr>
      <xdr:spPr>
        <a:xfrm rot="10800000">
          <a:off x="13403580" y="15408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843</xdr:row>
      <xdr:rowOff>0</xdr:rowOff>
    </xdr:from>
    <xdr:to>
      <xdr:col>71</xdr:col>
      <xdr:colOff>83820</xdr:colOff>
      <xdr:row>843</xdr:row>
      <xdr:rowOff>114300</xdr:rowOff>
    </xdr:to>
    <xdr:sp macro="" textlink="">
      <xdr:nvSpPr>
        <xdr:cNvPr id="6463" name="Arrow: Down 6462">
          <a:extLst>
            <a:ext uri="{FF2B5EF4-FFF2-40B4-BE49-F238E27FC236}">
              <a16:creationId xmlns:a16="http://schemas.microsoft.com/office/drawing/2014/main" id="{2AA6AFAF-4F9E-40F6-89A0-BC3AE80CEAFC}"/>
            </a:ext>
          </a:extLst>
        </xdr:cNvPr>
        <xdr:cNvSpPr/>
      </xdr:nvSpPr>
      <xdr:spPr>
        <a:xfrm rot="10800000">
          <a:off x="220065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843</xdr:row>
      <xdr:rowOff>0</xdr:rowOff>
    </xdr:from>
    <xdr:to>
      <xdr:col>60</xdr:col>
      <xdr:colOff>83820</xdr:colOff>
      <xdr:row>843</xdr:row>
      <xdr:rowOff>114300</xdr:rowOff>
    </xdr:to>
    <xdr:sp macro="" textlink="">
      <xdr:nvSpPr>
        <xdr:cNvPr id="6464" name="Arrow: Down 6463">
          <a:extLst>
            <a:ext uri="{FF2B5EF4-FFF2-40B4-BE49-F238E27FC236}">
              <a16:creationId xmlns:a16="http://schemas.microsoft.com/office/drawing/2014/main" id="{7B7FEF8B-F2AE-4F12-8E7B-A85894487850}"/>
            </a:ext>
          </a:extLst>
        </xdr:cNvPr>
        <xdr:cNvSpPr/>
      </xdr:nvSpPr>
      <xdr:spPr>
        <a:xfrm rot="10800000">
          <a:off x="191262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844</xdr:row>
      <xdr:rowOff>0</xdr:rowOff>
    </xdr:from>
    <xdr:to>
      <xdr:col>64</xdr:col>
      <xdr:colOff>83820</xdr:colOff>
      <xdr:row>844</xdr:row>
      <xdr:rowOff>114300</xdr:rowOff>
    </xdr:to>
    <xdr:sp macro="" textlink="">
      <xdr:nvSpPr>
        <xdr:cNvPr id="6465" name="Arrow: Down 6464">
          <a:extLst>
            <a:ext uri="{FF2B5EF4-FFF2-40B4-BE49-F238E27FC236}">
              <a16:creationId xmlns:a16="http://schemas.microsoft.com/office/drawing/2014/main" id="{AC723BC7-EB58-4A38-986D-3A8A103AD7E0}"/>
            </a:ext>
          </a:extLst>
        </xdr:cNvPr>
        <xdr:cNvSpPr/>
      </xdr:nvSpPr>
      <xdr:spPr>
        <a:xfrm rot="10800000">
          <a:off x="19392900" y="15426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844</xdr:row>
      <xdr:rowOff>0</xdr:rowOff>
    </xdr:from>
    <xdr:to>
      <xdr:col>24</xdr:col>
      <xdr:colOff>83820</xdr:colOff>
      <xdr:row>844</xdr:row>
      <xdr:rowOff>114300</xdr:rowOff>
    </xdr:to>
    <xdr:sp macro="" textlink="">
      <xdr:nvSpPr>
        <xdr:cNvPr id="6466" name="Arrow: Down 6465">
          <a:extLst>
            <a:ext uri="{FF2B5EF4-FFF2-40B4-BE49-F238E27FC236}">
              <a16:creationId xmlns:a16="http://schemas.microsoft.com/office/drawing/2014/main" id="{4100FBAB-24CE-41B7-82E3-F9FBAD76878C}"/>
            </a:ext>
          </a:extLst>
        </xdr:cNvPr>
        <xdr:cNvSpPr/>
      </xdr:nvSpPr>
      <xdr:spPr>
        <a:xfrm>
          <a:off x="833628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844</xdr:row>
      <xdr:rowOff>0</xdr:rowOff>
    </xdr:from>
    <xdr:to>
      <xdr:col>5</xdr:col>
      <xdr:colOff>83820</xdr:colOff>
      <xdr:row>844</xdr:row>
      <xdr:rowOff>114300</xdr:rowOff>
    </xdr:to>
    <xdr:sp macro="" textlink="">
      <xdr:nvSpPr>
        <xdr:cNvPr id="6467" name="Arrow: Down 6466">
          <a:extLst>
            <a:ext uri="{FF2B5EF4-FFF2-40B4-BE49-F238E27FC236}">
              <a16:creationId xmlns:a16="http://schemas.microsoft.com/office/drawing/2014/main" id="{C5B97479-A748-47F4-BEC7-D3BB696E1631}"/>
            </a:ext>
          </a:extLst>
        </xdr:cNvPr>
        <xdr:cNvSpPr/>
      </xdr:nvSpPr>
      <xdr:spPr>
        <a:xfrm>
          <a:off x="192786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844</xdr:row>
      <xdr:rowOff>0</xdr:rowOff>
    </xdr:from>
    <xdr:to>
      <xdr:col>11</xdr:col>
      <xdr:colOff>83820</xdr:colOff>
      <xdr:row>844</xdr:row>
      <xdr:rowOff>114300</xdr:rowOff>
    </xdr:to>
    <xdr:sp macro="" textlink="">
      <xdr:nvSpPr>
        <xdr:cNvPr id="6468" name="Arrow: Down 6467">
          <a:extLst>
            <a:ext uri="{FF2B5EF4-FFF2-40B4-BE49-F238E27FC236}">
              <a16:creationId xmlns:a16="http://schemas.microsoft.com/office/drawing/2014/main" id="{17556459-771F-45DA-94E9-E052E7135151}"/>
            </a:ext>
          </a:extLst>
        </xdr:cNvPr>
        <xdr:cNvSpPr/>
      </xdr:nvSpPr>
      <xdr:spPr>
        <a:xfrm>
          <a:off x="369570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844</xdr:row>
      <xdr:rowOff>0</xdr:rowOff>
    </xdr:from>
    <xdr:to>
      <xdr:col>39</xdr:col>
      <xdr:colOff>83820</xdr:colOff>
      <xdr:row>844</xdr:row>
      <xdr:rowOff>114300</xdr:rowOff>
    </xdr:to>
    <xdr:sp macro="" textlink="">
      <xdr:nvSpPr>
        <xdr:cNvPr id="6469" name="Arrow: Down 6468">
          <a:extLst>
            <a:ext uri="{FF2B5EF4-FFF2-40B4-BE49-F238E27FC236}">
              <a16:creationId xmlns:a16="http://schemas.microsoft.com/office/drawing/2014/main" id="{33C5D5BA-BA33-4E67-9403-FA32582D1C05}"/>
            </a:ext>
          </a:extLst>
        </xdr:cNvPr>
        <xdr:cNvSpPr/>
      </xdr:nvSpPr>
      <xdr:spPr>
        <a:xfrm rot="10800000">
          <a:off x="1154430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844</xdr:row>
      <xdr:rowOff>0</xdr:rowOff>
    </xdr:from>
    <xdr:to>
      <xdr:col>45</xdr:col>
      <xdr:colOff>83820</xdr:colOff>
      <xdr:row>844</xdr:row>
      <xdr:rowOff>114300</xdr:rowOff>
    </xdr:to>
    <xdr:sp macro="" textlink="">
      <xdr:nvSpPr>
        <xdr:cNvPr id="6470" name="Arrow: Down 6469">
          <a:extLst>
            <a:ext uri="{FF2B5EF4-FFF2-40B4-BE49-F238E27FC236}">
              <a16:creationId xmlns:a16="http://schemas.microsoft.com/office/drawing/2014/main" id="{FAFF0A2F-97BB-41CB-BCEC-54DD7616BBED}"/>
            </a:ext>
          </a:extLst>
        </xdr:cNvPr>
        <xdr:cNvSpPr/>
      </xdr:nvSpPr>
      <xdr:spPr>
        <a:xfrm rot="10800000">
          <a:off x="1340358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844</xdr:row>
      <xdr:rowOff>0</xdr:rowOff>
    </xdr:from>
    <xdr:to>
      <xdr:col>71</xdr:col>
      <xdr:colOff>83820</xdr:colOff>
      <xdr:row>844</xdr:row>
      <xdr:rowOff>114300</xdr:rowOff>
    </xdr:to>
    <xdr:sp macro="" textlink="">
      <xdr:nvSpPr>
        <xdr:cNvPr id="6471" name="Arrow: Down 6470">
          <a:extLst>
            <a:ext uri="{FF2B5EF4-FFF2-40B4-BE49-F238E27FC236}">
              <a16:creationId xmlns:a16="http://schemas.microsoft.com/office/drawing/2014/main" id="{8F604366-B511-4A7E-88B7-4E913334C81D}"/>
            </a:ext>
          </a:extLst>
        </xdr:cNvPr>
        <xdr:cNvSpPr/>
      </xdr:nvSpPr>
      <xdr:spPr>
        <a:xfrm rot="10800000">
          <a:off x="2200656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845</xdr:row>
      <xdr:rowOff>0</xdr:rowOff>
    </xdr:from>
    <xdr:to>
      <xdr:col>64</xdr:col>
      <xdr:colOff>83820</xdr:colOff>
      <xdr:row>845</xdr:row>
      <xdr:rowOff>114300</xdr:rowOff>
    </xdr:to>
    <xdr:sp macro="" textlink="">
      <xdr:nvSpPr>
        <xdr:cNvPr id="6481" name="Arrow: Down 6480">
          <a:extLst>
            <a:ext uri="{FF2B5EF4-FFF2-40B4-BE49-F238E27FC236}">
              <a16:creationId xmlns:a16="http://schemas.microsoft.com/office/drawing/2014/main" id="{236FCEE5-18A8-4281-A1D2-6B11EAD8E746}"/>
            </a:ext>
          </a:extLst>
        </xdr:cNvPr>
        <xdr:cNvSpPr/>
      </xdr:nvSpPr>
      <xdr:spPr>
        <a:xfrm rot="10800000">
          <a:off x="19392900" y="15444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845</xdr:row>
      <xdr:rowOff>0</xdr:rowOff>
    </xdr:from>
    <xdr:to>
      <xdr:col>45</xdr:col>
      <xdr:colOff>83820</xdr:colOff>
      <xdr:row>845</xdr:row>
      <xdr:rowOff>114300</xdr:rowOff>
    </xdr:to>
    <xdr:sp macro="" textlink="">
      <xdr:nvSpPr>
        <xdr:cNvPr id="6486" name="Arrow: Down 6485">
          <a:extLst>
            <a:ext uri="{FF2B5EF4-FFF2-40B4-BE49-F238E27FC236}">
              <a16:creationId xmlns:a16="http://schemas.microsoft.com/office/drawing/2014/main" id="{38018074-1A45-4649-89EE-09515DD92A6F}"/>
            </a:ext>
          </a:extLst>
        </xdr:cNvPr>
        <xdr:cNvSpPr/>
      </xdr:nvSpPr>
      <xdr:spPr>
        <a:xfrm rot="10800000">
          <a:off x="1340358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845</xdr:row>
      <xdr:rowOff>0</xdr:rowOff>
    </xdr:from>
    <xdr:to>
      <xdr:col>71</xdr:col>
      <xdr:colOff>83820</xdr:colOff>
      <xdr:row>845</xdr:row>
      <xdr:rowOff>114300</xdr:rowOff>
    </xdr:to>
    <xdr:sp macro="" textlink="">
      <xdr:nvSpPr>
        <xdr:cNvPr id="6487" name="Arrow: Down 6486">
          <a:extLst>
            <a:ext uri="{FF2B5EF4-FFF2-40B4-BE49-F238E27FC236}">
              <a16:creationId xmlns:a16="http://schemas.microsoft.com/office/drawing/2014/main" id="{C6CF3D6F-9A78-42EF-A7B0-95FF0B0FE096}"/>
            </a:ext>
          </a:extLst>
        </xdr:cNvPr>
        <xdr:cNvSpPr/>
      </xdr:nvSpPr>
      <xdr:spPr>
        <a:xfrm rot="10800000">
          <a:off x="2200656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845</xdr:row>
      <xdr:rowOff>0</xdr:rowOff>
    </xdr:from>
    <xdr:to>
      <xdr:col>60</xdr:col>
      <xdr:colOff>83820</xdr:colOff>
      <xdr:row>845</xdr:row>
      <xdr:rowOff>114300</xdr:rowOff>
    </xdr:to>
    <xdr:sp macro="" textlink="">
      <xdr:nvSpPr>
        <xdr:cNvPr id="6488" name="Arrow: Down 6487">
          <a:extLst>
            <a:ext uri="{FF2B5EF4-FFF2-40B4-BE49-F238E27FC236}">
              <a16:creationId xmlns:a16="http://schemas.microsoft.com/office/drawing/2014/main" id="{29ABD2D1-1E37-48D1-8D1A-C7155A789550}"/>
            </a:ext>
          </a:extLst>
        </xdr:cNvPr>
        <xdr:cNvSpPr/>
      </xdr:nvSpPr>
      <xdr:spPr>
        <a:xfrm rot="10800000">
          <a:off x="1912620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846</xdr:row>
      <xdr:rowOff>0</xdr:rowOff>
    </xdr:from>
    <xdr:to>
      <xdr:col>64</xdr:col>
      <xdr:colOff>83820</xdr:colOff>
      <xdr:row>846</xdr:row>
      <xdr:rowOff>114300</xdr:rowOff>
    </xdr:to>
    <xdr:sp macro="" textlink="">
      <xdr:nvSpPr>
        <xdr:cNvPr id="6497" name="Arrow: Down 6496">
          <a:extLst>
            <a:ext uri="{FF2B5EF4-FFF2-40B4-BE49-F238E27FC236}">
              <a16:creationId xmlns:a16="http://schemas.microsoft.com/office/drawing/2014/main" id="{07F74FBE-CCDD-4316-A227-7785219954CF}"/>
            </a:ext>
          </a:extLst>
        </xdr:cNvPr>
        <xdr:cNvSpPr/>
      </xdr:nvSpPr>
      <xdr:spPr>
        <a:xfrm rot="10800000">
          <a:off x="19392900" y="15463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846</xdr:row>
      <xdr:rowOff>0</xdr:rowOff>
    </xdr:from>
    <xdr:to>
      <xdr:col>24</xdr:col>
      <xdr:colOff>83820</xdr:colOff>
      <xdr:row>846</xdr:row>
      <xdr:rowOff>114300</xdr:rowOff>
    </xdr:to>
    <xdr:sp macro="" textlink="">
      <xdr:nvSpPr>
        <xdr:cNvPr id="6498" name="Arrow: Down 6497">
          <a:extLst>
            <a:ext uri="{FF2B5EF4-FFF2-40B4-BE49-F238E27FC236}">
              <a16:creationId xmlns:a16="http://schemas.microsoft.com/office/drawing/2014/main" id="{3ED58D9C-3FC8-429E-8BDF-2A4DF9B84ABD}"/>
            </a:ext>
          </a:extLst>
        </xdr:cNvPr>
        <xdr:cNvSpPr/>
      </xdr:nvSpPr>
      <xdr:spPr>
        <a:xfrm>
          <a:off x="8336280" y="1546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846</xdr:row>
      <xdr:rowOff>0</xdr:rowOff>
    </xdr:from>
    <xdr:to>
      <xdr:col>45</xdr:col>
      <xdr:colOff>83820</xdr:colOff>
      <xdr:row>846</xdr:row>
      <xdr:rowOff>114300</xdr:rowOff>
    </xdr:to>
    <xdr:sp macro="" textlink="">
      <xdr:nvSpPr>
        <xdr:cNvPr id="6502" name="Arrow: Down 6501">
          <a:extLst>
            <a:ext uri="{FF2B5EF4-FFF2-40B4-BE49-F238E27FC236}">
              <a16:creationId xmlns:a16="http://schemas.microsoft.com/office/drawing/2014/main" id="{D283D4A9-32AF-4A5B-9D24-9300E178D485}"/>
            </a:ext>
          </a:extLst>
        </xdr:cNvPr>
        <xdr:cNvSpPr/>
      </xdr:nvSpPr>
      <xdr:spPr>
        <a:xfrm rot="10800000">
          <a:off x="13403580" y="15463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847</xdr:row>
      <xdr:rowOff>0</xdr:rowOff>
    </xdr:from>
    <xdr:to>
      <xdr:col>64</xdr:col>
      <xdr:colOff>83820</xdr:colOff>
      <xdr:row>847</xdr:row>
      <xdr:rowOff>114300</xdr:rowOff>
    </xdr:to>
    <xdr:sp macro="" textlink="">
      <xdr:nvSpPr>
        <xdr:cNvPr id="6505" name="Arrow: Down 6504">
          <a:extLst>
            <a:ext uri="{FF2B5EF4-FFF2-40B4-BE49-F238E27FC236}">
              <a16:creationId xmlns:a16="http://schemas.microsoft.com/office/drawing/2014/main" id="{3B544CBD-6097-4FAB-86CD-0B4282F458DD}"/>
            </a:ext>
          </a:extLst>
        </xdr:cNvPr>
        <xdr:cNvSpPr/>
      </xdr:nvSpPr>
      <xdr:spPr>
        <a:xfrm rot="10800000">
          <a:off x="19392900" y="15481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847</xdr:row>
      <xdr:rowOff>0</xdr:rowOff>
    </xdr:from>
    <xdr:to>
      <xdr:col>39</xdr:col>
      <xdr:colOff>83820</xdr:colOff>
      <xdr:row>847</xdr:row>
      <xdr:rowOff>114300</xdr:rowOff>
    </xdr:to>
    <xdr:sp macro="" textlink="">
      <xdr:nvSpPr>
        <xdr:cNvPr id="6509" name="Arrow: Down 6508">
          <a:extLst>
            <a:ext uri="{FF2B5EF4-FFF2-40B4-BE49-F238E27FC236}">
              <a16:creationId xmlns:a16="http://schemas.microsoft.com/office/drawing/2014/main" id="{8D335393-239D-4CD7-9053-227095A3A2F0}"/>
            </a:ext>
          </a:extLst>
        </xdr:cNvPr>
        <xdr:cNvSpPr/>
      </xdr:nvSpPr>
      <xdr:spPr>
        <a:xfrm rot="10800000">
          <a:off x="1154430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847</xdr:row>
      <xdr:rowOff>0</xdr:rowOff>
    </xdr:from>
    <xdr:to>
      <xdr:col>45</xdr:col>
      <xdr:colOff>83820</xdr:colOff>
      <xdr:row>847</xdr:row>
      <xdr:rowOff>114300</xdr:rowOff>
    </xdr:to>
    <xdr:sp macro="" textlink="">
      <xdr:nvSpPr>
        <xdr:cNvPr id="6510" name="Arrow: Down 6509">
          <a:extLst>
            <a:ext uri="{FF2B5EF4-FFF2-40B4-BE49-F238E27FC236}">
              <a16:creationId xmlns:a16="http://schemas.microsoft.com/office/drawing/2014/main" id="{D73521AD-9AA2-471C-A74D-C501B6AAD05C}"/>
            </a:ext>
          </a:extLst>
        </xdr:cNvPr>
        <xdr:cNvSpPr/>
      </xdr:nvSpPr>
      <xdr:spPr>
        <a:xfrm rot="10800000">
          <a:off x="1340358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847</xdr:row>
      <xdr:rowOff>0</xdr:rowOff>
    </xdr:from>
    <xdr:to>
      <xdr:col>71</xdr:col>
      <xdr:colOff>83820</xdr:colOff>
      <xdr:row>847</xdr:row>
      <xdr:rowOff>114300</xdr:rowOff>
    </xdr:to>
    <xdr:sp macro="" textlink="">
      <xdr:nvSpPr>
        <xdr:cNvPr id="6511" name="Arrow: Down 6510">
          <a:extLst>
            <a:ext uri="{FF2B5EF4-FFF2-40B4-BE49-F238E27FC236}">
              <a16:creationId xmlns:a16="http://schemas.microsoft.com/office/drawing/2014/main" id="{D117ACCF-C4AC-423C-B366-7A389B7F1ABE}"/>
            </a:ext>
          </a:extLst>
        </xdr:cNvPr>
        <xdr:cNvSpPr/>
      </xdr:nvSpPr>
      <xdr:spPr>
        <a:xfrm rot="10800000">
          <a:off x="220065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847</xdr:row>
      <xdr:rowOff>0</xdr:rowOff>
    </xdr:from>
    <xdr:to>
      <xdr:col>60</xdr:col>
      <xdr:colOff>83820</xdr:colOff>
      <xdr:row>847</xdr:row>
      <xdr:rowOff>114300</xdr:rowOff>
    </xdr:to>
    <xdr:sp macro="" textlink="">
      <xdr:nvSpPr>
        <xdr:cNvPr id="6512" name="Arrow: Down 6511">
          <a:extLst>
            <a:ext uri="{FF2B5EF4-FFF2-40B4-BE49-F238E27FC236}">
              <a16:creationId xmlns:a16="http://schemas.microsoft.com/office/drawing/2014/main" id="{1B38EC26-5492-4D75-8EA2-DBA5BEBA1BAF}"/>
            </a:ext>
          </a:extLst>
        </xdr:cNvPr>
        <xdr:cNvSpPr/>
      </xdr:nvSpPr>
      <xdr:spPr>
        <a:xfrm rot="10800000">
          <a:off x="191262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848</xdr:row>
      <xdr:rowOff>0</xdr:rowOff>
    </xdr:from>
    <xdr:to>
      <xdr:col>64</xdr:col>
      <xdr:colOff>83820</xdr:colOff>
      <xdr:row>848</xdr:row>
      <xdr:rowOff>114300</xdr:rowOff>
    </xdr:to>
    <xdr:sp macro="" textlink="">
      <xdr:nvSpPr>
        <xdr:cNvPr id="6513" name="Arrow: Down 6512">
          <a:extLst>
            <a:ext uri="{FF2B5EF4-FFF2-40B4-BE49-F238E27FC236}">
              <a16:creationId xmlns:a16="http://schemas.microsoft.com/office/drawing/2014/main" id="{15E559FA-AD06-4E79-AE9F-3B2433C9584B}"/>
            </a:ext>
          </a:extLst>
        </xdr:cNvPr>
        <xdr:cNvSpPr/>
      </xdr:nvSpPr>
      <xdr:spPr>
        <a:xfrm rot="10800000">
          <a:off x="19392900" y="15499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848</xdr:row>
      <xdr:rowOff>0</xdr:rowOff>
    </xdr:from>
    <xdr:to>
      <xdr:col>24</xdr:col>
      <xdr:colOff>83820</xdr:colOff>
      <xdr:row>848</xdr:row>
      <xdr:rowOff>114300</xdr:rowOff>
    </xdr:to>
    <xdr:sp macro="" textlink="">
      <xdr:nvSpPr>
        <xdr:cNvPr id="6514" name="Arrow: Down 6513">
          <a:extLst>
            <a:ext uri="{FF2B5EF4-FFF2-40B4-BE49-F238E27FC236}">
              <a16:creationId xmlns:a16="http://schemas.microsoft.com/office/drawing/2014/main" id="{18CC2334-2280-4341-ACBB-47C097344EA4}"/>
            </a:ext>
          </a:extLst>
        </xdr:cNvPr>
        <xdr:cNvSpPr/>
      </xdr:nvSpPr>
      <xdr:spPr>
        <a:xfrm>
          <a:off x="833628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848</xdr:row>
      <xdr:rowOff>0</xdr:rowOff>
    </xdr:from>
    <xdr:to>
      <xdr:col>5</xdr:col>
      <xdr:colOff>83820</xdr:colOff>
      <xdr:row>848</xdr:row>
      <xdr:rowOff>114300</xdr:rowOff>
    </xdr:to>
    <xdr:sp macro="" textlink="">
      <xdr:nvSpPr>
        <xdr:cNvPr id="6515" name="Arrow: Down 6514">
          <a:extLst>
            <a:ext uri="{FF2B5EF4-FFF2-40B4-BE49-F238E27FC236}">
              <a16:creationId xmlns:a16="http://schemas.microsoft.com/office/drawing/2014/main" id="{C6144B28-F7DE-48ED-AAFF-101CF9EE9892}"/>
            </a:ext>
          </a:extLst>
        </xdr:cNvPr>
        <xdr:cNvSpPr/>
      </xdr:nvSpPr>
      <xdr:spPr>
        <a:xfrm>
          <a:off x="192786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848</xdr:row>
      <xdr:rowOff>0</xdr:rowOff>
    </xdr:from>
    <xdr:to>
      <xdr:col>11</xdr:col>
      <xdr:colOff>83820</xdr:colOff>
      <xdr:row>848</xdr:row>
      <xdr:rowOff>114300</xdr:rowOff>
    </xdr:to>
    <xdr:sp macro="" textlink="">
      <xdr:nvSpPr>
        <xdr:cNvPr id="6516" name="Arrow: Down 6515">
          <a:extLst>
            <a:ext uri="{FF2B5EF4-FFF2-40B4-BE49-F238E27FC236}">
              <a16:creationId xmlns:a16="http://schemas.microsoft.com/office/drawing/2014/main" id="{F115747A-EE3D-46D3-BC88-694737900A09}"/>
            </a:ext>
          </a:extLst>
        </xdr:cNvPr>
        <xdr:cNvSpPr/>
      </xdr:nvSpPr>
      <xdr:spPr>
        <a:xfrm>
          <a:off x="369570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848</xdr:row>
      <xdr:rowOff>0</xdr:rowOff>
    </xdr:from>
    <xdr:to>
      <xdr:col>45</xdr:col>
      <xdr:colOff>83820</xdr:colOff>
      <xdr:row>848</xdr:row>
      <xdr:rowOff>114300</xdr:rowOff>
    </xdr:to>
    <xdr:sp macro="" textlink="">
      <xdr:nvSpPr>
        <xdr:cNvPr id="6518" name="Arrow: Down 6517">
          <a:extLst>
            <a:ext uri="{FF2B5EF4-FFF2-40B4-BE49-F238E27FC236}">
              <a16:creationId xmlns:a16="http://schemas.microsoft.com/office/drawing/2014/main" id="{742EDDA5-9519-4C0F-8861-C4DABE56A143}"/>
            </a:ext>
          </a:extLst>
        </xdr:cNvPr>
        <xdr:cNvSpPr/>
      </xdr:nvSpPr>
      <xdr:spPr>
        <a:xfrm rot="10800000">
          <a:off x="13403580" y="15499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848</xdr:row>
      <xdr:rowOff>0</xdr:rowOff>
    </xdr:from>
    <xdr:to>
      <xdr:col>71</xdr:col>
      <xdr:colOff>83820</xdr:colOff>
      <xdr:row>848</xdr:row>
      <xdr:rowOff>114300</xdr:rowOff>
    </xdr:to>
    <xdr:sp macro="" textlink="">
      <xdr:nvSpPr>
        <xdr:cNvPr id="6519" name="Arrow: Down 6518">
          <a:extLst>
            <a:ext uri="{FF2B5EF4-FFF2-40B4-BE49-F238E27FC236}">
              <a16:creationId xmlns:a16="http://schemas.microsoft.com/office/drawing/2014/main" id="{194D5FB0-0121-4CDD-96F0-9BB131350BC7}"/>
            </a:ext>
          </a:extLst>
        </xdr:cNvPr>
        <xdr:cNvSpPr/>
      </xdr:nvSpPr>
      <xdr:spPr>
        <a:xfrm rot="10800000">
          <a:off x="220065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848</xdr:row>
      <xdr:rowOff>0</xdr:rowOff>
    </xdr:from>
    <xdr:to>
      <xdr:col>60</xdr:col>
      <xdr:colOff>83820</xdr:colOff>
      <xdr:row>848</xdr:row>
      <xdr:rowOff>114300</xdr:rowOff>
    </xdr:to>
    <xdr:sp macro="" textlink="">
      <xdr:nvSpPr>
        <xdr:cNvPr id="6520" name="Arrow: Down 6519">
          <a:extLst>
            <a:ext uri="{FF2B5EF4-FFF2-40B4-BE49-F238E27FC236}">
              <a16:creationId xmlns:a16="http://schemas.microsoft.com/office/drawing/2014/main" id="{CFDA3903-103A-43C3-B211-14ABAF23ADF7}"/>
            </a:ext>
          </a:extLst>
        </xdr:cNvPr>
        <xdr:cNvSpPr/>
      </xdr:nvSpPr>
      <xdr:spPr>
        <a:xfrm rot="10800000">
          <a:off x="191262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849</xdr:row>
      <xdr:rowOff>0</xdr:rowOff>
    </xdr:from>
    <xdr:to>
      <xdr:col>64</xdr:col>
      <xdr:colOff>83820</xdr:colOff>
      <xdr:row>849</xdr:row>
      <xdr:rowOff>114300</xdr:rowOff>
    </xdr:to>
    <xdr:sp macro="" textlink="">
      <xdr:nvSpPr>
        <xdr:cNvPr id="6529" name="Arrow: Down 6528">
          <a:extLst>
            <a:ext uri="{FF2B5EF4-FFF2-40B4-BE49-F238E27FC236}">
              <a16:creationId xmlns:a16="http://schemas.microsoft.com/office/drawing/2014/main" id="{A3E6A793-EF39-41DF-92CA-1AACF03115A5}"/>
            </a:ext>
          </a:extLst>
        </xdr:cNvPr>
        <xdr:cNvSpPr/>
      </xdr:nvSpPr>
      <xdr:spPr>
        <a:xfrm rot="10800000">
          <a:off x="19392900" y="15518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849</xdr:row>
      <xdr:rowOff>0</xdr:rowOff>
    </xdr:from>
    <xdr:to>
      <xdr:col>24</xdr:col>
      <xdr:colOff>83820</xdr:colOff>
      <xdr:row>849</xdr:row>
      <xdr:rowOff>114300</xdr:rowOff>
    </xdr:to>
    <xdr:sp macro="" textlink="">
      <xdr:nvSpPr>
        <xdr:cNvPr id="6530" name="Arrow: Down 6529">
          <a:extLst>
            <a:ext uri="{FF2B5EF4-FFF2-40B4-BE49-F238E27FC236}">
              <a16:creationId xmlns:a16="http://schemas.microsoft.com/office/drawing/2014/main" id="{1C78AB60-2612-47C0-8270-8376C4B72153}"/>
            </a:ext>
          </a:extLst>
        </xdr:cNvPr>
        <xdr:cNvSpPr/>
      </xdr:nvSpPr>
      <xdr:spPr>
        <a:xfrm>
          <a:off x="8336280" y="1551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849</xdr:row>
      <xdr:rowOff>0</xdr:rowOff>
    </xdr:from>
    <xdr:to>
      <xdr:col>45</xdr:col>
      <xdr:colOff>83820</xdr:colOff>
      <xdr:row>849</xdr:row>
      <xdr:rowOff>114300</xdr:rowOff>
    </xdr:to>
    <xdr:sp macro="" textlink="">
      <xdr:nvSpPr>
        <xdr:cNvPr id="6534" name="Arrow: Down 6533">
          <a:extLst>
            <a:ext uri="{FF2B5EF4-FFF2-40B4-BE49-F238E27FC236}">
              <a16:creationId xmlns:a16="http://schemas.microsoft.com/office/drawing/2014/main" id="{28DF50DD-7A2E-489F-A370-5969DB4ABFB4}"/>
            </a:ext>
          </a:extLst>
        </xdr:cNvPr>
        <xdr:cNvSpPr/>
      </xdr:nvSpPr>
      <xdr:spPr>
        <a:xfrm rot="10800000">
          <a:off x="13403580" y="15518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849</xdr:row>
      <xdr:rowOff>0</xdr:rowOff>
    </xdr:from>
    <xdr:to>
      <xdr:col>71</xdr:col>
      <xdr:colOff>83820</xdr:colOff>
      <xdr:row>849</xdr:row>
      <xdr:rowOff>114300</xdr:rowOff>
    </xdr:to>
    <xdr:sp macro="" textlink="">
      <xdr:nvSpPr>
        <xdr:cNvPr id="6535" name="Arrow: Down 6534">
          <a:extLst>
            <a:ext uri="{FF2B5EF4-FFF2-40B4-BE49-F238E27FC236}">
              <a16:creationId xmlns:a16="http://schemas.microsoft.com/office/drawing/2014/main" id="{5150BD4B-95E8-4172-B72F-09D109904DC7}"/>
            </a:ext>
          </a:extLst>
        </xdr:cNvPr>
        <xdr:cNvSpPr/>
      </xdr:nvSpPr>
      <xdr:spPr>
        <a:xfrm rot="10800000">
          <a:off x="2200656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850</xdr:row>
      <xdr:rowOff>0</xdr:rowOff>
    </xdr:from>
    <xdr:to>
      <xdr:col>64</xdr:col>
      <xdr:colOff>83820</xdr:colOff>
      <xdr:row>850</xdr:row>
      <xdr:rowOff>114300</xdr:rowOff>
    </xdr:to>
    <xdr:sp macro="" textlink="">
      <xdr:nvSpPr>
        <xdr:cNvPr id="6537" name="Arrow: Down 6536">
          <a:extLst>
            <a:ext uri="{FF2B5EF4-FFF2-40B4-BE49-F238E27FC236}">
              <a16:creationId xmlns:a16="http://schemas.microsoft.com/office/drawing/2014/main" id="{A38E2706-65BD-4551-99B0-ED8650F33161}"/>
            </a:ext>
          </a:extLst>
        </xdr:cNvPr>
        <xdr:cNvSpPr/>
      </xdr:nvSpPr>
      <xdr:spPr>
        <a:xfrm rot="10800000">
          <a:off x="19392900" y="15536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850</xdr:row>
      <xdr:rowOff>0</xdr:rowOff>
    </xdr:from>
    <xdr:to>
      <xdr:col>24</xdr:col>
      <xdr:colOff>83820</xdr:colOff>
      <xdr:row>850</xdr:row>
      <xdr:rowOff>114300</xdr:rowOff>
    </xdr:to>
    <xdr:sp macro="" textlink="">
      <xdr:nvSpPr>
        <xdr:cNvPr id="6538" name="Arrow: Down 6537">
          <a:extLst>
            <a:ext uri="{FF2B5EF4-FFF2-40B4-BE49-F238E27FC236}">
              <a16:creationId xmlns:a16="http://schemas.microsoft.com/office/drawing/2014/main" id="{EA5A8B0B-5625-463A-8CF3-E7F0C693A6DA}"/>
            </a:ext>
          </a:extLst>
        </xdr:cNvPr>
        <xdr:cNvSpPr/>
      </xdr:nvSpPr>
      <xdr:spPr>
        <a:xfrm>
          <a:off x="833628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850</xdr:row>
      <xdr:rowOff>0</xdr:rowOff>
    </xdr:from>
    <xdr:to>
      <xdr:col>5</xdr:col>
      <xdr:colOff>83820</xdr:colOff>
      <xdr:row>850</xdr:row>
      <xdr:rowOff>114300</xdr:rowOff>
    </xdr:to>
    <xdr:sp macro="" textlink="">
      <xdr:nvSpPr>
        <xdr:cNvPr id="6539" name="Arrow: Down 6538">
          <a:extLst>
            <a:ext uri="{FF2B5EF4-FFF2-40B4-BE49-F238E27FC236}">
              <a16:creationId xmlns:a16="http://schemas.microsoft.com/office/drawing/2014/main" id="{C7C56A8D-CB5C-433C-BF08-97CB8DBDFEAF}"/>
            </a:ext>
          </a:extLst>
        </xdr:cNvPr>
        <xdr:cNvSpPr/>
      </xdr:nvSpPr>
      <xdr:spPr>
        <a:xfrm>
          <a:off x="192786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850</xdr:row>
      <xdr:rowOff>0</xdr:rowOff>
    </xdr:from>
    <xdr:to>
      <xdr:col>11</xdr:col>
      <xdr:colOff>83820</xdr:colOff>
      <xdr:row>850</xdr:row>
      <xdr:rowOff>114300</xdr:rowOff>
    </xdr:to>
    <xdr:sp macro="" textlink="">
      <xdr:nvSpPr>
        <xdr:cNvPr id="6540" name="Arrow: Down 6539">
          <a:extLst>
            <a:ext uri="{FF2B5EF4-FFF2-40B4-BE49-F238E27FC236}">
              <a16:creationId xmlns:a16="http://schemas.microsoft.com/office/drawing/2014/main" id="{62411A9B-B48E-4483-A9DA-FD9DD69AC369}"/>
            </a:ext>
          </a:extLst>
        </xdr:cNvPr>
        <xdr:cNvSpPr/>
      </xdr:nvSpPr>
      <xdr:spPr>
        <a:xfrm>
          <a:off x="36957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850</xdr:row>
      <xdr:rowOff>0</xdr:rowOff>
    </xdr:from>
    <xdr:to>
      <xdr:col>45</xdr:col>
      <xdr:colOff>83820</xdr:colOff>
      <xdr:row>850</xdr:row>
      <xdr:rowOff>114300</xdr:rowOff>
    </xdr:to>
    <xdr:sp macro="" textlink="">
      <xdr:nvSpPr>
        <xdr:cNvPr id="6542" name="Arrow: Down 6541">
          <a:extLst>
            <a:ext uri="{FF2B5EF4-FFF2-40B4-BE49-F238E27FC236}">
              <a16:creationId xmlns:a16="http://schemas.microsoft.com/office/drawing/2014/main" id="{E4DEC4CC-50A1-41D3-8260-03E367EC56C3}"/>
            </a:ext>
          </a:extLst>
        </xdr:cNvPr>
        <xdr:cNvSpPr/>
      </xdr:nvSpPr>
      <xdr:spPr>
        <a:xfrm rot="10800000">
          <a:off x="13403580" y="15536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850</xdr:row>
      <xdr:rowOff>0</xdr:rowOff>
    </xdr:from>
    <xdr:to>
      <xdr:col>71</xdr:col>
      <xdr:colOff>83820</xdr:colOff>
      <xdr:row>850</xdr:row>
      <xdr:rowOff>114300</xdr:rowOff>
    </xdr:to>
    <xdr:sp macro="" textlink="">
      <xdr:nvSpPr>
        <xdr:cNvPr id="6543" name="Arrow: Down 6542">
          <a:extLst>
            <a:ext uri="{FF2B5EF4-FFF2-40B4-BE49-F238E27FC236}">
              <a16:creationId xmlns:a16="http://schemas.microsoft.com/office/drawing/2014/main" id="{671AC7D8-7E0F-406A-BF1B-ED111706436C}"/>
            </a:ext>
          </a:extLst>
        </xdr:cNvPr>
        <xdr:cNvSpPr/>
      </xdr:nvSpPr>
      <xdr:spPr>
        <a:xfrm rot="10800000">
          <a:off x="220065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850</xdr:row>
      <xdr:rowOff>0</xdr:rowOff>
    </xdr:from>
    <xdr:to>
      <xdr:col>60</xdr:col>
      <xdr:colOff>83820</xdr:colOff>
      <xdr:row>850</xdr:row>
      <xdr:rowOff>114300</xdr:rowOff>
    </xdr:to>
    <xdr:sp macro="" textlink="">
      <xdr:nvSpPr>
        <xdr:cNvPr id="6544" name="Arrow: Down 6543">
          <a:extLst>
            <a:ext uri="{FF2B5EF4-FFF2-40B4-BE49-F238E27FC236}">
              <a16:creationId xmlns:a16="http://schemas.microsoft.com/office/drawing/2014/main" id="{2F25F8D5-7B50-423D-B04C-50896B8A3275}"/>
            </a:ext>
          </a:extLst>
        </xdr:cNvPr>
        <xdr:cNvSpPr/>
      </xdr:nvSpPr>
      <xdr:spPr>
        <a:xfrm rot="10800000">
          <a:off x="191262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851</xdr:row>
      <xdr:rowOff>0</xdr:rowOff>
    </xdr:from>
    <xdr:to>
      <xdr:col>64</xdr:col>
      <xdr:colOff>83820</xdr:colOff>
      <xdr:row>851</xdr:row>
      <xdr:rowOff>114300</xdr:rowOff>
    </xdr:to>
    <xdr:sp macro="" textlink="">
      <xdr:nvSpPr>
        <xdr:cNvPr id="6545" name="Arrow: Down 6544">
          <a:extLst>
            <a:ext uri="{FF2B5EF4-FFF2-40B4-BE49-F238E27FC236}">
              <a16:creationId xmlns:a16="http://schemas.microsoft.com/office/drawing/2014/main" id="{732FB835-2A46-4DD2-A48C-32A21529E4C4}"/>
            </a:ext>
          </a:extLst>
        </xdr:cNvPr>
        <xdr:cNvSpPr/>
      </xdr:nvSpPr>
      <xdr:spPr>
        <a:xfrm rot="10800000">
          <a:off x="19392900" y="15554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851</xdr:row>
      <xdr:rowOff>0</xdr:rowOff>
    </xdr:from>
    <xdr:to>
      <xdr:col>24</xdr:col>
      <xdr:colOff>83820</xdr:colOff>
      <xdr:row>851</xdr:row>
      <xdr:rowOff>114300</xdr:rowOff>
    </xdr:to>
    <xdr:sp macro="" textlink="">
      <xdr:nvSpPr>
        <xdr:cNvPr id="6546" name="Arrow: Down 6545">
          <a:extLst>
            <a:ext uri="{FF2B5EF4-FFF2-40B4-BE49-F238E27FC236}">
              <a16:creationId xmlns:a16="http://schemas.microsoft.com/office/drawing/2014/main" id="{7A81EBE6-E7F2-4009-989A-72331E6251B2}"/>
            </a:ext>
          </a:extLst>
        </xdr:cNvPr>
        <xdr:cNvSpPr/>
      </xdr:nvSpPr>
      <xdr:spPr>
        <a:xfrm>
          <a:off x="833628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851</xdr:row>
      <xdr:rowOff>0</xdr:rowOff>
    </xdr:from>
    <xdr:to>
      <xdr:col>5</xdr:col>
      <xdr:colOff>83820</xdr:colOff>
      <xdr:row>851</xdr:row>
      <xdr:rowOff>114300</xdr:rowOff>
    </xdr:to>
    <xdr:sp macro="" textlink="">
      <xdr:nvSpPr>
        <xdr:cNvPr id="6547" name="Arrow: Down 6546">
          <a:extLst>
            <a:ext uri="{FF2B5EF4-FFF2-40B4-BE49-F238E27FC236}">
              <a16:creationId xmlns:a16="http://schemas.microsoft.com/office/drawing/2014/main" id="{7AFD50FA-02CA-490D-AF79-F5624D0B9D7D}"/>
            </a:ext>
          </a:extLst>
        </xdr:cNvPr>
        <xdr:cNvSpPr/>
      </xdr:nvSpPr>
      <xdr:spPr>
        <a:xfrm>
          <a:off x="192786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851</xdr:row>
      <xdr:rowOff>0</xdr:rowOff>
    </xdr:from>
    <xdr:to>
      <xdr:col>11</xdr:col>
      <xdr:colOff>83820</xdr:colOff>
      <xdr:row>851</xdr:row>
      <xdr:rowOff>114300</xdr:rowOff>
    </xdr:to>
    <xdr:sp macro="" textlink="">
      <xdr:nvSpPr>
        <xdr:cNvPr id="6548" name="Arrow: Down 6547">
          <a:extLst>
            <a:ext uri="{FF2B5EF4-FFF2-40B4-BE49-F238E27FC236}">
              <a16:creationId xmlns:a16="http://schemas.microsoft.com/office/drawing/2014/main" id="{0297011A-2375-48C7-9F7B-D7F3B2D87DD5}"/>
            </a:ext>
          </a:extLst>
        </xdr:cNvPr>
        <xdr:cNvSpPr/>
      </xdr:nvSpPr>
      <xdr:spPr>
        <a:xfrm>
          <a:off x="369570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851</xdr:row>
      <xdr:rowOff>0</xdr:rowOff>
    </xdr:from>
    <xdr:to>
      <xdr:col>45</xdr:col>
      <xdr:colOff>83820</xdr:colOff>
      <xdr:row>851</xdr:row>
      <xdr:rowOff>114300</xdr:rowOff>
    </xdr:to>
    <xdr:sp macro="" textlink="">
      <xdr:nvSpPr>
        <xdr:cNvPr id="6550" name="Arrow: Down 6549">
          <a:extLst>
            <a:ext uri="{FF2B5EF4-FFF2-40B4-BE49-F238E27FC236}">
              <a16:creationId xmlns:a16="http://schemas.microsoft.com/office/drawing/2014/main" id="{C86C2996-98BF-4D07-9C56-3D0110778539}"/>
            </a:ext>
          </a:extLst>
        </xdr:cNvPr>
        <xdr:cNvSpPr/>
      </xdr:nvSpPr>
      <xdr:spPr>
        <a:xfrm rot="10800000">
          <a:off x="13403580" y="15554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851</xdr:row>
      <xdr:rowOff>0</xdr:rowOff>
    </xdr:from>
    <xdr:to>
      <xdr:col>71</xdr:col>
      <xdr:colOff>83820</xdr:colOff>
      <xdr:row>851</xdr:row>
      <xdr:rowOff>114300</xdr:rowOff>
    </xdr:to>
    <xdr:sp macro="" textlink="">
      <xdr:nvSpPr>
        <xdr:cNvPr id="6551" name="Arrow: Down 6550">
          <a:extLst>
            <a:ext uri="{FF2B5EF4-FFF2-40B4-BE49-F238E27FC236}">
              <a16:creationId xmlns:a16="http://schemas.microsoft.com/office/drawing/2014/main" id="{27A81CD7-CAC2-4A8A-8328-41894BD5D8C2}"/>
            </a:ext>
          </a:extLst>
        </xdr:cNvPr>
        <xdr:cNvSpPr/>
      </xdr:nvSpPr>
      <xdr:spPr>
        <a:xfrm rot="10800000">
          <a:off x="2200656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838</xdr:row>
      <xdr:rowOff>0</xdr:rowOff>
    </xdr:from>
    <xdr:to>
      <xdr:col>5</xdr:col>
      <xdr:colOff>83820</xdr:colOff>
      <xdr:row>838</xdr:row>
      <xdr:rowOff>114300</xdr:rowOff>
    </xdr:to>
    <xdr:sp macro="" textlink="">
      <xdr:nvSpPr>
        <xdr:cNvPr id="6553" name="Arrow: Down 6552">
          <a:extLst>
            <a:ext uri="{FF2B5EF4-FFF2-40B4-BE49-F238E27FC236}">
              <a16:creationId xmlns:a16="http://schemas.microsoft.com/office/drawing/2014/main" id="{B2102570-4DF4-467E-804E-2A6DDFB9CB8C}"/>
            </a:ext>
          </a:extLst>
        </xdr:cNvPr>
        <xdr:cNvSpPr/>
      </xdr:nvSpPr>
      <xdr:spPr>
        <a:xfrm rot="10800000">
          <a:off x="19278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838</xdr:row>
      <xdr:rowOff>0</xdr:rowOff>
    </xdr:from>
    <xdr:to>
      <xdr:col>11</xdr:col>
      <xdr:colOff>83820</xdr:colOff>
      <xdr:row>838</xdr:row>
      <xdr:rowOff>114300</xdr:rowOff>
    </xdr:to>
    <xdr:sp macro="" textlink="">
      <xdr:nvSpPr>
        <xdr:cNvPr id="6555" name="Arrow: Down 6554">
          <a:extLst>
            <a:ext uri="{FF2B5EF4-FFF2-40B4-BE49-F238E27FC236}">
              <a16:creationId xmlns:a16="http://schemas.microsoft.com/office/drawing/2014/main" id="{03A11E60-E09D-4A59-8FED-C41B17BE46CC}"/>
            </a:ext>
          </a:extLst>
        </xdr:cNvPr>
        <xdr:cNvSpPr/>
      </xdr:nvSpPr>
      <xdr:spPr>
        <a:xfrm rot="10800000">
          <a:off x="36957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839</xdr:row>
      <xdr:rowOff>0</xdr:rowOff>
    </xdr:from>
    <xdr:to>
      <xdr:col>5</xdr:col>
      <xdr:colOff>83820</xdr:colOff>
      <xdr:row>839</xdr:row>
      <xdr:rowOff>114300</xdr:rowOff>
    </xdr:to>
    <xdr:sp macro="" textlink="">
      <xdr:nvSpPr>
        <xdr:cNvPr id="6556" name="Arrow: Down 6555">
          <a:extLst>
            <a:ext uri="{FF2B5EF4-FFF2-40B4-BE49-F238E27FC236}">
              <a16:creationId xmlns:a16="http://schemas.microsoft.com/office/drawing/2014/main" id="{FF6C2FCD-3339-4E5B-956F-66167C58BF63}"/>
            </a:ext>
          </a:extLst>
        </xdr:cNvPr>
        <xdr:cNvSpPr/>
      </xdr:nvSpPr>
      <xdr:spPr>
        <a:xfrm rot="10800000">
          <a:off x="19278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839</xdr:row>
      <xdr:rowOff>0</xdr:rowOff>
    </xdr:from>
    <xdr:to>
      <xdr:col>11</xdr:col>
      <xdr:colOff>83820</xdr:colOff>
      <xdr:row>839</xdr:row>
      <xdr:rowOff>114300</xdr:rowOff>
    </xdr:to>
    <xdr:sp macro="" textlink="">
      <xdr:nvSpPr>
        <xdr:cNvPr id="6557" name="Arrow: Down 6556">
          <a:extLst>
            <a:ext uri="{FF2B5EF4-FFF2-40B4-BE49-F238E27FC236}">
              <a16:creationId xmlns:a16="http://schemas.microsoft.com/office/drawing/2014/main" id="{E4F27079-5DF8-4B99-841C-4EAFDDDD1BAD}"/>
            </a:ext>
          </a:extLst>
        </xdr:cNvPr>
        <xdr:cNvSpPr/>
      </xdr:nvSpPr>
      <xdr:spPr>
        <a:xfrm rot="10800000">
          <a:off x="369570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842</xdr:row>
      <xdr:rowOff>0</xdr:rowOff>
    </xdr:from>
    <xdr:to>
      <xdr:col>5</xdr:col>
      <xdr:colOff>83820</xdr:colOff>
      <xdr:row>842</xdr:row>
      <xdr:rowOff>114300</xdr:rowOff>
    </xdr:to>
    <xdr:sp macro="" textlink="">
      <xdr:nvSpPr>
        <xdr:cNvPr id="6558" name="Arrow: Down 6557">
          <a:extLst>
            <a:ext uri="{FF2B5EF4-FFF2-40B4-BE49-F238E27FC236}">
              <a16:creationId xmlns:a16="http://schemas.microsoft.com/office/drawing/2014/main" id="{3CDB161B-C677-4195-A818-AA0DCA209781}"/>
            </a:ext>
          </a:extLst>
        </xdr:cNvPr>
        <xdr:cNvSpPr/>
      </xdr:nvSpPr>
      <xdr:spPr>
        <a:xfrm rot="10800000">
          <a:off x="19278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842</xdr:row>
      <xdr:rowOff>0</xdr:rowOff>
    </xdr:from>
    <xdr:to>
      <xdr:col>11</xdr:col>
      <xdr:colOff>83820</xdr:colOff>
      <xdr:row>842</xdr:row>
      <xdr:rowOff>114300</xdr:rowOff>
    </xdr:to>
    <xdr:sp macro="" textlink="">
      <xdr:nvSpPr>
        <xdr:cNvPr id="6559" name="Arrow: Down 6558">
          <a:extLst>
            <a:ext uri="{FF2B5EF4-FFF2-40B4-BE49-F238E27FC236}">
              <a16:creationId xmlns:a16="http://schemas.microsoft.com/office/drawing/2014/main" id="{2ED06630-E975-465B-9696-0814A5361066}"/>
            </a:ext>
          </a:extLst>
        </xdr:cNvPr>
        <xdr:cNvSpPr/>
      </xdr:nvSpPr>
      <xdr:spPr>
        <a:xfrm rot="10800000">
          <a:off x="36957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845</xdr:row>
      <xdr:rowOff>0</xdr:rowOff>
    </xdr:from>
    <xdr:to>
      <xdr:col>5</xdr:col>
      <xdr:colOff>83820</xdr:colOff>
      <xdr:row>845</xdr:row>
      <xdr:rowOff>114300</xdr:rowOff>
    </xdr:to>
    <xdr:sp macro="" textlink="">
      <xdr:nvSpPr>
        <xdr:cNvPr id="6560" name="Arrow: Down 6559">
          <a:extLst>
            <a:ext uri="{FF2B5EF4-FFF2-40B4-BE49-F238E27FC236}">
              <a16:creationId xmlns:a16="http://schemas.microsoft.com/office/drawing/2014/main" id="{DE5214B9-DBC7-4546-88E6-B71E08343FD7}"/>
            </a:ext>
          </a:extLst>
        </xdr:cNvPr>
        <xdr:cNvSpPr/>
      </xdr:nvSpPr>
      <xdr:spPr>
        <a:xfrm rot="10800000">
          <a:off x="192786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845</xdr:row>
      <xdr:rowOff>0</xdr:rowOff>
    </xdr:from>
    <xdr:to>
      <xdr:col>11</xdr:col>
      <xdr:colOff>83820</xdr:colOff>
      <xdr:row>845</xdr:row>
      <xdr:rowOff>114300</xdr:rowOff>
    </xdr:to>
    <xdr:sp macro="" textlink="">
      <xdr:nvSpPr>
        <xdr:cNvPr id="6561" name="Arrow: Down 6560">
          <a:extLst>
            <a:ext uri="{FF2B5EF4-FFF2-40B4-BE49-F238E27FC236}">
              <a16:creationId xmlns:a16="http://schemas.microsoft.com/office/drawing/2014/main" id="{B8DFB2E9-6E35-4767-929C-22413D995F83}"/>
            </a:ext>
          </a:extLst>
        </xdr:cNvPr>
        <xdr:cNvSpPr/>
      </xdr:nvSpPr>
      <xdr:spPr>
        <a:xfrm rot="10800000">
          <a:off x="36957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846</xdr:row>
      <xdr:rowOff>0</xdr:rowOff>
    </xdr:from>
    <xdr:to>
      <xdr:col>5</xdr:col>
      <xdr:colOff>83820</xdr:colOff>
      <xdr:row>846</xdr:row>
      <xdr:rowOff>114300</xdr:rowOff>
    </xdr:to>
    <xdr:sp macro="" textlink="">
      <xdr:nvSpPr>
        <xdr:cNvPr id="6562" name="Arrow: Down 6561">
          <a:extLst>
            <a:ext uri="{FF2B5EF4-FFF2-40B4-BE49-F238E27FC236}">
              <a16:creationId xmlns:a16="http://schemas.microsoft.com/office/drawing/2014/main" id="{91616E55-3262-49A3-B3CB-6C4FCABFABE3}"/>
            </a:ext>
          </a:extLst>
        </xdr:cNvPr>
        <xdr:cNvSpPr/>
      </xdr:nvSpPr>
      <xdr:spPr>
        <a:xfrm rot="10800000">
          <a:off x="19278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846</xdr:row>
      <xdr:rowOff>0</xdr:rowOff>
    </xdr:from>
    <xdr:to>
      <xdr:col>11</xdr:col>
      <xdr:colOff>83820</xdr:colOff>
      <xdr:row>846</xdr:row>
      <xdr:rowOff>114300</xdr:rowOff>
    </xdr:to>
    <xdr:sp macro="" textlink="">
      <xdr:nvSpPr>
        <xdr:cNvPr id="6563" name="Arrow: Down 6562">
          <a:extLst>
            <a:ext uri="{FF2B5EF4-FFF2-40B4-BE49-F238E27FC236}">
              <a16:creationId xmlns:a16="http://schemas.microsoft.com/office/drawing/2014/main" id="{E1E9C618-9D1E-4F9B-A8A0-A86071BAD172}"/>
            </a:ext>
          </a:extLst>
        </xdr:cNvPr>
        <xdr:cNvSpPr/>
      </xdr:nvSpPr>
      <xdr:spPr>
        <a:xfrm rot="10800000">
          <a:off x="36957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83820</xdr:colOff>
      <xdr:row>840</xdr:row>
      <xdr:rowOff>114300</xdr:rowOff>
    </xdr:to>
    <xdr:sp macro="" textlink="">
      <xdr:nvSpPr>
        <xdr:cNvPr id="6564" name="Arrow: Down 6563">
          <a:extLst>
            <a:ext uri="{FF2B5EF4-FFF2-40B4-BE49-F238E27FC236}">
              <a16:creationId xmlns:a16="http://schemas.microsoft.com/office/drawing/2014/main" id="{B2B41892-4810-4D15-98C5-9DCC1C7CF465}"/>
            </a:ext>
          </a:extLst>
        </xdr:cNvPr>
        <xdr:cNvSpPr/>
      </xdr:nvSpPr>
      <xdr:spPr>
        <a:xfrm rot="10800000">
          <a:off x="19278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840</xdr:row>
      <xdr:rowOff>0</xdr:rowOff>
    </xdr:from>
    <xdr:to>
      <xdr:col>11</xdr:col>
      <xdr:colOff>83820</xdr:colOff>
      <xdr:row>840</xdr:row>
      <xdr:rowOff>114300</xdr:rowOff>
    </xdr:to>
    <xdr:sp macro="" textlink="">
      <xdr:nvSpPr>
        <xdr:cNvPr id="6565" name="Arrow: Down 6564">
          <a:extLst>
            <a:ext uri="{FF2B5EF4-FFF2-40B4-BE49-F238E27FC236}">
              <a16:creationId xmlns:a16="http://schemas.microsoft.com/office/drawing/2014/main" id="{52875C89-55A9-4C8C-8EBB-6477F0912420}"/>
            </a:ext>
          </a:extLst>
        </xdr:cNvPr>
        <xdr:cNvSpPr/>
      </xdr:nvSpPr>
      <xdr:spPr>
        <a:xfrm rot="10800000">
          <a:off x="36957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847</xdr:row>
      <xdr:rowOff>0</xdr:rowOff>
    </xdr:from>
    <xdr:to>
      <xdr:col>5</xdr:col>
      <xdr:colOff>83820</xdr:colOff>
      <xdr:row>847</xdr:row>
      <xdr:rowOff>114300</xdr:rowOff>
    </xdr:to>
    <xdr:sp macro="" textlink="">
      <xdr:nvSpPr>
        <xdr:cNvPr id="6567" name="Arrow: Down 6566">
          <a:extLst>
            <a:ext uri="{FF2B5EF4-FFF2-40B4-BE49-F238E27FC236}">
              <a16:creationId xmlns:a16="http://schemas.microsoft.com/office/drawing/2014/main" id="{4B6C9A4A-FFB7-45DA-8161-78170A6952D2}"/>
            </a:ext>
          </a:extLst>
        </xdr:cNvPr>
        <xdr:cNvSpPr/>
      </xdr:nvSpPr>
      <xdr:spPr>
        <a:xfrm rot="10800000">
          <a:off x="19278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847</xdr:row>
      <xdr:rowOff>0</xdr:rowOff>
    </xdr:from>
    <xdr:to>
      <xdr:col>11</xdr:col>
      <xdr:colOff>83820</xdr:colOff>
      <xdr:row>847</xdr:row>
      <xdr:rowOff>114300</xdr:rowOff>
    </xdr:to>
    <xdr:sp macro="" textlink="">
      <xdr:nvSpPr>
        <xdr:cNvPr id="6568" name="Arrow: Down 6567">
          <a:extLst>
            <a:ext uri="{FF2B5EF4-FFF2-40B4-BE49-F238E27FC236}">
              <a16:creationId xmlns:a16="http://schemas.microsoft.com/office/drawing/2014/main" id="{C3D35516-0FCC-4F17-BEA4-830AD02385F3}"/>
            </a:ext>
          </a:extLst>
        </xdr:cNvPr>
        <xdr:cNvSpPr/>
      </xdr:nvSpPr>
      <xdr:spPr>
        <a:xfrm rot="10800000">
          <a:off x="36957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849</xdr:row>
      <xdr:rowOff>0</xdr:rowOff>
    </xdr:from>
    <xdr:to>
      <xdr:col>5</xdr:col>
      <xdr:colOff>83820</xdr:colOff>
      <xdr:row>849</xdr:row>
      <xdr:rowOff>114300</xdr:rowOff>
    </xdr:to>
    <xdr:sp macro="" textlink="">
      <xdr:nvSpPr>
        <xdr:cNvPr id="6569" name="Arrow: Down 6568">
          <a:extLst>
            <a:ext uri="{FF2B5EF4-FFF2-40B4-BE49-F238E27FC236}">
              <a16:creationId xmlns:a16="http://schemas.microsoft.com/office/drawing/2014/main" id="{1C717127-A277-4C5F-9D11-492D042D1063}"/>
            </a:ext>
          </a:extLst>
        </xdr:cNvPr>
        <xdr:cNvSpPr/>
      </xdr:nvSpPr>
      <xdr:spPr>
        <a:xfrm rot="10800000">
          <a:off x="19278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849</xdr:row>
      <xdr:rowOff>0</xdr:rowOff>
    </xdr:from>
    <xdr:to>
      <xdr:col>11</xdr:col>
      <xdr:colOff>83820</xdr:colOff>
      <xdr:row>849</xdr:row>
      <xdr:rowOff>114300</xdr:rowOff>
    </xdr:to>
    <xdr:sp macro="" textlink="">
      <xdr:nvSpPr>
        <xdr:cNvPr id="6571" name="Arrow: Down 6570">
          <a:extLst>
            <a:ext uri="{FF2B5EF4-FFF2-40B4-BE49-F238E27FC236}">
              <a16:creationId xmlns:a16="http://schemas.microsoft.com/office/drawing/2014/main" id="{E02C9114-B37A-4EB0-8D7D-EAAD88C7020B}"/>
            </a:ext>
          </a:extLst>
        </xdr:cNvPr>
        <xdr:cNvSpPr/>
      </xdr:nvSpPr>
      <xdr:spPr>
        <a:xfrm rot="10800000">
          <a:off x="36957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838</xdr:row>
      <xdr:rowOff>0</xdr:rowOff>
    </xdr:from>
    <xdr:to>
      <xdr:col>24</xdr:col>
      <xdr:colOff>83820</xdr:colOff>
      <xdr:row>838</xdr:row>
      <xdr:rowOff>114300</xdr:rowOff>
    </xdr:to>
    <xdr:sp macro="" textlink="">
      <xdr:nvSpPr>
        <xdr:cNvPr id="6572" name="Arrow: Down 6571">
          <a:extLst>
            <a:ext uri="{FF2B5EF4-FFF2-40B4-BE49-F238E27FC236}">
              <a16:creationId xmlns:a16="http://schemas.microsoft.com/office/drawing/2014/main" id="{C03B0BCF-080F-4A5F-AF57-D26B7F61C02E}"/>
            </a:ext>
          </a:extLst>
        </xdr:cNvPr>
        <xdr:cNvSpPr/>
      </xdr:nvSpPr>
      <xdr:spPr>
        <a:xfrm rot="10800000">
          <a:off x="833628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845</xdr:row>
      <xdr:rowOff>0</xdr:rowOff>
    </xdr:from>
    <xdr:to>
      <xdr:col>24</xdr:col>
      <xdr:colOff>83820</xdr:colOff>
      <xdr:row>845</xdr:row>
      <xdr:rowOff>114300</xdr:rowOff>
    </xdr:to>
    <xdr:sp macro="" textlink="">
      <xdr:nvSpPr>
        <xdr:cNvPr id="6573" name="Arrow: Down 6572">
          <a:extLst>
            <a:ext uri="{FF2B5EF4-FFF2-40B4-BE49-F238E27FC236}">
              <a16:creationId xmlns:a16="http://schemas.microsoft.com/office/drawing/2014/main" id="{AF43B632-032F-4C6E-8256-C24F7030DCB3}"/>
            </a:ext>
          </a:extLst>
        </xdr:cNvPr>
        <xdr:cNvSpPr/>
      </xdr:nvSpPr>
      <xdr:spPr>
        <a:xfrm rot="10800000">
          <a:off x="833628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839</xdr:row>
      <xdr:rowOff>0</xdr:rowOff>
    </xdr:from>
    <xdr:to>
      <xdr:col>24</xdr:col>
      <xdr:colOff>83820</xdr:colOff>
      <xdr:row>839</xdr:row>
      <xdr:rowOff>114300</xdr:rowOff>
    </xdr:to>
    <xdr:sp macro="" textlink="">
      <xdr:nvSpPr>
        <xdr:cNvPr id="6574" name="Arrow: Down 6573">
          <a:extLst>
            <a:ext uri="{FF2B5EF4-FFF2-40B4-BE49-F238E27FC236}">
              <a16:creationId xmlns:a16="http://schemas.microsoft.com/office/drawing/2014/main" id="{8C2C502B-AF44-4D06-A554-81A94631A94E}"/>
            </a:ext>
          </a:extLst>
        </xdr:cNvPr>
        <xdr:cNvSpPr/>
      </xdr:nvSpPr>
      <xdr:spPr>
        <a:xfrm rot="10800000">
          <a:off x="833628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847</xdr:row>
      <xdr:rowOff>0</xdr:rowOff>
    </xdr:from>
    <xdr:to>
      <xdr:col>24</xdr:col>
      <xdr:colOff>83820</xdr:colOff>
      <xdr:row>847</xdr:row>
      <xdr:rowOff>114300</xdr:rowOff>
    </xdr:to>
    <xdr:sp macro="" textlink="">
      <xdr:nvSpPr>
        <xdr:cNvPr id="6576" name="Arrow: Down 6575">
          <a:extLst>
            <a:ext uri="{FF2B5EF4-FFF2-40B4-BE49-F238E27FC236}">
              <a16:creationId xmlns:a16="http://schemas.microsoft.com/office/drawing/2014/main" id="{B608E704-A40F-43B8-946E-A90D9FFC3E26}"/>
            </a:ext>
          </a:extLst>
        </xdr:cNvPr>
        <xdr:cNvSpPr/>
      </xdr:nvSpPr>
      <xdr:spPr>
        <a:xfrm rot="10800000">
          <a:off x="833628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842</xdr:row>
      <xdr:rowOff>0</xdr:rowOff>
    </xdr:from>
    <xdr:to>
      <xdr:col>24</xdr:col>
      <xdr:colOff>83820</xdr:colOff>
      <xdr:row>842</xdr:row>
      <xdr:rowOff>114300</xdr:rowOff>
    </xdr:to>
    <xdr:sp macro="" textlink="">
      <xdr:nvSpPr>
        <xdr:cNvPr id="6578" name="Arrow: Down 6577">
          <a:extLst>
            <a:ext uri="{FF2B5EF4-FFF2-40B4-BE49-F238E27FC236}">
              <a16:creationId xmlns:a16="http://schemas.microsoft.com/office/drawing/2014/main" id="{C3B06D63-9BE9-4C2A-8373-C91CC03C8D16}"/>
            </a:ext>
          </a:extLst>
        </xdr:cNvPr>
        <xdr:cNvSpPr/>
      </xdr:nvSpPr>
      <xdr:spPr>
        <a:xfrm rot="10800000">
          <a:off x="833628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840</xdr:row>
      <xdr:rowOff>0</xdr:rowOff>
    </xdr:from>
    <xdr:to>
      <xdr:col>24</xdr:col>
      <xdr:colOff>83820</xdr:colOff>
      <xdr:row>840</xdr:row>
      <xdr:rowOff>114300</xdr:rowOff>
    </xdr:to>
    <xdr:sp macro="" textlink="">
      <xdr:nvSpPr>
        <xdr:cNvPr id="6580" name="Arrow: Down 6579">
          <a:extLst>
            <a:ext uri="{FF2B5EF4-FFF2-40B4-BE49-F238E27FC236}">
              <a16:creationId xmlns:a16="http://schemas.microsoft.com/office/drawing/2014/main" id="{DBEEED1D-5097-4D7F-B1BB-F689B46C09FF}"/>
            </a:ext>
          </a:extLst>
        </xdr:cNvPr>
        <xdr:cNvSpPr/>
      </xdr:nvSpPr>
      <xdr:spPr>
        <a:xfrm rot="10800000">
          <a:off x="833628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840</xdr:row>
      <xdr:rowOff>0</xdr:rowOff>
    </xdr:from>
    <xdr:to>
      <xdr:col>39</xdr:col>
      <xdr:colOff>83820</xdr:colOff>
      <xdr:row>840</xdr:row>
      <xdr:rowOff>114300</xdr:rowOff>
    </xdr:to>
    <xdr:sp macro="" textlink="">
      <xdr:nvSpPr>
        <xdr:cNvPr id="6582" name="Arrow: Down 6581">
          <a:extLst>
            <a:ext uri="{FF2B5EF4-FFF2-40B4-BE49-F238E27FC236}">
              <a16:creationId xmlns:a16="http://schemas.microsoft.com/office/drawing/2014/main" id="{3399B708-39E7-4425-8032-F38AE696DE8A}"/>
            </a:ext>
          </a:extLst>
        </xdr:cNvPr>
        <xdr:cNvSpPr/>
      </xdr:nvSpPr>
      <xdr:spPr>
        <a:xfrm>
          <a:off x="115443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848</xdr:row>
      <xdr:rowOff>0</xdr:rowOff>
    </xdr:from>
    <xdr:to>
      <xdr:col>39</xdr:col>
      <xdr:colOff>83820</xdr:colOff>
      <xdr:row>848</xdr:row>
      <xdr:rowOff>114300</xdr:rowOff>
    </xdr:to>
    <xdr:sp macro="" textlink="">
      <xdr:nvSpPr>
        <xdr:cNvPr id="6584" name="Arrow: Down 6583">
          <a:extLst>
            <a:ext uri="{FF2B5EF4-FFF2-40B4-BE49-F238E27FC236}">
              <a16:creationId xmlns:a16="http://schemas.microsoft.com/office/drawing/2014/main" id="{73D8D1B5-A50E-43B4-A1B5-A30009DA4FFB}"/>
            </a:ext>
          </a:extLst>
        </xdr:cNvPr>
        <xdr:cNvSpPr/>
      </xdr:nvSpPr>
      <xdr:spPr>
        <a:xfrm>
          <a:off x="1154430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842</xdr:row>
      <xdr:rowOff>0</xdr:rowOff>
    </xdr:from>
    <xdr:to>
      <xdr:col>39</xdr:col>
      <xdr:colOff>83820</xdr:colOff>
      <xdr:row>842</xdr:row>
      <xdr:rowOff>114300</xdr:rowOff>
    </xdr:to>
    <xdr:sp macro="" textlink="">
      <xdr:nvSpPr>
        <xdr:cNvPr id="6585" name="Arrow: Down 6584">
          <a:extLst>
            <a:ext uri="{FF2B5EF4-FFF2-40B4-BE49-F238E27FC236}">
              <a16:creationId xmlns:a16="http://schemas.microsoft.com/office/drawing/2014/main" id="{4A8475F1-36F5-4F81-87ED-C913015E27A3}"/>
            </a:ext>
          </a:extLst>
        </xdr:cNvPr>
        <xdr:cNvSpPr/>
      </xdr:nvSpPr>
      <xdr:spPr>
        <a:xfrm>
          <a:off x="115443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849</xdr:row>
      <xdr:rowOff>0</xdr:rowOff>
    </xdr:from>
    <xdr:to>
      <xdr:col>39</xdr:col>
      <xdr:colOff>83820</xdr:colOff>
      <xdr:row>849</xdr:row>
      <xdr:rowOff>114300</xdr:rowOff>
    </xdr:to>
    <xdr:sp macro="" textlink="">
      <xdr:nvSpPr>
        <xdr:cNvPr id="6586" name="Arrow: Down 6585">
          <a:extLst>
            <a:ext uri="{FF2B5EF4-FFF2-40B4-BE49-F238E27FC236}">
              <a16:creationId xmlns:a16="http://schemas.microsoft.com/office/drawing/2014/main" id="{B1BC539C-3441-4317-87C6-02703F247F66}"/>
            </a:ext>
          </a:extLst>
        </xdr:cNvPr>
        <xdr:cNvSpPr/>
      </xdr:nvSpPr>
      <xdr:spPr>
        <a:xfrm>
          <a:off x="115443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843</xdr:row>
      <xdr:rowOff>0</xdr:rowOff>
    </xdr:from>
    <xdr:to>
      <xdr:col>39</xdr:col>
      <xdr:colOff>83820</xdr:colOff>
      <xdr:row>843</xdr:row>
      <xdr:rowOff>114300</xdr:rowOff>
    </xdr:to>
    <xdr:sp macro="" textlink="">
      <xdr:nvSpPr>
        <xdr:cNvPr id="6587" name="Arrow: Down 6586">
          <a:extLst>
            <a:ext uri="{FF2B5EF4-FFF2-40B4-BE49-F238E27FC236}">
              <a16:creationId xmlns:a16="http://schemas.microsoft.com/office/drawing/2014/main" id="{0A843FBC-2D6F-4AF8-8894-227FE7C86491}"/>
            </a:ext>
          </a:extLst>
        </xdr:cNvPr>
        <xdr:cNvSpPr/>
      </xdr:nvSpPr>
      <xdr:spPr>
        <a:xfrm>
          <a:off x="1154430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845</xdr:row>
      <xdr:rowOff>0</xdr:rowOff>
    </xdr:from>
    <xdr:to>
      <xdr:col>39</xdr:col>
      <xdr:colOff>83820</xdr:colOff>
      <xdr:row>845</xdr:row>
      <xdr:rowOff>114300</xdr:rowOff>
    </xdr:to>
    <xdr:sp macro="" textlink="">
      <xdr:nvSpPr>
        <xdr:cNvPr id="6588" name="Arrow: Down 6587">
          <a:extLst>
            <a:ext uri="{FF2B5EF4-FFF2-40B4-BE49-F238E27FC236}">
              <a16:creationId xmlns:a16="http://schemas.microsoft.com/office/drawing/2014/main" id="{84AC1197-174B-4B15-A81E-4AAA8C5D9C24}"/>
            </a:ext>
          </a:extLst>
        </xdr:cNvPr>
        <xdr:cNvSpPr/>
      </xdr:nvSpPr>
      <xdr:spPr>
        <a:xfrm>
          <a:off x="115443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846</xdr:row>
      <xdr:rowOff>0</xdr:rowOff>
    </xdr:from>
    <xdr:to>
      <xdr:col>39</xdr:col>
      <xdr:colOff>83820</xdr:colOff>
      <xdr:row>846</xdr:row>
      <xdr:rowOff>114300</xdr:rowOff>
    </xdr:to>
    <xdr:sp macro="" textlink="">
      <xdr:nvSpPr>
        <xdr:cNvPr id="6589" name="Arrow: Down 6588">
          <a:extLst>
            <a:ext uri="{FF2B5EF4-FFF2-40B4-BE49-F238E27FC236}">
              <a16:creationId xmlns:a16="http://schemas.microsoft.com/office/drawing/2014/main" id="{610EC344-F8EA-4C07-9CB1-F4E1B9FE6C44}"/>
            </a:ext>
          </a:extLst>
        </xdr:cNvPr>
        <xdr:cNvSpPr/>
      </xdr:nvSpPr>
      <xdr:spPr>
        <a:xfrm>
          <a:off x="115443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850</xdr:row>
      <xdr:rowOff>0</xdr:rowOff>
    </xdr:from>
    <xdr:to>
      <xdr:col>39</xdr:col>
      <xdr:colOff>83820</xdr:colOff>
      <xdr:row>850</xdr:row>
      <xdr:rowOff>114300</xdr:rowOff>
    </xdr:to>
    <xdr:sp macro="" textlink="">
      <xdr:nvSpPr>
        <xdr:cNvPr id="6591" name="Arrow: Down 6590">
          <a:extLst>
            <a:ext uri="{FF2B5EF4-FFF2-40B4-BE49-F238E27FC236}">
              <a16:creationId xmlns:a16="http://schemas.microsoft.com/office/drawing/2014/main" id="{223CA6CD-471C-48CE-95AD-5DFE52017101}"/>
            </a:ext>
          </a:extLst>
        </xdr:cNvPr>
        <xdr:cNvSpPr/>
      </xdr:nvSpPr>
      <xdr:spPr>
        <a:xfrm>
          <a:off x="1154430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851</xdr:row>
      <xdr:rowOff>0</xdr:rowOff>
    </xdr:from>
    <xdr:to>
      <xdr:col>39</xdr:col>
      <xdr:colOff>83820</xdr:colOff>
      <xdr:row>851</xdr:row>
      <xdr:rowOff>114300</xdr:rowOff>
    </xdr:to>
    <xdr:sp macro="" textlink="">
      <xdr:nvSpPr>
        <xdr:cNvPr id="6592" name="Arrow: Down 6591">
          <a:extLst>
            <a:ext uri="{FF2B5EF4-FFF2-40B4-BE49-F238E27FC236}">
              <a16:creationId xmlns:a16="http://schemas.microsoft.com/office/drawing/2014/main" id="{9B87E6DE-513B-4CA2-8BF0-35502F1D59DB}"/>
            </a:ext>
          </a:extLst>
        </xdr:cNvPr>
        <xdr:cNvSpPr/>
      </xdr:nvSpPr>
      <xdr:spPr>
        <a:xfrm>
          <a:off x="11544300" y="1557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838</xdr:row>
      <xdr:rowOff>0</xdr:rowOff>
    </xdr:from>
    <xdr:to>
      <xdr:col>60</xdr:col>
      <xdr:colOff>83820</xdr:colOff>
      <xdr:row>838</xdr:row>
      <xdr:rowOff>114300</xdr:rowOff>
    </xdr:to>
    <xdr:sp macro="" textlink="">
      <xdr:nvSpPr>
        <xdr:cNvPr id="6594" name="Arrow: Down 6593">
          <a:extLst>
            <a:ext uri="{FF2B5EF4-FFF2-40B4-BE49-F238E27FC236}">
              <a16:creationId xmlns:a16="http://schemas.microsoft.com/office/drawing/2014/main" id="{111937AB-B1DF-4009-AB9C-0CC3EEFAC307}"/>
            </a:ext>
          </a:extLst>
        </xdr:cNvPr>
        <xdr:cNvSpPr/>
      </xdr:nvSpPr>
      <xdr:spPr>
        <a:xfrm>
          <a:off x="1912620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840</xdr:row>
      <xdr:rowOff>0</xdr:rowOff>
    </xdr:from>
    <xdr:to>
      <xdr:col>60</xdr:col>
      <xdr:colOff>83820</xdr:colOff>
      <xdr:row>840</xdr:row>
      <xdr:rowOff>114300</xdr:rowOff>
    </xdr:to>
    <xdr:sp macro="" textlink="">
      <xdr:nvSpPr>
        <xdr:cNvPr id="6595" name="Arrow: Down 6594">
          <a:extLst>
            <a:ext uri="{FF2B5EF4-FFF2-40B4-BE49-F238E27FC236}">
              <a16:creationId xmlns:a16="http://schemas.microsoft.com/office/drawing/2014/main" id="{5155AAC5-9810-465B-A84C-793E2D079208}"/>
            </a:ext>
          </a:extLst>
        </xdr:cNvPr>
        <xdr:cNvSpPr/>
      </xdr:nvSpPr>
      <xdr:spPr>
        <a:xfrm>
          <a:off x="191262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842</xdr:row>
      <xdr:rowOff>0</xdr:rowOff>
    </xdr:from>
    <xdr:to>
      <xdr:col>60</xdr:col>
      <xdr:colOff>83820</xdr:colOff>
      <xdr:row>842</xdr:row>
      <xdr:rowOff>114300</xdr:rowOff>
    </xdr:to>
    <xdr:sp macro="" textlink="">
      <xdr:nvSpPr>
        <xdr:cNvPr id="6596" name="Arrow: Down 6595">
          <a:extLst>
            <a:ext uri="{FF2B5EF4-FFF2-40B4-BE49-F238E27FC236}">
              <a16:creationId xmlns:a16="http://schemas.microsoft.com/office/drawing/2014/main" id="{7F17F5EA-4708-4D4F-ABA9-0E356E79A5CC}"/>
            </a:ext>
          </a:extLst>
        </xdr:cNvPr>
        <xdr:cNvSpPr/>
      </xdr:nvSpPr>
      <xdr:spPr>
        <a:xfrm>
          <a:off x="191262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844</xdr:row>
      <xdr:rowOff>0</xdr:rowOff>
    </xdr:from>
    <xdr:to>
      <xdr:col>60</xdr:col>
      <xdr:colOff>83820</xdr:colOff>
      <xdr:row>844</xdr:row>
      <xdr:rowOff>114300</xdr:rowOff>
    </xdr:to>
    <xdr:sp macro="" textlink="">
      <xdr:nvSpPr>
        <xdr:cNvPr id="6597" name="Arrow: Down 6596">
          <a:extLst>
            <a:ext uri="{FF2B5EF4-FFF2-40B4-BE49-F238E27FC236}">
              <a16:creationId xmlns:a16="http://schemas.microsoft.com/office/drawing/2014/main" id="{D0B51A0D-BFDD-461B-B724-D9C70B0D5B33}"/>
            </a:ext>
          </a:extLst>
        </xdr:cNvPr>
        <xdr:cNvSpPr/>
      </xdr:nvSpPr>
      <xdr:spPr>
        <a:xfrm>
          <a:off x="1912620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846</xdr:row>
      <xdr:rowOff>0</xdr:rowOff>
    </xdr:from>
    <xdr:to>
      <xdr:col>60</xdr:col>
      <xdr:colOff>83820</xdr:colOff>
      <xdr:row>846</xdr:row>
      <xdr:rowOff>114300</xdr:rowOff>
    </xdr:to>
    <xdr:sp macro="" textlink="">
      <xdr:nvSpPr>
        <xdr:cNvPr id="6599" name="Arrow: Down 6598">
          <a:extLst>
            <a:ext uri="{FF2B5EF4-FFF2-40B4-BE49-F238E27FC236}">
              <a16:creationId xmlns:a16="http://schemas.microsoft.com/office/drawing/2014/main" id="{7543E5DF-8436-4182-BB7A-1925012167D5}"/>
            </a:ext>
          </a:extLst>
        </xdr:cNvPr>
        <xdr:cNvSpPr/>
      </xdr:nvSpPr>
      <xdr:spPr>
        <a:xfrm>
          <a:off x="1912620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849</xdr:row>
      <xdr:rowOff>0</xdr:rowOff>
    </xdr:from>
    <xdr:to>
      <xdr:col>60</xdr:col>
      <xdr:colOff>83820</xdr:colOff>
      <xdr:row>849</xdr:row>
      <xdr:rowOff>114300</xdr:rowOff>
    </xdr:to>
    <xdr:sp macro="" textlink="">
      <xdr:nvSpPr>
        <xdr:cNvPr id="6601" name="Arrow: Down 6600">
          <a:extLst>
            <a:ext uri="{FF2B5EF4-FFF2-40B4-BE49-F238E27FC236}">
              <a16:creationId xmlns:a16="http://schemas.microsoft.com/office/drawing/2014/main" id="{D56164A7-AA79-47DB-B347-6F3DA321F128}"/>
            </a:ext>
          </a:extLst>
        </xdr:cNvPr>
        <xdr:cNvSpPr/>
      </xdr:nvSpPr>
      <xdr:spPr>
        <a:xfrm>
          <a:off x="191262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851</xdr:row>
      <xdr:rowOff>0</xdr:rowOff>
    </xdr:from>
    <xdr:to>
      <xdr:col>60</xdr:col>
      <xdr:colOff>83820</xdr:colOff>
      <xdr:row>851</xdr:row>
      <xdr:rowOff>114300</xdr:rowOff>
    </xdr:to>
    <xdr:sp macro="" textlink="">
      <xdr:nvSpPr>
        <xdr:cNvPr id="6602" name="Arrow: Down 6601">
          <a:extLst>
            <a:ext uri="{FF2B5EF4-FFF2-40B4-BE49-F238E27FC236}">
              <a16:creationId xmlns:a16="http://schemas.microsoft.com/office/drawing/2014/main" id="{C52D2E35-83DC-4CB3-94DD-A64F1D9C33FB}"/>
            </a:ext>
          </a:extLst>
        </xdr:cNvPr>
        <xdr:cNvSpPr/>
      </xdr:nvSpPr>
      <xdr:spPr>
        <a:xfrm>
          <a:off x="19126200" y="1557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838</xdr:row>
      <xdr:rowOff>0</xdr:rowOff>
    </xdr:from>
    <xdr:to>
      <xdr:col>71</xdr:col>
      <xdr:colOff>83820</xdr:colOff>
      <xdr:row>838</xdr:row>
      <xdr:rowOff>114300</xdr:rowOff>
    </xdr:to>
    <xdr:sp macro="" textlink="">
      <xdr:nvSpPr>
        <xdr:cNvPr id="6604" name="Arrow: Down 6603">
          <a:extLst>
            <a:ext uri="{FF2B5EF4-FFF2-40B4-BE49-F238E27FC236}">
              <a16:creationId xmlns:a16="http://schemas.microsoft.com/office/drawing/2014/main" id="{154306AB-A504-4D2E-96BD-109B48952185}"/>
            </a:ext>
          </a:extLst>
        </xdr:cNvPr>
        <xdr:cNvSpPr/>
      </xdr:nvSpPr>
      <xdr:spPr>
        <a:xfrm>
          <a:off x="2200656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842</xdr:row>
      <xdr:rowOff>0</xdr:rowOff>
    </xdr:from>
    <xdr:to>
      <xdr:col>71</xdr:col>
      <xdr:colOff>83820</xdr:colOff>
      <xdr:row>842</xdr:row>
      <xdr:rowOff>114300</xdr:rowOff>
    </xdr:to>
    <xdr:sp macro="" textlink="">
      <xdr:nvSpPr>
        <xdr:cNvPr id="6605" name="Arrow: Down 6604">
          <a:extLst>
            <a:ext uri="{FF2B5EF4-FFF2-40B4-BE49-F238E27FC236}">
              <a16:creationId xmlns:a16="http://schemas.microsoft.com/office/drawing/2014/main" id="{323BE41F-365B-4996-BE07-F5F7FB8F98AA}"/>
            </a:ext>
          </a:extLst>
        </xdr:cNvPr>
        <xdr:cNvSpPr/>
      </xdr:nvSpPr>
      <xdr:spPr>
        <a:xfrm>
          <a:off x="220065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846</xdr:row>
      <xdr:rowOff>0</xdr:rowOff>
    </xdr:from>
    <xdr:to>
      <xdr:col>71</xdr:col>
      <xdr:colOff>83820</xdr:colOff>
      <xdr:row>846</xdr:row>
      <xdr:rowOff>114300</xdr:rowOff>
    </xdr:to>
    <xdr:sp macro="" textlink="">
      <xdr:nvSpPr>
        <xdr:cNvPr id="6606" name="Arrow: Down 6605">
          <a:extLst>
            <a:ext uri="{FF2B5EF4-FFF2-40B4-BE49-F238E27FC236}">
              <a16:creationId xmlns:a16="http://schemas.microsoft.com/office/drawing/2014/main" id="{22FDFED4-A5A1-43B1-A0AA-E96C93EDB81D}"/>
            </a:ext>
          </a:extLst>
        </xdr:cNvPr>
        <xdr:cNvSpPr/>
      </xdr:nvSpPr>
      <xdr:spPr>
        <a:xfrm>
          <a:off x="2200656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852</xdr:row>
      <xdr:rowOff>0</xdr:rowOff>
    </xdr:from>
    <xdr:to>
      <xdr:col>64</xdr:col>
      <xdr:colOff>83820</xdr:colOff>
      <xdr:row>852</xdr:row>
      <xdr:rowOff>114300</xdr:rowOff>
    </xdr:to>
    <xdr:sp macro="" textlink="">
      <xdr:nvSpPr>
        <xdr:cNvPr id="6196" name="Arrow: Down 6195">
          <a:extLst>
            <a:ext uri="{FF2B5EF4-FFF2-40B4-BE49-F238E27FC236}">
              <a16:creationId xmlns:a16="http://schemas.microsoft.com/office/drawing/2014/main" id="{AC5DC445-5BB1-4315-AED2-63C4A35482E6}"/>
            </a:ext>
          </a:extLst>
        </xdr:cNvPr>
        <xdr:cNvSpPr/>
      </xdr:nvSpPr>
      <xdr:spPr>
        <a:xfrm rot="10800000">
          <a:off x="19726275" y="1581864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852</xdr:row>
      <xdr:rowOff>0</xdr:rowOff>
    </xdr:from>
    <xdr:to>
      <xdr:col>45</xdr:col>
      <xdr:colOff>83820</xdr:colOff>
      <xdr:row>852</xdr:row>
      <xdr:rowOff>114300</xdr:rowOff>
    </xdr:to>
    <xdr:sp macro="" textlink="">
      <xdr:nvSpPr>
        <xdr:cNvPr id="6281" name="Arrow: Down 6280">
          <a:extLst>
            <a:ext uri="{FF2B5EF4-FFF2-40B4-BE49-F238E27FC236}">
              <a16:creationId xmlns:a16="http://schemas.microsoft.com/office/drawing/2014/main" id="{A4F269EB-8170-4D21-897E-76B7DF979067}"/>
            </a:ext>
          </a:extLst>
        </xdr:cNvPr>
        <xdr:cNvSpPr/>
      </xdr:nvSpPr>
      <xdr:spPr>
        <a:xfrm rot="10800000">
          <a:off x="13644563" y="1581864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852</xdr:row>
      <xdr:rowOff>0</xdr:rowOff>
    </xdr:from>
    <xdr:to>
      <xdr:col>71</xdr:col>
      <xdr:colOff>83820</xdr:colOff>
      <xdr:row>852</xdr:row>
      <xdr:rowOff>114300</xdr:rowOff>
    </xdr:to>
    <xdr:sp macro="" textlink="">
      <xdr:nvSpPr>
        <xdr:cNvPr id="6282" name="Arrow: Down 6281">
          <a:extLst>
            <a:ext uri="{FF2B5EF4-FFF2-40B4-BE49-F238E27FC236}">
              <a16:creationId xmlns:a16="http://schemas.microsoft.com/office/drawing/2014/main" id="{4CA2A1BE-45D8-49DF-B907-F3CF41151558}"/>
            </a:ext>
          </a:extLst>
        </xdr:cNvPr>
        <xdr:cNvSpPr/>
      </xdr:nvSpPr>
      <xdr:spPr>
        <a:xfrm rot="10800000">
          <a:off x="22383750" y="1581864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852</xdr:row>
      <xdr:rowOff>0</xdr:rowOff>
    </xdr:from>
    <xdr:to>
      <xdr:col>60</xdr:col>
      <xdr:colOff>83820</xdr:colOff>
      <xdr:row>852</xdr:row>
      <xdr:rowOff>114300</xdr:rowOff>
    </xdr:to>
    <xdr:sp macro="" textlink="">
      <xdr:nvSpPr>
        <xdr:cNvPr id="6315" name="Arrow: Down 6314">
          <a:extLst>
            <a:ext uri="{FF2B5EF4-FFF2-40B4-BE49-F238E27FC236}">
              <a16:creationId xmlns:a16="http://schemas.microsoft.com/office/drawing/2014/main" id="{E9C372F3-AE7B-4FF8-AF10-B610038576BF}"/>
            </a:ext>
          </a:extLst>
        </xdr:cNvPr>
        <xdr:cNvSpPr/>
      </xdr:nvSpPr>
      <xdr:spPr>
        <a:xfrm>
          <a:off x="19454813" y="158186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853</xdr:row>
      <xdr:rowOff>0</xdr:rowOff>
    </xdr:from>
    <xdr:to>
      <xdr:col>64</xdr:col>
      <xdr:colOff>83820</xdr:colOff>
      <xdr:row>853</xdr:row>
      <xdr:rowOff>114300</xdr:rowOff>
    </xdr:to>
    <xdr:sp macro="" textlink="">
      <xdr:nvSpPr>
        <xdr:cNvPr id="6338" name="Arrow: Down 6337">
          <a:extLst>
            <a:ext uri="{FF2B5EF4-FFF2-40B4-BE49-F238E27FC236}">
              <a16:creationId xmlns:a16="http://schemas.microsoft.com/office/drawing/2014/main" id="{384CA95C-22FA-4006-9943-757B33630475}"/>
            </a:ext>
          </a:extLst>
        </xdr:cNvPr>
        <xdr:cNvSpPr/>
      </xdr:nvSpPr>
      <xdr:spPr>
        <a:xfrm rot="10800000">
          <a:off x="19754850" y="158372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853</xdr:row>
      <xdr:rowOff>0</xdr:rowOff>
    </xdr:from>
    <xdr:to>
      <xdr:col>45</xdr:col>
      <xdr:colOff>83820</xdr:colOff>
      <xdr:row>853</xdr:row>
      <xdr:rowOff>114300</xdr:rowOff>
    </xdr:to>
    <xdr:sp macro="" textlink="">
      <xdr:nvSpPr>
        <xdr:cNvPr id="6441" name="Arrow: Down 6440">
          <a:extLst>
            <a:ext uri="{FF2B5EF4-FFF2-40B4-BE49-F238E27FC236}">
              <a16:creationId xmlns:a16="http://schemas.microsoft.com/office/drawing/2014/main" id="{168A5633-9577-4A3E-966C-F468081010BE}"/>
            </a:ext>
          </a:extLst>
        </xdr:cNvPr>
        <xdr:cNvSpPr/>
      </xdr:nvSpPr>
      <xdr:spPr>
        <a:xfrm rot="10800000">
          <a:off x="13644563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853</xdr:row>
      <xdr:rowOff>0</xdr:rowOff>
    </xdr:from>
    <xdr:to>
      <xdr:col>71</xdr:col>
      <xdr:colOff>83820</xdr:colOff>
      <xdr:row>853</xdr:row>
      <xdr:rowOff>114300</xdr:rowOff>
    </xdr:to>
    <xdr:sp macro="" textlink="">
      <xdr:nvSpPr>
        <xdr:cNvPr id="6442" name="Arrow: Down 6441">
          <a:extLst>
            <a:ext uri="{FF2B5EF4-FFF2-40B4-BE49-F238E27FC236}">
              <a16:creationId xmlns:a16="http://schemas.microsoft.com/office/drawing/2014/main" id="{018EF3A4-9A33-4184-8B15-6060A4853369}"/>
            </a:ext>
          </a:extLst>
        </xdr:cNvPr>
        <xdr:cNvSpPr/>
      </xdr:nvSpPr>
      <xdr:spPr>
        <a:xfrm rot="10800000">
          <a:off x="2241232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853</xdr:row>
      <xdr:rowOff>0</xdr:rowOff>
    </xdr:from>
    <xdr:to>
      <xdr:col>39</xdr:col>
      <xdr:colOff>83820</xdr:colOff>
      <xdr:row>853</xdr:row>
      <xdr:rowOff>114300</xdr:rowOff>
    </xdr:to>
    <xdr:sp macro="" textlink="">
      <xdr:nvSpPr>
        <xdr:cNvPr id="6443" name="Arrow: Down 6442">
          <a:extLst>
            <a:ext uri="{FF2B5EF4-FFF2-40B4-BE49-F238E27FC236}">
              <a16:creationId xmlns:a16="http://schemas.microsoft.com/office/drawing/2014/main" id="{16EA2230-D6C2-483A-8187-F373AB5E1DCE}"/>
            </a:ext>
          </a:extLst>
        </xdr:cNvPr>
        <xdr:cNvSpPr/>
      </xdr:nvSpPr>
      <xdr:spPr>
        <a:xfrm>
          <a:off x="117538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854</xdr:row>
      <xdr:rowOff>0</xdr:rowOff>
    </xdr:from>
    <xdr:to>
      <xdr:col>64</xdr:col>
      <xdr:colOff>83820</xdr:colOff>
      <xdr:row>854</xdr:row>
      <xdr:rowOff>114300</xdr:rowOff>
    </xdr:to>
    <xdr:sp macro="" textlink="">
      <xdr:nvSpPr>
        <xdr:cNvPr id="6445" name="Arrow: Down 6444">
          <a:extLst>
            <a:ext uri="{FF2B5EF4-FFF2-40B4-BE49-F238E27FC236}">
              <a16:creationId xmlns:a16="http://schemas.microsoft.com/office/drawing/2014/main" id="{3941B20C-A6E0-43D8-A270-186C6489643D}"/>
            </a:ext>
          </a:extLst>
        </xdr:cNvPr>
        <xdr:cNvSpPr/>
      </xdr:nvSpPr>
      <xdr:spPr>
        <a:xfrm rot="10800000">
          <a:off x="19754850" y="1585579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854</xdr:row>
      <xdr:rowOff>0</xdr:rowOff>
    </xdr:from>
    <xdr:to>
      <xdr:col>45</xdr:col>
      <xdr:colOff>83820</xdr:colOff>
      <xdr:row>854</xdr:row>
      <xdr:rowOff>114300</xdr:rowOff>
    </xdr:to>
    <xdr:sp macro="" textlink="">
      <xdr:nvSpPr>
        <xdr:cNvPr id="6450" name="Arrow: Down 6449">
          <a:extLst>
            <a:ext uri="{FF2B5EF4-FFF2-40B4-BE49-F238E27FC236}">
              <a16:creationId xmlns:a16="http://schemas.microsoft.com/office/drawing/2014/main" id="{F02EE974-FC33-4CAA-853B-2F235F005320}"/>
            </a:ext>
          </a:extLst>
        </xdr:cNvPr>
        <xdr:cNvSpPr/>
      </xdr:nvSpPr>
      <xdr:spPr>
        <a:xfrm rot="10800000">
          <a:off x="13644563" y="1585579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854</xdr:row>
      <xdr:rowOff>0</xdr:rowOff>
    </xdr:from>
    <xdr:to>
      <xdr:col>71</xdr:col>
      <xdr:colOff>83820</xdr:colOff>
      <xdr:row>854</xdr:row>
      <xdr:rowOff>114300</xdr:rowOff>
    </xdr:to>
    <xdr:sp macro="" textlink="">
      <xdr:nvSpPr>
        <xdr:cNvPr id="6451" name="Arrow: Down 6450">
          <a:extLst>
            <a:ext uri="{FF2B5EF4-FFF2-40B4-BE49-F238E27FC236}">
              <a16:creationId xmlns:a16="http://schemas.microsoft.com/office/drawing/2014/main" id="{3B6B6498-B7F1-4572-AE92-BC62ED4AF946}"/>
            </a:ext>
          </a:extLst>
        </xdr:cNvPr>
        <xdr:cNvSpPr/>
      </xdr:nvSpPr>
      <xdr:spPr>
        <a:xfrm rot="10800000">
          <a:off x="2241232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854</xdr:row>
      <xdr:rowOff>0</xdr:rowOff>
    </xdr:from>
    <xdr:to>
      <xdr:col>60</xdr:col>
      <xdr:colOff>83820</xdr:colOff>
      <xdr:row>854</xdr:row>
      <xdr:rowOff>114300</xdr:rowOff>
    </xdr:to>
    <xdr:sp macro="" textlink="">
      <xdr:nvSpPr>
        <xdr:cNvPr id="6453" name="Arrow: Down 6452">
          <a:extLst>
            <a:ext uri="{FF2B5EF4-FFF2-40B4-BE49-F238E27FC236}">
              <a16:creationId xmlns:a16="http://schemas.microsoft.com/office/drawing/2014/main" id="{08A81D67-89BF-4ABC-BF0E-2A7D17DDDDD5}"/>
            </a:ext>
          </a:extLst>
        </xdr:cNvPr>
        <xdr:cNvSpPr/>
      </xdr:nvSpPr>
      <xdr:spPr>
        <a:xfrm>
          <a:off x="19483388" y="158557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855</xdr:row>
      <xdr:rowOff>0</xdr:rowOff>
    </xdr:from>
    <xdr:to>
      <xdr:col>64</xdr:col>
      <xdr:colOff>83820</xdr:colOff>
      <xdr:row>855</xdr:row>
      <xdr:rowOff>114300</xdr:rowOff>
    </xdr:to>
    <xdr:sp macro="" textlink="">
      <xdr:nvSpPr>
        <xdr:cNvPr id="6455" name="Arrow: Down 6454">
          <a:extLst>
            <a:ext uri="{FF2B5EF4-FFF2-40B4-BE49-F238E27FC236}">
              <a16:creationId xmlns:a16="http://schemas.microsoft.com/office/drawing/2014/main" id="{909D6639-17FE-45D2-B7C8-32B50B3828F2}"/>
            </a:ext>
          </a:extLst>
        </xdr:cNvPr>
        <xdr:cNvSpPr/>
      </xdr:nvSpPr>
      <xdr:spPr>
        <a:xfrm rot="10800000">
          <a:off x="19754850" y="158743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855</xdr:row>
      <xdr:rowOff>0</xdr:rowOff>
    </xdr:from>
    <xdr:to>
      <xdr:col>24</xdr:col>
      <xdr:colOff>83820</xdr:colOff>
      <xdr:row>855</xdr:row>
      <xdr:rowOff>114300</xdr:rowOff>
    </xdr:to>
    <xdr:sp macro="" textlink="">
      <xdr:nvSpPr>
        <xdr:cNvPr id="6456" name="Arrow: Down 6455">
          <a:extLst>
            <a:ext uri="{FF2B5EF4-FFF2-40B4-BE49-F238E27FC236}">
              <a16:creationId xmlns:a16="http://schemas.microsoft.com/office/drawing/2014/main" id="{DF4532BF-BCB1-430E-AD88-2FE796C75EB6}"/>
            </a:ext>
          </a:extLst>
        </xdr:cNvPr>
        <xdr:cNvSpPr/>
      </xdr:nvSpPr>
      <xdr:spPr>
        <a:xfrm>
          <a:off x="8486775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855</xdr:row>
      <xdr:rowOff>0</xdr:rowOff>
    </xdr:from>
    <xdr:to>
      <xdr:col>5</xdr:col>
      <xdr:colOff>83820</xdr:colOff>
      <xdr:row>855</xdr:row>
      <xdr:rowOff>114300</xdr:rowOff>
    </xdr:to>
    <xdr:sp macro="" textlink="">
      <xdr:nvSpPr>
        <xdr:cNvPr id="6461" name="Arrow: Down 6460">
          <a:extLst>
            <a:ext uri="{FF2B5EF4-FFF2-40B4-BE49-F238E27FC236}">
              <a16:creationId xmlns:a16="http://schemas.microsoft.com/office/drawing/2014/main" id="{70296EFC-7764-4688-97A2-66ECF4AD78E2}"/>
            </a:ext>
          </a:extLst>
        </xdr:cNvPr>
        <xdr:cNvSpPr/>
      </xdr:nvSpPr>
      <xdr:spPr>
        <a:xfrm>
          <a:off x="1962150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855</xdr:row>
      <xdr:rowOff>0</xdr:rowOff>
    </xdr:from>
    <xdr:to>
      <xdr:col>11</xdr:col>
      <xdr:colOff>83820</xdr:colOff>
      <xdr:row>855</xdr:row>
      <xdr:rowOff>114300</xdr:rowOff>
    </xdr:to>
    <xdr:sp macro="" textlink="">
      <xdr:nvSpPr>
        <xdr:cNvPr id="6472" name="Arrow: Down 6471">
          <a:extLst>
            <a:ext uri="{FF2B5EF4-FFF2-40B4-BE49-F238E27FC236}">
              <a16:creationId xmlns:a16="http://schemas.microsoft.com/office/drawing/2014/main" id="{8AF84F50-DCA3-4DF0-B9D6-3B98EFA1185E}"/>
            </a:ext>
          </a:extLst>
        </xdr:cNvPr>
        <xdr:cNvSpPr/>
      </xdr:nvSpPr>
      <xdr:spPr>
        <a:xfrm>
          <a:off x="3757613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855</xdr:row>
      <xdr:rowOff>0</xdr:rowOff>
    </xdr:from>
    <xdr:to>
      <xdr:col>45</xdr:col>
      <xdr:colOff>83820</xdr:colOff>
      <xdr:row>855</xdr:row>
      <xdr:rowOff>114300</xdr:rowOff>
    </xdr:to>
    <xdr:sp macro="" textlink="">
      <xdr:nvSpPr>
        <xdr:cNvPr id="6473" name="Arrow: Down 6472">
          <a:extLst>
            <a:ext uri="{FF2B5EF4-FFF2-40B4-BE49-F238E27FC236}">
              <a16:creationId xmlns:a16="http://schemas.microsoft.com/office/drawing/2014/main" id="{3D1AF784-F89C-4C3F-8179-4B7AE868F429}"/>
            </a:ext>
          </a:extLst>
        </xdr:cNvPr>
        <xdr:cNvSpPr/>
      </xdr:nvSpPr>
      <xdr:spPr>
        <a:xfrm rot="10800000">
          <a:off x="13644563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855</xdr:row>
      <xdr:rowOff>0</xdr:rowOff>
    </xdr:from>
    <xdr:to>
      <xdr:col>71</xdr:col>
      <xdr:colOff>83820</xdr:colOff>
      <xdr:row>855</xdr:row>
      <xdr:rowOff>114300</xdr:rowOff>
    </xdr:to>
    <xdr:sp macro="" textlink="">
      <xdr:nvSpPr>
        <xdr:cNvPr id="6474" name="Arrow: Down 6473">
          <a:extLst>
            <a:ext uri="{FF2B5EF4-FFF2-40B4-BE49-F238E27FC236}">
              <a16:creationId xmlns:a16="http://schemas.microsoft.com/office/drawing/2014/main" id="{AACD973C-FF02-4F24-AFB3-0DAC534E66A1}"/>
            </a:ext>
          </a:extLst>
        </xdr:cNvPr>
        <xdr:cNvSpPr/>
      </xdr:nvSpPr>
      <xdr:spPr>
        <a:xfrm rot="10800000">
          <a:off x="2241232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856</xdr:row>
      <xdr:rowOff>0</xdr:rowOff>
    </xdr:from>
    <xdr:to>
      <xdr:col>64</xdr:col>
      <xdr:colOff>83820</xdr:colOff>
      <xdr:row>856</xdr:row>
      <xdr:rowOff>114300</xdr:rowOff>
    </xdr:to>
    <xdr:sp macro="" textlink="">
      <xdr:nvSpPr>
        <xdr:cNvPr id="6477" name="Arrow: Down 6476">
          <a:extLst>
            <a:ext uri="{FF2B5EF4-FFF2-40B4-BE49-F238E27FC236}">
              <a16:creationId xmlns:a16="http://schemas.microsoft.com/office/drawing/2014/main" id="{7B745BC6-157E-4C30-9C02-17F37B19CC02}"/>
            </a:ext>
          </a:extLst>
        </xdr:cNvPr>
        <xdr:cNvSpPr/>
      </xdr:nvSpPr>
      <xdr:spPr>
        <a:xfrm rot="10800000">
          <a:off x="19754850" y="1589293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856</xdr:row>
      <xdr:rowOff>0</xdr:rowOff>
    </xdr:from>
    <xdr:to>
      <xdr:col>24</xdr:col>
      <xdr:colOff>83820</xdr:colOff>
      <xdr:row>856</xdr:row>
      <xdr:rowOff>114300</xdr:rowOff>
    </xdr:to>
    <xdr:sp macro="" textlink="">
      <xdr:nvSpPr>
        <xdr:cNvPr id="6478" name="Arrow: Down 6477">
          <a:extLst>
            <a:ext uri="{FF2B5EF4-FFF2-40B4-BE49-F238E27FC236}">
              <a16:creationId xmlns:a16="http://schemas.microsoft.com/office/drawing/2014/main" id="{7502E7FD-DE83-4B95-B99E-6314E2A0786E}"/>
            </a:ext>
          </a:extLst>
        </xdr:cNvPr>
        <xdr:cNvSpPr/>
      </xdr:nvSpPr>
      <xdr:spPr>
        <a:xfrm>
          <a:off x="8486775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856</xdr:row>
      <xdr:rowOff>0</xdr:rowOff>
    </xdr:from>
    <xdr:to>
      <xdr:col>5</xdr:col>
      <xdr:colOff>83820</xdr:colOff>
      <xdr:row>856</xdr:row>
      <xdr:rowOff>114300</xdr:rowOff>
    </xdr:to>
    <xdr:sp macro="" textlink="">
      <xdr:nvSpPr>
        <xdr:cNvPr id="6479" name="Arrow: Down 6478">
          <a:extLst>
            <a:ext uri="{FF2B5EF4-FFF2-40B4-BE49-F238E27FC236}">
              <a16:creationId xmlns:a16="http://schemas.microsoft.com/office/drawing/2014/main" id="{3BC62A5C-2DF5-4359-8463-118F0FCC03BD}"/>
            </a:ext>
          </a:extLst>
        </xdr:cNvPr>
        <xdr:cNvSpPr/>
      </xdr:nvSpPr>
      <xdr:spPr>
        <a:xfrm>
          <a:off x="1962150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856</xdr:row>
      <xdr:rowOff>0</xdr:rowOff>
    </xdr:from>
    <xdr:to>
      <xdr:col>11</xdr:col>
      <xdr:colOff>83820</xdr:colOff>
      <xdr:row>856</xdr:row>
      <xdr:rowOff>114300</xdr:rowOff>
    </xdr:to>
    <xdr:sp macro="" textlink="">
      <xdr:nvSpPr>
        <xdr:cNvPr id="6480" name="Arrow: Down 6479">
          <a:extLst>
            <a:ext uri="{FF2B5EF4-FFF2-40B4-BE49-F238E27FC236}">
              <a16:creationId xmlns:a16="http://schemas.microsoft.com/office/drawing/2014/main" id="{3CE3CD50-3816-4410-976A-542EAF8E7EB5}"/>
            </a:ext>
          </a:extLst>
        </xdr:cNvPr>
        <xdr:cNvSpPr/>
      </xdr:nvSpPr>
      <xdr:spPr>
        <a:xfrm>
          <a:off x="3757613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856</xdr:row>
      <xdr:rowOff>0</xdr:rowOff>
    </xdr:from>
    <xdr:to>
      <xdr:col>45</xdr:col>
      <xdr:colOff>83820</xdr:colOff>
      <xdr:row>856</xdr:row>
      <xdr:rowOff>114300</xdr:rowOff>
    </xdr:to>
    <xdr:sp macro="" textlink="">
      <xdr:nvSpPr>
        <xdr:cNvPr id="6482" name="Arrow: Down 6481">
          <a:extLst>
            <a:ext uri="{FF2B5EF4-FFF2-40B4-BE49-F238E27FC236}">
              <a16:creationId xmlns:a16="http://schemas.microsoft.com/office/drawing/2014/main" id="{295A5067-01F3-4F74-BFDB-E4E8A2D682B7}"/>
            </a:ext>
          </a:extLst>
        </xdr:cNvPr>
        <xdr:cNvSpPr/>
      </xdr:nvSpPr>
      <xdr:spPr>
        <a:xfrm rot="10800000">
          <a:off x="13644563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856</xdr:row>
      <xdr:rowOff>0</xdr:rowOff>
    </xdr:from>
    <xdr:to>
      <xdr:col>71</xdr:col>
      <xdr:colOff>83820</xdr:colOff>
      <xdr:row>856</xdr:row>
      <xdr:rowOff>114300</xdr:rowOff>
    </xdr:to>
    <xdr:sp macro="" textlink="">
      <xdr:nvSpPr>
        <xdr:cNvPr id="6483" name="Arrow: Down 6482">
          <a:extLst>
            <a:ext uri="{FF2B5EF4-FFF2-40B4-BE49-F238E27FC236}">
              <a16:creationId xmlns:a16="http://schemas.microsoft.com/office/drawing/2014/main" id="{B54397CD-1FBA-44E9-9C47-77107C3A293D}"/>
            </a:ext>
          </a:extLst>
        </xdr:cNvPr>
        <xdr:cNvSpPr/>
      </xdr:nvSpPr>
      <xdr:spPr>
        <a:xfrm rot="10800000">
          <a:off x="22412325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856</xdr:row>
      <xdr:rowOff>0</xdr:rowOff>
    </xdr:from>
    <xdr:to>
      <xdr:col>39</xdr:col>
      <xdr:colOff>83820</xdr:colOff>
      <xdr:row>856</xdr:row>
      <xdr:rowOff>114300</xdr:rowOff>
    </xdr:to>
    <xdr:sp macro="" textlink="">
      <xdr:nvSpPr>
        <xdr:cNvPr id="6484" name="Arrow: Down 6483">
          <a:extLst>
            <a:ext uri="{FF2B5EF4-FFF2-40B4-BE49-F238E27FC236}">
              <a16:creationId xmlns:a16="http://schemas.microsoft.com/office/drawing/2014/main" id="{AE325EFE-604E-4DCA-98A2-19111893E327}"/>
            </a:ext>
          </a:extLst>
        </xdr:cNvPr>
        <xdr:cNvSpPr/>
      </xdr:nvSpPr>
      <xdr:spPr>
        <a:xfrm>
          <a:off x="11753850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857</xdr:row>
      <xdr:rowOff>0</xdr:rowOff>
    </xdr:from>
    <xdr:to>
      <xdr:col>64</xdr:col>
      <xdr:colOff>83820</xdr:colOff>
      <xdr:row>857</xdr:row>
      <xdr:rowOff>114300</xdr:rowOff>
    </xdr:to>
    <xdr:sp macro="" textlink="">
      <xdr:nvSpPr>
        <xdr:cNvPr id="6489" name="Arrow: Down 6488">
          <a:extLst>
            <a:ext uri="{FF2B5EF4-FFF2-40B4-BE49-F238E27FC236}">
              <a16:creationId xmlns:a16="http://schemas.microsoft.com/office/drawing/2014/main" id="{B80A5FF4-85B3-4E18-B5C1-F247BBC8A7C7}"/>
            </a:ext>
          </a:extLst>
        </xdr:cNvPr>
        <xdr:cNvSpPr/>
      </xdr:nvSpPr>
      <xdr:spPr>
        <a:xfrm rot="10800000">
          <a:off x="19754850" y="159115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857</xdr:row>
      <xdr:rowOff>0</xdr:rowOff>
    </xdr:from>
    <xdr:to>
      <xdr:col>24</xdr:col>
      <xdr:colOff>83820</xdr:colOff>
      <xdr:row>857</xdr:row>
      <xdr:rowOff>114300</xdr:rowOff>
    </xdr:to>
    <xdr:sp macro="" textlink="">
      <xdr:nvSpPr>
        <xdr:cNvPr id="6490" name="Arrow: Down 6489">
          <a:extLst>
            <a:ext uri="{FF2B5EF4-FFF2-40B4-BE49-F238E27FC236}">
              <a16:creationId xmlns:a16="http://schemas.microsoft.com/office/drawing/2014/main" id="{298827E8-BA01-482A-8F4C-DF52BA06C1C7}"/>
            </a:ext>
          </a:extLst>
        </xdr:cNvPr>
        <xdr:cNvSpPr/>
      </xdr:nvSpPr>
      <xdr:spPr>
        <a:xfrm>
          <a:off x="8486775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857</xdr:row>
      <xdr:rowOff>0</xdr:rowOff>
    </xdr:from>
    <xdr:to>
      <xdr:col>5</xdr:col>
      <xdr:colOff>83820</xdr:colOff>
      <xdr:row>857</xdr:row>
      <xdr:rowOff>114300</xdr:rowOff>
    </xdr:to>
    <xdr:sp macro="" textlink="">
      <xdr:nvSpPr>
        <xdr:cNvPr id="6491" name="Arrow: Down 6490">
          <a:extLst>
            <a:ext uri="{FF2B5EF4-FFF2-40B4-BE49-F238E27FC236}">
              <a16:creationId xmlns:a16="http://schemas.microsoft.com/office/drawing/2014/main" id="{095A288F-08A9-4C46-AB7D-1841FEFFDA25}"/>
            </a:ext>
          </a:extLst>
        </xdr:cNvPr>
        <xdr:cNvSpPr/>
      </xdr:nvSpPr>
      <xdr:spPr>
        <a:xfrm>
          <a:off x="1962150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857</xdr:row>
      <xdr:rowOff>0</xdr:rowOff>
    </xdr:from>
    <xdr:to>
      <xdr:col>11</xdr:col>
      <xdr:colOff>83820</xdr:colOff>
      <xdr:row>857</xdr:row>
      <xdr:rowOff>114300</xdr:rowOff>
    </xdr:to>
    <xdr:sp macro="" textlink="">
      <xdr:nvSpPr>
        <xdr:cNvPr id="6492" name="Arrow: Down 6491">
          <a:extLst>
            <a:ext uri="{FF2B5EF4-FFF2-40B4-BE49-F238E27FC236}">
              <a16:creationId xmlns:a16="http://schemas.microsoft.com/office/drawing/2014/main" id="{5390CDB2-52F2-4417-AD00-C6FB1825EBEA}"/>
            </a:ext>
          </a:extLst>
        </xdr:cNvPr>
        <xdr:cNvSpPr/>
      </xdr:nvSpPr>
      <xdr:spPr>
        <a:xfrm>
          <a:off x="3757613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857</xdr:row>
      <xdr:rowOff>0</xdr:rowOff>
    </xdr:from>
    <xdr:to>
      <xdr:col>45</xdr:col>
      <xdr:colOff>83820</xdr:colOff>
      <xdr:row>857</xdr:row>
      <xdr:rowOff>114300</xdr:rowOff>
    </xdr:to>
    <xdr:sp macro="" textlink="">
      <xdr:nvSpPr>
        <xdr:cNvPr id="6493" name="Arrow: Down 6492">
          <a:extLst>
            <a:ext uri="{FF2B5EF4-FFF2-40B4-BE49-F238E27FC236}">
              <a16:creationId xmlns:a16="http://schemas.microsoft.com/office/drawing/2014/main" id="{78EDEDC6-D53A-42C1-81BD-60DE3E022C41}"/>
            </a:ext>
          </a:extLst>
        </xdr:cNvPr>
        <xdr:cNvSpPr/>
      </xdr:nvSpPr>
      <xdr:spPr>
        <a:xfrm rot="10800000">
          <a:off x="13644563" y="1591151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857</xdr:row>
      <xdr:rowOff>0</xdr:rowOff>
    </xdr:from>
    <xdr:to>
      <xdr:col>71</xdr:col>
      <xdr:colOff>83820</xdr:colOff>
      <xdr:row>857</xdr:row>
      <xdr:rowOff>114300</xdr:rowOff>
    </xdr:to>
    <xdr:sp macro="" textlink="">
      <xdr:nvSpPr>
        <xdr:cNvPr id="6494" name="Arrow: Down 6493">
          <a:extLst>
            <a:ext uri="{FF2B5EF4-FFF2-40B4-BE49-F238E27FC236}">
              <a16:creationId xmlns:a16="http://schemas.microsoft.com/office/drawing/2014/main" id="{47B41E6E-E9B5-4A15-B9E9-64ADB8424FDA}"/>
            </a:ext>
          </a:extLst>
        </xdr:cNvPr>
        <xdr:cNvSpPr/>
      </xdr:nvSpPr>
      <xdr:spPr>
        <a:xfrm rot="10800000">
          <a:off x="22412325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857</xdr:row>
      <xdr:rowOff>0</xdr:rowOff>
    </xdr:from>
    <xdr:to>
      <xdr:col>39</xdr:col>
      <xdr:colOff>83820</xdr:colOff>
      <xdr:row>857</xdr:row>
      <xdr:rowOff>114300</xdr:rowOff>
    </xdr:to>
    <xdr:sp macro="" textlink="">
      <xdr:nvSpPr>
        <xdr:cNvPr id="6495" name="Arrow: Down 6494">
          <a:extLst>
            <a:ext uri="{FF2B5EF4-FFF2-40B4-BE49-F238E27FC236}">
              <a16:creationId xmlns:a16="http://schemas.microsoft.com/office/drawing/2014/main" id="{2292F9CB-D517-4C59-B222-81AD86EDC1AB}"/>
            </a:ext>
          </a:extLst>
        </xdr:cNvPr>
        <xdr:cNvSpPr/>
      </xdr:nvSpPr>
      <xdr:spPr>
        <a:xfrm>
          <a:off x="11753850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857</xdr:row>
      <xdr:rowOff>0</xdr:rowOff>
    </xdr:from>
    <xdr:to>
      <xdr:col>60</xdr:col>
      <xdr:colOff>83820</xdr:colOff>
      <xdr:row>857</xdr:row>
      <xdr:rowOff>114300</xdr:rowOff>
    </xdr:to>
    <xdr:sp macro="" textlink="">
      <xdr:nvSpPr>
        <xdr:cNvPr id="6496" name="Arrow: Down 6495">
          <a:extLst>
            <a:ext uri="{FF2B5EF4-FFF2-40B4-BE49-F238E27FC236}">
              <a16:creationId xmlns:a16="http://schemas.microsoft.com/office/drawing/2014/main" id="{C79873A2-E273-43AD-A8FC-B12741421772}"/>
            </a:ext>
          </a:extLst>
        </xdr:cNvPr>
        <xdr:cNvSpPr/>
      </xdr:nvSpPr>
      <xdr:spPr>
        <a:xfrm>
          <a:off x="19483388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858</xdr:row>
      <xdr:rowOff>0</xdr:rowOff>
    </xdr:from>
    <xdr:to>
      <xdr:col>64</xdr:col>
      <xdr:colOff>83820</xdr:colOff>
      <xdr:row>858</xdr:row>
      <xdr:rowOff>114300</xdr:rowOff>
    </xdr:to>
    <xdr:sp macro="" textlink="">
      <xdr:nvSpPr>
        <xdr:cNvPr id="6499" name="Arrow: Down 6498">
          <a:extLst>
            <a:ext uri="{FF2B5EF4-FFF2-40B4-BE49-F238E27FC236}">
              <a16:creationId xmlns:a16="http://schemas.microsoft.com/office/drawing/2014/main" id="{7927A256-51F4-4164-9450-4739931EFBC1}"/>
            </a:ext>
          </a:extLst>
        </xdr:cNvPr>
        <xdr:cNvSpPr/>
      </xdr:nvSpPr>
      <xdr:spPr>
        <a:xfrm rot="10800000">
          <a:off x="19754850" y="1593008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858</xdr:row>
      <xdr:rowOff>0</xdr:rowOff>
    </xdr:from>
    <xdr:to>
      <xdr:col>24</xdr:col>
      <xdr:colOff>83820</xdr:colOff>
      <xdr:row>858</xdr:row>
      <xdr:rowOff>114300</xdr:rowOff>
    </xdr:to>
    <xdr:sp macro="" textlink="">
      <xdr:nvSpPr>
        <xdr:cNvPr id="6500" name="Arrow: Down 6499">
          <a:extLst>
            <a:ext uri="{FF2B5EF4-FFF2-40B4-BE49-F238E27FC236}">
              <a16:creationId xmlns:a16="http://schemas.microsoft.com/office/drawing/2014/main" id="{4C647A37-822F-469E-993E-43C66FAC5E39}"/>
            </a:ext>
          </a:extLst>
        </xdr:cNvPr>
        <xdr:cNvSpPr/>
      </xdr:nvSpPr>
      <xdr:spPr>
        <a:xfrm>
          <a:off x="8486775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858</xdr:row>
      <xdr:rowOff>0</xdr:rowOff>
    </xdr:from>
    <xdr:to>
      <xdr:col>5</xdr:col>
      <xdr:colOff>83820</xdr:colOff>
      <xdr:row>858</xdr:row>
      <xdr:rowOff>114300</xdr:rowOff>
    </xdr:to>
    <xdr:sp macro="" textlink="">
      <xdr:nvSpPr>
        <xdr:cNvPr id="6501" name="Arrow: Down 6500">
          <a:extLst>
            <a:ext uri="{FF2B5EF4-FFF2-40B4-BE49-F238E27FC236}">
              <a16:creationId xmlns:a16="http://schemas.microsoft.com/office/drawing/2014/main" id="{04172354-E130-4043-87B3-278C08955F39}"/>
            </a:ext>
          </a:extLst>
        </xdr:cNvPr>
        <xdr:cNvSpPr/>
      </xdr:nvSpPr>
      <xdr:spPr>
        <a:xfrm>
          <a:off x="1962150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858</xdr:row>
      <xdr:rowOff>0</xdr:rowOff>
    </xdr:from>
    <xdr:to>
      <xdr:col>11</xdr:col>
      <xdr:colOff>83820</xdr:colOff>
      <xdr:row>858</xdr:row>
      <xdr:rowOff>114300</xdr:rowOff>
    </xdr:to>
    <xdr:sp macro="" textlink="">
      <xdr:nvSpPr>
        <xdr:cNvPr id="6503" name="Arrow: Down 6502">
          <a:extLst>
            <a:ext uri="{FF2B5EF4-FFF2-40B4-BE49-F238E27FC236}">
              <a16:creationId xmlns:a16="http://schemas.microsoft.com/office/drawing/2014/main" id="{2B3D466E-740E-4CB1-A668-1C68290E8D5F}"/>
            </a:ext>
          </a:extLst>
        </xdr:cNvPr>
        <xdr:cNvSpPr/>
      </xdr:nvSpPr>
      <xdr:spPr>
        <a:xfrm>
          <a:off x="3757613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858</xdr:row>
      <xdr:rowOff>0</xdr:rowOff>
    </xdr:from>
    <xdr:to>
      <xdr:col>45</xdr:col>
      <xdr:colOff>83820</xdr:colOff>
      <xdr:row>858</xdr:row>
      <xdr:rowOff>114300</xdr:rowOff>
    </xdr:to>
    <xdr:sp macro="" textlink="">
      <xdr:nvSpPr>
        <xdr:cNvPr id="6504" name="Arrow: Down 6503">
          <a:extLst>
            <a:ext uri="{FF2B5EF4-FFF2-40B4-BE49-F238E27FC236}">
              <a16:creationId xmlns:a16="http://schemas.microsoft.com/office/drawing/2014/main" id="{E0A74927-0945-4F50-967F-B8801618FD60}"/>
            </a:ext>
          </a:extLst>
        </xdr:cNvPr>
        <xdr:cNvSpPr/>
      </xdr:nvSpPr>
      <xdr:spPr>
        <a:xfrm rot="10800000">
          <a:off x="13644563" y="1593008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858</xdr:row>
      <xdr:rowOff>0</xdr:rowOff>
    </xdr:from>
    <xdr:to>
      <xdr:col>71</xdr:col>
      <xdr:colOff>83820</xdr:colOff>
      <xdr:row>858</xdr:row>
      <xdr:rowOff>114300</xdr:rowOff>
    </xdr:to>
    <xdr:sp macro="" textlink="">
      <xdr:nvSpPr>
        <xdr:cNvPr id="6506" name="Arrow: Down 6505">
          <a:extLst>
            <a:ext uri="{FF2B5EF4-FFF2-40B4-BE49-F238E27FC236}">
              <a16:creationId xmlns:a16="http://schemas.microsoft.com/office/drawing/2014/main" id="{E03468D6-995E-4FB3-A261-2D0F3ECB9BD6}"/>
            </a:ext>
          </a:extLst>
        </xdr:cNvPr>
        <xdr:cNvSpPr/>
      </xdr:nvSpPr>
      <xdr:spPr>
        <a:xfrm rot="10800000">
          <a:off x="22412325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858</xdr:row>
      <xdr:rowOff>0</xdr:rowOff>
    </xdr:from>
    <xdr:to>
      <xdr:col>39</xdr:col>
      <xdr:colOff>83820</xdr:colOff>
      <xdr:row>858</xdr:row>
      <xdr:rowOff>114300</xdr:rowOff>
    </xdr:to>
    <xdr:sp macro="" textlink="">
      <xdr:nvSpPr>
        <xdr:cNvPr id="6507" name="Arrow: Down 6506">
          <a:extLst>
            <a:ext uri="{FF2B5EF4-FFF2-40B4-BE49-F238E27FC236}">
              <a16:creationId xmlns:a16="http://schemas.microsoft.com/office/drawing/2014/main" id="{978F7BF1-E9BB-4ABF-A42F-8B95995A8C6B}"/>
            </a:ext>
          </a:extLst>
        </xdr:cNvPr>
        <xdr:cNvSpPr/>
      </xdr:nvSpPr>
      <xdr:spPr>
        <a:xfrm>
          <a:off x="11753850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853</xdr:row>
      <xdr:rowOff>0</xdr:rowOff>
    </xdr:from>
    <xdr:to>
      <xdr:col>60</xdr:col>
      <xdr:colOff>82233</xdr:colOff>
      <xdr:row>853</xdr:row>
      <xdr:rowOff>114300</xdr:rowOff>
    </xdr:to>
    <xdr:sp macro="" textlink="">
      <xdr:nvSpPr>
        <xdr:cNvPr id="6517" name="Arrow: Down 6516">
          <a:extLst>
            <a:ext uri="{FF2B5EF4-FFF2-40B4-BE49-F238E27FC236}">
              <a16:creationId xmlns:a16="http://schemas.microsoft.com/office/drawing/2014/main" id="{D5900485-133D-4A38-B75A-7786D5688653}"/>
            </a:ext>
          </a:extLst>
        </xdr:cNvPr>
        <xdr:cNvSpPr/>
      </xdr:nvSpPr>
      <xdr:spPr>
        <a:xfrm rot="10800000">
          <a:off x="19483388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858</xdr:row>
      <xdr:rowOff>0</xdr:rowOff>
    </xdr:from>
    <xdr:to>
      <xdr:col>60</xdr:col>
      <xdr:colOff>82233</xdr:colOff>
      <xdr:row>858</xdr:row>
      <xdr:rowOff>114300</xdr:rowOff>
    </xdr:to>
    <xdr:sp macro="" textlink="">
      <xdr:nvSpPr>
        <xdr:cNvPr id="6521" name="Arrow: Down 6520">
          <a:extLst>
            <a:ext uri="{FF2B5EF4-FFF2-40B4-BE49-F238E27FC236}">
              <a16:creationId xmlns:a16="http://schemas.microsoft.com/office/drawing/2014/main" id="{FF4F5CF2-B11C-4452-BABB-64F0DEDB1724}"/>
            </a:ext>
          </a:extLst>
        </xdr:cNvPr>
        <xdr:cNvSpPr/>
      </xdr:nvSpPr>
      <xdr:spPr>
        <a:xfrm rot="10800000">
          <a:off x="19483388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855</xdr:row>
      <xdr:rowOff>0</xdr:rowOff>
    </xdr:from>
    <xdr:to>
      <xdr:col>60</xdr:col>
      <xdr:colOff>82233</xdr:colOff>
      <xdr:row>855</xdr:row>
      <xdr:rowOff>114300</xdr:rowOff>
    </xdr:to>
    <xdr:sp macro="" textlink="">
      <xdr:nvSpPr>
        <xdr:cNvPr id="6522" name="Arrow: Down 6521">
          <a:extLst>
            <a:ext uri="{FF2B5EF4-FFF2-40B4-BE49-F238E27FC236}">
              <a16:creationId xmlns:a16="http://schemas.microsoft.com/office/drawing/2014/main" id="{B524CB2B-0E9C-4D9F-ADFC-B22B23A2A790}"/>
            </a:ext>
          </a:extLst>
        </xdr:cNvPr>
        <xdr:cNvSpPr/>
      </xdr:nvSpPr>
      <xdr:spPr>
        <a:xfrm rot="10800000">
          <a:off x="19483388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856</xdr:row>
      <xdr:rowOff>0</xdr:rowOff>
    </xdr:from>
    <xdr:to>
      <xdr:col>60</xdr:col>
      <xdr:colOff>82233</xdr:colOff>
      <xdr:row>856</xdr:row>
      <xdr:rowOff>114300</xdr:rowOff>
    </xdr:to>
    <xdr:sp macro="" textlink="">
      <xdr:nvSpPr>
        <xdr:cNvPr id="6524" name="Arrow: Down 6523">
          <a:extLst>
            <a:ext uri="{FF2B5EF4-FFF2-40B4-BE49-F238E27FC236}">
              <a16:creationId xmlns:a16="http://schemas.microsoft.com/office/drawing/2014/main" id="{19EB9C85-7F82-4919-B287-40E21DBEADBF}"/>
            </a:ext>
          </a:extLst>
        </xdr:cNvPr>
        <xdr:cNvSpPr/>
      </xdr:nvSpPr>
      <xdr:spPr>
        <a:xfrm rot="10800000">
          <a:off x="19483388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852</xdr:row>
      <xdr:rowOff>0</xdr:rowOff>
    </xdr:from>
    <xdr:to>
      <xdr:col>5</xdr:col>
      <xdr:colOff>82233</xdr:colOff>
      <xdr:row>852</xdr:row>
      <xdr:rowOff>114300</xdr:rowOff>
    </xdr:to>
    <xdr:sp macro="" textlink="">
      <xdr:nvSpPr>
        <xdr:cNvPr id="6525" name="Arrow: Down 6524">
          <a:extLst>
            <a:ext uri="{FF2B5EF4-FFF2-40B4-BE49-F238E27FC236}">
              <a16:creationId xmlns:a16="http://schemas.microsoft.com/office/drawing/2014/main" id="{DC6CC252-33C4-4F8F-9CF8-9AC841196580}"/>
            </a:ext>
          </a:extLst>
        </xdr:cNvPr>
        <xdr:cNvSpPr/>
      </xdr:nvSpPr>
      <xdr:spPr>
        <a:xfrm rot="10800000">
          <a:off x="19621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854</xdr:row>
      <xdr:rowOff>0</xdr:rowOff>
    </xdr:from>
    <xdr:to>
      <xdr:col>11</xdr:col>
      <xdr:colOff>82233</xdr:colOff>
      <xdr:row>854</xdr:row>
      <xdr:rowOff>114300</xdr:rowOff>
    </xdr:to>
    <xdr:sp macro="" textlink="">
      <xdr:nvSpPr>
        <xdr:cNvPr id="6526" name="Arrow: Down 6525">
          <a:extLst>
            <a:ext uri="{FF2B5EF4-FFF2-40B4-BE49-F238E27FC236}">
              <a16:creationId xmlns:a16="http://schemas.microsoft.com/office/drawing/2014/main" id="{8CF3ACDB-29D3-454C-BE23-7932E7A9BC2F}"/>
            </a:ext>
          </a:extLst>
        </xdr:cNvPr>
        <xdr:cNvSpPr/>
      </xdr:nvSpPr>
      <xdr:spPr>
        <a:xfrm rot="10800000">
          <a:off x="3757613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854</xdr:row>
      <xdr:rowOff>0</xdr:rowOff>
    </xdr:from>
    <xdr:to>
      <xdr:col>5</xdr:col>
      <xdr:colOff>82233</xdr:colOff>
      <xdr:row>854</xdr:row>
      <xdr:rowOff>114300</xdr:rowOff>
    </xdr:to>
    <xdr:sp macro="" textlink="">
      <xdr:nvSpPr>
        <xdr:cNvPr id="6527" name="Arrow: Down 6526">
          <a:extLst>
            <a:ext uri="{FF2B5EF4-FFF2-40B4-BE49-F238E27FC236}">
              <a16:creationId xmlns:a16="http://schemas.microsoft.com/office/drawing/2014/main" id="{35B19E38-22A3-49E9-B9DA-7127A76ACBDA}"/>
            </a:ext>
          </a:extLst>
        </xdr:cNvPr>
        <xdr:cNvSpPr/>
      </xdr:nvSpPr>
      <xdr:spPr>
        <a:xfrm rot="10800000">
          <a:off x="1962150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852</xdr:row>
      <xdr:rowOff>0</xdr:rowOff>
    </xdr:from>
    <xdr:to>
      <xdr:col>11</xdr:col>
      <xdr:colOff>82233</xdr:colOff>
      <xdr:row>852</xdr:row>
      <xdr:rowOff>114300</xdr:rowOff>
    </xdr:to>
    <xdr:sp macro="" textlink="">
      <xdr:nvSpPr>
        <xdr:cNvPr id="6528" name="Arrow: Down 6527">
          <a:extLst>
            <a:ext uri="{FF2B5EF4-FFF2-40B4-BE49-F238E27FC236}">
              <a16:creationId xmlns:a16="http://schemas.microsoft.com/office/drawing/2014/main" id="{C792AC58-8B33-4EDF-B924-4EB389934BD2}"/>
            </a:ext>
          </a:extLst>
        </xdr:cNvPr>
        <xdr:cNvSpPr/>
      </xdr:nvSpPr>
      <xdr:spPr>
        <a:xfrm rot="10800000">
          <a:off x="3757613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853</xdr:row>
      <xdr:rowOff>0</xdr:rowOff>
    </xdr:from>
    <xdr:to>
      <xdr:col>5</xdr:col>
      <xdr:colOff>82233</xdr:colOff>
      <xdr:row>853</xdr:row>
      <xdr:rowOff>114300</xdr:rowOff>
    </xdr:to>
    <xdr:sp macro="" textlink="">
      <xdr:nvSpPr>
        <xdr:cNvPr id="6531" name="Arrow: Down 6530">
          <a:extLst>
            <a:ext uri="{FF2B5EF4-FFF2-40B4-BE49-F238E27FC236}">
              <a16:creationId xmlns:a16="http://schemas.microsoft.com/office/drawing/2014/main" id="{0E8895D2-D034-40C9-9310-42E36254FF99}"/>
            </a:ext>
          </a:extLst>
        </xdr:cNvPr>
        <xdr:cNvSpPr/>
      </xdr:nvSpPr>
      <xdr:spPr>
        <a:xfrm rot="10800000">
          <a:off x="1962150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853</xdr:row>
      <xdr:rowOff>0</xdr:rowOff>
    </xdr:from>
    <xdr:to>
      <xdr:col>11</xdr:col>
      <xdr:colOff>82233</xdr:colOff>
      <xdr:row>853</xdr:row>
      <xdr:rowOff>114300</xdr:rowOff>
    </xdr:to>
    <xdr:sp macro="" textlink="">
      <xdr:nvSpPr>
        <xdr:cNvPr id="6532" name="Arrow: Down 6531">
          <a:extLst>
            <a:ext uri="{FF2B5EF4-FFF2-40B4-BE49-F238E27FC236}">
              <a16:creationId xmlns:a16="http://schemas.microsoft.com/office/drawing/2014/main" id="{D2326759-E0E3-4B72-AEBE-03C794B6EFB0}"/>
            </a:ext>
          </a:extLst>
        </xdr:cNvPr>
        <xdr:cNvSpPr/>
      </xdr:nvSpPr>
      <xdr:spPr>
        <a:xfrm rot="10800000">
          <a:off x="3757613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852</xdr:row>
      <xdr:rowOff>0</xdr:rowOff>
    </xdr:from>
    <xdr:to>
      <xdr:col>24</xdr:col>
      <xdr:colOff>82233</xdr:colOff>
      <xdr:row>852</xdr:row>
      <xdr:rowOff>114300</xdr:rowOff>
    </xdr:to>
    <xdr:sp macro="" textlink="">
      <xdr:nvSpPr>
        <xdr:cNvPr id="6533" name="Arrow: Down 6532">
          <a:extLst>
            <a:ext uri="{FF2B5EF4-FFF2-40B4-BE49-F238E27FC236}">
              <a16:creationId xmlns:a16="http://schemas.microsoft.com/office/drawing/2014/main" id="{E27AA8D1-6620-450C-91B0-FC8B66F9C9E8}"/>
            </a:ext>
          </a:extLst>
        </xdr:cNvPr>
        <xdr:cNvSpPr/>
      </xdr:nvSpPr>
      <xdr:spPr>
        <a:xfrm rot="10800000">
          <a:off x="848677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853</xdr:row>
      <xdr:rowOff>0</xdr:rowOff>
    </xdr:from>
    <xdr:to>
      <xdr:col>24</xdr:col>
      <xdr:colOff>82233</xdr:colOff>
      <xdr:row>853</xdr:row>
      <xdr:rowOff>114300</xdr:rowOff>
    </xdr:to>
    <xdr:sp macro="" textlink="">
      <xdr:nvSpPr>
        <xdr:cNvPr id="6541" name="Arrow: Down 6540">
          <a:extLst>
            <a:ext uri="{FF2B5EF4-FFF2-40B4-BE49-F238E27FC236}">
              <a16:creationId xmlns:a16="http://schemas.microsoft.com/office/drawing/2014/main" id="{70A18A9F-B5C0-4DB0-9062-934BE4EC9EB7}"/>
            </a:ext>
          </a:extLst>
        </xdr:cNvPr>
        <xdr:cNvSpPr/>
      </xdr:nvSpPr>
      <xdr:spPr>
        <a:xfrm rot="10800000">
          <a:off x="848677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854</xdr:row>
      <xdr:rowOff>0</xdr:rowOff>
    </xdr:from>
    <xdr:to>
      <xdr:col>24</xdr:col>
      <xdr:colOff>82233</xdr:colOff>
      <xdr:row>854</xdr:row>
      <xdr:rowOff>114300</xdr:rowOff>
    </xdr:to>
    <xdr:sp macro="" textlink="">
      <xdr:nvSpPr>
        <xdr:cNvPr id="6552" name="Arrow: Down 6551">
          <a:extLst>
            <a:ext uri="{FF2B5EF4-FFF2-40B4-BE49-F238E27FC236}">
              <a16:creationId xmlns:a16="http://schemas.microsoft.com/office/drawing/2014/main" id="{A61BC8B5-F17D-49B9-AA19-F00019EBF902}"/>
            </a:ext>
          </a:extLst>
        </xdr:cNvPr>
        <xdr:cNvSpPr/>
      </xdr:nvSpPr>
      <xdr:spPr>
        <a:xfrm rot="10800000">
          <a:off x="848677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855</xdr:row>
      <xdr:rowOff>0</xdr:rowOff>
    </xdr:from>
    <xdr:to>
      <xdr:col>39</xdr:col>
      <xdr:colOff>82233</xdr:colOff>
      <xdr:row>855</xdr:row>
      <xdr:rowOff>114300</xdr:rowOff>
    </xdr:to>
    <xdr:sp macro="" textlink="">
      <xdr:nvSpPr>
        <xdr:cNvPr id="6566" name="Arrow: Down 6565">
          <a:extLst>
            <a:ext uri="{FF2B5EF4-FFF2-40B4-BE49-F238E27FC236}">
              <a16:creationId xmlns:a16="http://schemas.microsoft.com/office/drawing/2014/main" id="{BA2D9D3E-9C09-422C-83A6-F4381C55D6A9}"/>
            </a:ext>
          </a:extLst>
        </xdr:cNvPr>
        <xdr:cNvSpPr/>
      </xdr:nvSpPr>
      <xdr:spPr>
        <a:xfrm rot="10800000">
          <a:off x="11753850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0" name="Arrow: Down 6569">
          <a:extLst>
            <a:ext uri="{FF2B5EF4-FFF2-40B4-BE49-F238E27FC236}">
              <a16:creationId xmlns:a16="http://schemas.microsoft.com/office/drawing/2014/main" id="{6190A5A5-0879-4AB2-821B-108848936780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5" name="Arrow: Down 6574">
          <a:extLst>
            <a:ext uri="{FF2B5EF4-FFF2-40B4-BE49-F238E27FC236}">
              <a16:creationId xmlns:a16="http://schemas.microsoft.com/office/drawing/2014/main" id="{A150C807-0E09-48A8-9FDC-95FA712349DF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854</xdr:row>
      <xdr:rowOff>0</xdr:rowOff>
    </xdr:from>
    <xdr:to>
      <xdr:col>39</xdr:col>
      <xdr:colOff>82233</xdr:colOff>
      <xdr:row>854</xdr:row>
      <xdr:rowOff>114300</xdr:rowOff>
    </xdr:to>
    <xdr:sp macro="" textlink="">
      <xdr:nvSpPr>
        <xdr:cNvPr id="6577" name="Arrow: Down 6576">
          <a:extLst>
            <a:ext uri="{FF2B5EF4-FFF2-40B4-BE49-F238E27FC236}">
              <a16:creationId xmlns:a16="http://schemas.microsoft.com/office/drawing/2014/main" id="{A8C51FED-A8BA-43F7-A694-0FA479F1B8A4}"/>
            </a:ext>
          </a:extLst>
        </xdr:cNvPr>
        <xdr:cNvSpPr/>
      </xdr:nvSpPr>
      <xdr:spPr>
        <a:xfrm rot="10800000">
          <a:off x="11753850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840</xdr:row>
      <xdr:rowOff>0</xdr:rowOff>
    </xdr:from>
    <xdr:to>
      <xdr:col>14</xdr:col>
      <xdr:colOff>83820</xdr:colOff>
      <xdr:row>840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5C8535D0-FF5E-415D-8959-8507B6AFA8B1}"/>
            </a:ext>
          </a:extLst>
        </xdr:cNvPr>
        <xdr:cNvSpPr/>
      </xdr:nvSpPr>
      <xdr:spPr>
        <a:xfrm>
          <a:off x="5372100" y="1252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844</xdr:row>
      <xdr:rowOff>0</xdr:rowOff>
    </xdr:from>
    <xdr:to>
      <xdr:col>14</xdr:col>
      <xdr:colOff>83820</xdr:colOff>
      <xdr:row>844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2CA9B5E-5933-41AD-9C45-7A0C823578F5}"/>
            </a:ext>
          </a:extLst>
        </xdr:cNvPr>
        <xdr:cNvSpPr/>
      </xdr:nvSpPr>
      <xdr:spPr>
        <a:xfrm>
          <a:off x="5372100" y="12601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845</xdr:row>
      <xdr:rowOff>0</xdr:rowOff>
    </xdr:from>
    <xdr:to>
      <xdr:col>14</xdr:col>
      <xdr:colOff>83820</xdr:colOff>
      <xdr:row>845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885D8478-C381-4A8E-9EC1-F3FD1E7D68C3}"/>
            </a:ext>
          </a:extLst>
        </xdr:cNvPr>
        <xdr:cNvSpPr/>
      </xdr:nvSpPr>
      <xdr:spPr>
        <a:xfrm>
          <a:off x="5372100" y="12620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846</xdr:row>
      <xdr:rowOff>0</xdr:rowOff>
    </xdr:from>
    <xdr:to>
      <xdr:col>14</xdr:col>
      <xdr:colOff>83820</xdr:colOff>
      <xdr:row>846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330813AE-6300-4D03-8E37-6E203918684F}"/>
            </a:ext>
          </a:extLst>
        </xdr:cNvPr>
        <xdr:cNvSpPr/>
      </xdr:nvSpPr>
      <xdr:spPr>
        <a:xfrm>
          <a:off x="5372100" y="12638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848</xdr:row>
      <xdr:rowOff>0</xdr:rowOff>
    </xdr:from>
    <xdr:to>
      <xdr:col>14</xdr:col>
      <xdr:colOff>83820</xdr:colOff>
      <xdr:row>848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D9F5A1EC-8F81-45F4-BD40-BF552B2A9E3D}"/>
            </a:ext>
          </a:extLst>
        </xdr:cNvPr>
        <xdr:cNvSpPr/>
      </xdr:nvSpPr>
      <xdr:spPr>
        <a:xfrm>
          <a:off x="5372100" y="1267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851</xdr:row>
      <xdr:rowOff>0</xdr:rowOff>
    </xdr:from>
    <xdr:to>
      <xdr:col>14</xdr:col>
      <xdr:colOff>83820</xdr:colOff>
      <xdr:row>851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C05EB268-CC04-4624-AF5A-85E7DC195DB5}"/>
            </a:ext>
          </a:extLst>
        </xdr:cNvPr>
        <xdr:cNvSpPr/>
      </xdr:nvSpPr>
      <xdr:spPr>
        <a:xfrm>
          <a:off x="5425440" y="12729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839</xdr:row>
      <xdr:rowOff>0</xdr:rowOff>
    </xdr:from>
    <xdr:to>
      <xdr:col>14</xdr:col>
      <xdr:colOff>83820</xdr:colOff>
      <xdr:row>839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53845167-9E80-4C72-822B-5BB84BCE09DF}"/>
            </a:ext>
          </a:extLst>
        </xdr:cNvPr>
        <xdr:cNvSpPr/>
      </xdr:nvSpPr>
      <xdr:spPr>
        <a:xfrm rot="10800000">
          <a:off x="5425440" y="12528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849</xdr:row>
      <xdr:rowOff>0</xdr:rowOff>
    </xdr:from>
    <xdr:to>
      <xdr:col>14</xdr:col>
      <xdr:colOff>83820</xdr:colOff>
      <xdr:row>849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D1D40ED5-63A4-4AF0-B954-FD78965C0EE5}"/>
            </a:ext>
          </a:extLst>
        </xdr:cNvPr>
        <xdr:cNvSpPr/>
      </xdr:nvSpPr>
      <xdr:spPr>
        <a:xfrm rot="10800000">
          <a:off x="5425440" y="127116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841</xdr:row>
      <xdr:rowOff>0</xdr:rowOff>
    </xdr:from>
    <xdr:to>
      <xdr:col>14</xdr:col>
      <xdr:colOff>83820</xdr:colOff>
      <xdr:row>841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65F92E32-72C9-4083-A43C-DCC16B26B2DF}"/>
            </a:ext>
          </a:extLst>
        </xdr:cNvPr>
        <xdr:cNvSpPr/>
      </xdr:nvSpPr>
      <xdr:spPr>
        <a:xfrm rot="10800000">
          <a:off x="5425440" y="125653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847</xdr:row>
      <xdr:rowOff>0</xdr:rowOff>
    </xdr:from>
    <xdr:to>
      <xdr:col>14</xdr:col>
      <xdr:colOff>83820</xdr:colOff>
      <xdr:row>847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40A17D8-136A-4FA2-B14D-E52681AE5674}"/>
            </a:ext>
          </a:extLst>
        </xdr:cNvPr>
        <xdr:cNvSpPr/>
      </xdr:nvSpPr>
      <xdr:spPr>
        <a:xfrm rot="10800000">
          <a:off x="5425440" y="12675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842</xdr:row>
      <xdr:rowOff>0</xdr:rowOff>
    </xdr:from>
    <xdr:to>
      <xdr:col>14</xdr:col>
      <xdr:colOff>83820</xdr:colOff>
      <xdr:row>842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D63916F9-9623-431E-9F88-F36E4BEE8A04}"/>
            </a:ext>
          </a:extLst>
        </xdr:cNvPr>
        <xdr:cNvSpPr/>
      </xdr:nvSpPr>
      <xdr:spPr>
        <a:xfrm rot="10800000">
          <a:off x="5425440" y="12583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850</xdr:row>
      <xdr:rowOff>0</xdr:rowOff>
    </xdr:from>
    <xdr:to>
      <xdr:col>14</xdr:col>
      <xdr:colOff>83820</xdr:colOff>
      <xdr:row>850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4C72BAA0-E633-4A2A-8FE9-BF2AD41D9AD2}"/>
            </a:ext>
          </a:extLst>
        </xdr:cNvPr>
        <xdr:cNvSpPr/>
      </xdr:nvSpPr>
      <xdr:spPr>
        <a:xfrm rot="10800000">
          <a:off x="5425440" y="1272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843</xdr:row>
      <xdr:rowOff>0</xdr:rowOff>
    </xdr:from>
    <xdr:to>
      <xdr:col>14</xdr:col>
      <xdr:colOff>83820</xdr:colOff>
      <xdr:row>843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C54AD846-9F72-41C4-8A7A-C8DEF55719F3}"/>
            </a:ext>
          </a:extLst>
        </xdr:cNvPr>
        <xdr:cNvSpPr/>
      </xdr:nvSpPr>
      <xdr:spPr>
        <a:xfrm rot="10800000">
          <a:off x="5425440" y="12601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852</xdr:row>
      <xdr:rowOff>0</xdr:rowOff>
    </xdr:from>
    <xdr:to>
      <xdr:col>14</xdr:col>
      <xdr:colOff>83820</xdr:colOff>
      <xdr:row>852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22C008CD-A8CD-485D-AEA2-E72ACBA2ED1C}"/>
            </a:ext>
          </a:extLst>
        </xdr:cNvPr>
        <xdr:cNvSpPr/>
      </xdr:nvSpPr>
      <xdr:spPr>
        <a:xfrm>
          <a:off x="5425440" y="1276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855</xdr:row>
      <xdr:rowOff>0</xdr:rowOff>
    </xdr:from>
    <xdr:to>
      <xdr:col>14</xdr:col>
      <xdr:colOff>83820</xdr:colOff>
      <xdr:row>855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8679CBC5-EBAE-48C6-9C09-9AE294B662DC}"/>
            </a:ext>
          </a:extLst>
        </xdr:cNvPr>
        <xdr:cNvSpPr/>
      </xdr:nvSpPr>
      <xdr:spPr>
        <a:xfrm>
          <a:off x="5505450" y="1300781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857</xdr:row>
      <xdr:rowOff>0</xdr:rowOff>
    </xdr:from>
    <xdr:to>
      <xdr:col>14</xdr:col>
      <xdr:colOff>83820</xdr:colOff>
      <xdr:row>857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D477A3FB-BFC2-4A96-823B-4FCC22430E96}"/>
            </a:ext>
          </a:extLst>
        </xdr:cNvPr>
        <xdr:cNvSpPr/>
      </xdr:nvSpPr>
      <xdr:spPr>
        <a:xfrm>
          <a:off x="5505450" y="1304496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859</xdr:row>
      <xdr:rowOff>0</xdr:rowOff>
    </xdr:from>
    <xdr:to>
      <xdr:col>14</xdr:col>
      <xdr:colOff>83820</xdr:colOff>
      <xdr:row>859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3D14B3F4-72CA-4849-8162-E8D264D35373}"/>
            </a:ext>
          </a:extLst>
        </xdr:cNvPr>
        <xdr:cNvSpPr/>
      </xdr:nvSpPr>
      <xdr:spPr>
        <a:xfrm>
          <a:off x="5505450" y="1308211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853</xdr:row>
      <xdr:rowOff>0</xdr:rowOff>
    </xdr:from>
    <xdr:to>
      <xdr:col>14</xdr:col>
      <xdr:colOff>82233</xdr:colOff>
      <xdr:row>853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501178A0-8584-41D7-8E3B-6C4083895A02}"/>
            </a:ext>
          </a:extLst>
        </xdr:cNvPr>
        <xdr:cNvSpPr/>
      </xdr:nvSpPr>
      <xdr:spPr>
        <a:xfrm rot="10800000">
          <a:off x="5505450" y="129892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858</xdr:row>
      <xdr:rowOff>0</xdr:rowOff>
    </xdr:from>
    <xdr:to>
      <xdr:col>14</xdr:col>
      <xdr:colOff>82233</xdr:colOff>
      <xdr:row>858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7DC99B6F-B796-40DB-8CB8-117E39DB0321}"/>
            </a:ext>
          </a:extLst>
        </xdr:cNvPr>
        <xdr:cNvSpPr/>
      </xdr:nvSpPr>
      <xdr:spPr>
        <a:xfrm rot="10800000">
          <a:off x="5505450" y="1308211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854</xdr:row>
      <xdr:rowOff>0</xdr:rowOff>
    </xdr:from>
    <xdr:to>
      <xdr:col>14</xdr:col>
      <xdr:colOff>82233</xdr:colOff>
      <xdr:row>854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6E72468-9C79-4DEB-ABF1-50B8F3A22394}"/>
            </a:ext>
          </a:extLst>
        </xdr:cNvPr>
        <xdr:cNvSpPr/>
      </xdr:nvSpPr>
      <xdr:spPr>
        <a:xfrm rot="10800000">
          <a:off x="5505450" y="1300781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856</xdr:row>
      <xdr:rowOff>0</xdr:rowOff>
    </xdr:from>
    <xdr:to>
      <xdr:col>14</xdr:col>
      <xdr:colOff>82233</xdr:colOff>
      <xdr:row>856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79FDAA00-E281-458A-B055-F05832FA2035}"/>
            </a:ext>
          </a:extLst>
        </xdr:cNvPr>
        <xdr:cNvSpPr/>
      </xdr:nvSpPr>
      <xdr:spPr>
        <a:xfrm rot="10800000">
          <a:off x="5505450" y="1304496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793</xdr:row>
      <xdr:rowOff>0</xdr:rowOff>
    </xdr:from>
    <xdr:to>
      <xdr:col>28</xdr:col>
      <xdr:colOff>83820</xdr:colOff>
      <xdr:row>793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826C62EE-3424-4BFA-A0F7-DC059E40BE73}"/>
            </a:ext>
          </a:extLst>
        </xdr:cNvPr>
        <xdr:cNvSpPr/>
      </xdr:nvSpPr>
      <xdr:spPr>
        <a:xfrm>
          <a:off x="11803380" y="12930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794</xdr:row>
      <xdr:rowOff>0</xdr:rowOff>
    </xdr:from>
    <xdr:to>
      <xdr:col>28</xdr:col>
      <xdr:colOff>83820</xdr:colOff>
      <xdr:row>794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EF957C88-BF06-481C-8D84-15C34BDE1087}"/>
            </a:ext>
          </a:extLst>
        </xdr:cNvPr>
        <xdr:cNvSpPr/>
      </xdr:nvSpPr>
      <xdr:spPr>
        <a:xfrm>
          <a:off x="11803380" y="12948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798</xdr:row>
      <xdr:rowOff>0</xdr:rowOff>
    </xdr:from>
    <xdr:to>
      <xdr:col>28</xdr:col>
      <xdr:colOff>83820</xdr:colOff>
      <xdr:row>798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F29671E7-D38F-4257-8694-668C340436B8}"/>
            </a:ext>
          </a:extLst>
        </xdr:cNvPr>
        <xdr:cNvSpPr/>
      </xdr:nvSpPr>
      <xdr:spPr>
        <a:xfrm>
          <a:off x="11803380" y="13021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799</xdr:row>
      <xdr:rowOff>0</xdr:rowOff>
    </xdr:from>
    <xdr:to>
      <xdr:col>28</xdr:col>
      <xdr:colOff>83820</xdr:colOff>
      <xdr:row>799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A56E317E-1E5F-4280-9064-A3BB0AB2D372}"/>
            </a:ext>
          </a:extLst>
        </xdr:cNvPr>
        <xdr:cNvSpPr/>
      </xdr:nvSpPr>
      <xdr:spPr>
        <a:xfrm>
          <a:off x="11803380" y="13040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800</xdr:row>
      <xdr:rowOff>0</xdr:rowOff>
    </xdr:from>
    <xdr:to>
      <xdr:col>28</xdr:col>
      <xdr:colOff>83820</xdr:colOff>
      <xdr:row>800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2CB7265A-89D4-49C2-A1A3-13159FD5E649}"/>
            </a:ext>
          </a:extLst>
        </xdr:cNvPr>
        <xdr:cNvSpPr/>
      </xdr:nvSpPr>
      <xdr:spPr>
        <a:xfrm>
          <a:off x="11803380" y="1305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801</xdr:row>
      <xdr:rowOff>0</xdr:rowOff>
    </xdr:from>
    <xdr:to>
      <xdr:col>28</xdr:col>
      <xdr:colOff>83820</xdr:colOff>
      <xdr:row>801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A471BC67-E2CC-43FE-B987-2C08C1C5B909}"/>
            </a:ext>
          </a:extLst>
        </xdr:cNvPr>
        <xdr:cNvSpPr/>
      </xdr:nvSpPr>
      <xdr:spPr>
        <a:xfrm>
          <a:off x="11803380" y="13076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802</xdr:row>
      <xdr:rowOff>0</xdr:rowOff>
    </xdr:from>
    <xdr:to>
      <xdr:col>28</xdr:col>
      <xdr:colOff>83820</xdr:colOff>
      <xdr:row>802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75BB87DF-4CB8-4384-BF68-3BDB962A225E}"/>
            </a:ext>
          </a:extLst>
        </xdr:cNvPr>
        <xdr:cNvSpPr/>
      </xdr:nvSpPr>
      <xdr:spPr>
        <a:xfrm>
          <a:off x="11803380" y="13094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805</xdr:row>
      <xdr:rowOff>0</xdr:rowOff>
    </xdr:from>
    <xdr:to>
      <xdr:col>28</xdr:col>
      <xdr:colOff>83820</xdr:colOff>
      <xdr:row>805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86A884E6-92EE-46FF-AA26-2662CD8045E3}"/>
            </a:ext>
          </a:extLst>
        </xdr:cNvPr>
        <xdr:cNvSpPr/>
      </xdr:nvSpPr>
      <xdr:spPr>
        <a:xfrm>
          <a:off x="11803380" y="13149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806</xdr:row>
      <xdr:rowOff>0</xdr:rowOff>
    </xdr:from>
    <xdr:to>
      <xdr:col>28</xdr:col>
      <xdr:colOff>83820</xdr:colOff>
      <xdr:row>806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1834078F-AEC2-4C89-8F0F-DE13BB602A2F}"/>
            </a:ext>
          </a:extLst>
        </xdr:cNvPr>
        <xdr:cNvSpPr/>
      </xdr:nvSpPr>
      <xdr:spPr>
        <a:xfrm>
          <a:off x="11803380" y="1316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795</xdr:row>
      <xdr:rowOff>0</xdr:rowOff>
    </xdr:from>
    <xdr:to>
      <xdr:col>28</xdr:col>
      <xdr:colOff>83820</xdr:colOff>
      <xdr:row>795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E8078011-6047-4AEC-952E-0A3583408527}"/>
            </a:ext>
          </a:extLst>
        </xdr:cNvPr>
        <xdr:cNvSpPr/>
      </xdr:nvSpPr>
      <xdr:spPr>
        <a:xfrm rot="10800000">
          <a:off x="11803380" y="12985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803</xdr:row>
      <xdr:rowOff>0</xdr:rowOff>
    </xdr:from>
    <xdr:to>
      <xdr:col>28</xdr:col>
      <xdr:colOff>83820</xdr:colOff>
      <xdr:row>803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0A7D65D7-BCFA-4E16-AAE7-00E675EF285A}"/>
            </a:ext>
          </a:extLst>
        </xdr:cNvPr>
        <xdr:cNvSpPr/>
      </xdr:nvSpPr>
      <xdr:spPr>
        <a:xfrm rot="10800000">
          <a:off x="11803380" y="131315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796</xdr:row>
      <xdr:rowOff>0</xdr:rowOff>
    </xdr:from>
    <xdr:to>
      <xdr:col>28</xdr:col>
      <xdr:colOff>83820</xdr:colOff>
      <xdr:row>796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47183801-5DF5-4EEF-AB5C-3D91FD80BB3C}"/>
            </a:ext>
          </a:extLst>
        </xdr:cNvPr>
        <xdr:cNvSpPr/>
      </xdr:nvSpPr>
      <xdr:spPr>
        <a:xfrm rot="10800000">
          <a:off x="11803380" y="130035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804</xdr:row>
      <xdr:rowOff>0</xdr:rowOff>
    </xdr:from>
    <xdr:to>
      <xdr:col>28</xdr:col>
      <xdr:colOff>83820</xdr:colOff>
      <xdr:row>804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2EC4F305-8CF5-4E09-9B4E-5DB11B1F11DC}"/>
            </a:ext>
          </a:extLst>
        </xdr:cNvPr>
        <xdr:cNvSpPr/>
      </xdr:nvSpPr>
      <xdr:spPr>
        <a:xfrm rot="10800000">
          <a:off x="11803380" y="13149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797</xdr:row>
      <xdr:rowOff>0</xdr:rowOff>
    </xdr:from>
    <xdr:to>
      <xdr:col>28</xdr:col>
      <xdr:colOff>83820</xdr:colOff>
      <xdr:row>797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E1402653-4CA5-43F5-BF47-8CA6CE8CE1B3}"/>
            </a:ext>
          </a:extLst>
        </xdr:cNvPr>
        <xdr:cNvSpPr/>
      </xdr:nvSpPr>
      <xdr:spPr>
        <a:xfrm rot="10800000">
          <a:off x="11803380" y="13021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807</xdr:row>
      <xdr:rowOff>0</xdr:rowOff>
    </xdr:from>
    <xdr:to>
      <xdr:col>28</xdr:col>
      <xdr:colOff>83820</xdr:colOff>
      <xdr:row>807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625DA04B-04C0-4E98-A366-613AE8C3E580}"/>
            </a:ext>
          </a:extLst>
        </xdr:cNvPr>
        <xdr:cNvSpPr/>
      </xdr:nvSpPr>
      <xdr:spPr>
        <a:xfrm>
          <a:off x="11953875" y="1340548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812</xdr:row>
      <xdr:rowOff>0</xdr:rowOff>
    </xdr:from>
    <xdr:to>
      <xdr:col>28</xdr:col>
      <xdr:colOff>83820</xdr:colOff>
      <xdr:row>812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CBB8DBFF-6F78-441D-B6F0-41E2B545DE91}"/>
            </a:ext>
          </a:extLst>
        </xdr:cNvPr>
        <xdr:cNvSpPr/>
      </xdr:nvSpPr>
      <xdr:spPr>
        <a:xfrm>
          <a:off x="11953875" y="134983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813</xdr:row>
      <xdr:rowOff>0</xdr:rowOff>
    </xdr:from>
    <xdr:to>
      <xdr:col>28</xdr:col>
      <xdr:colOff>83820</xdr:colOff>
      <xdr:row>813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567A6B08-B708-4D56-A624-CDFE6759D89F}"/>
            </a:ext>
          </a:extLst>
        </xdr:cNvPr>
        <xdr:cNvSpPr/>
      </xdr:nvSpPr>
      <xdr:spPr>
        <a:xfrm>
          <a:off x="11953875" y="135169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808</xdr:row>
      <xdr:rowOff>0</xdr:rowOff>
    </xdr:from>
    <xdr:to>
      <xdr:col>28</xdr:col>
      <xdr:colOff>82233</xdr:colOff>
      <xdr:row>808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6AB4004B-BFAA-407D-89D8-C12476865602}"/>
            </a:ext>
          </a:extLst>
        </xdr:cNvPr>
        <xdr:cNvSpPr/>
      </xdr:nvSpPr>
      <xdr:spPr>
        <a:xfrm rot="10800000">
          <a:off x="11953875" y="134426325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811</xdr:row>
      <xdr:rowOff>0</xdr:rowOff>
    </xdr:from>
    <xdr:to>
      <xdr:col>28</xdr:col>
      <xdr:colOff>82233</xdr:colOff>
      <xdr:row>811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7FD9EE58-54DC-4E6F-B84C-80D14D2BAA39}"/>
            </a:ext>
          </a:extLst>
        </xdr:cNvPr>
        <xdr:cNvSpPr/>
      </xdr:nvSpPr>
      <xdr:spPr>
        <a:xfrm rot="10800000">
          <a:off x="11953875" y="134983538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809</xdr:row>
      <xdr:rowOff>0</xdr:rowOff>
    </xdr:from>
    <xdr:to>
      <xdr:col>28</xdr:col>
      <xdr:colOff>82233</xdr:colOff>
      <xdr:row>809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10C03CA5-F1BE-44B3-BAE7-472AEA83EAB4}"/>
            </a:ext>
          </a:extLst>
        </xdr:cNvPr>
        <xdr:cNvSpPr/>
      </xdr:nvSpPr>
      <xdr:spPr>
        <a:xfrm rot="10800000">
          <a:off x="11953875" y="134612063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810</xdr:row>
      <xdr:rowOff>0</xdr:rowOff>
    </xdr:from>
    <xdr:to>
      <xdr:col>28</xdr:col>
      <xdr:colOff>82233</xdr:colOff>
      <xdr:row>810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A0BFBB73-A72D-48D8-9CDB-0F870D8BC31F}"/>
            </a:ext>
          </a:extLst>
        </xdr:cNvPr>
        <xdr:cNvSpPr/>
      </xdr:nvSpPr>
      <xdr:spPr>
        <a:xfrm rot="10800000">
          <a:off x="11953875" y="134797800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1009"/>
  <sheetViews>
    <sheetView tabSelected="1" topLeftCell="A828" zoomScaleNormal="100" workbookViewId="0">
      <selection activeCell="N852" sqref="N852"/>
    </sheetView>
  </sheetViews>
  <sheetFormatPr defaultRowHeight="14.75" outlineLevelCol="1" x14ac:dyDescent="0.75"/>
  <cols>
    <col min="1" max="1" width="3.31640625" customWidth="1"/>
    <col min="2" max="2" width="10.08984375" customWidth="1"/>
    <col min="3" max="3" width="1.76953125" customWidth="1"/>
    <col min="4" max="4" width="11.86328125" customWidth="1"/>
    <col min="5" max="5" width="1" customWidth="1"/>
    <col min="6" max="6" width="2" customWidth="1"/>
    <col min="7" max="7" width="0.76953125" customWidth="1"/>
    <col min="8" max="8" width="11.54296875" customWidth="1"/>
    <col min="9" max="9" width="2.2265625" customWidth="1"/>
    <col min="10" max="10" width="8" customWidth="1"/>
    <col min="11" max="11" width="1.2265625" customWidth="1"/>
    <col min="12" max="12" width="2.54296875" customWidth="1"/>
    <col min="13" max="13" width="2.2265625" customWidth="1"/>
    <col min="14" max="14" width="12.2265625" customWidth="1"/>
    <col min="15" max="15" width="9.453125" customWidth="1"/>
    <col min="16" max="16" width="1.2265625" customWidth="1"/>
    <col min="17" max="17" width="10" customWidth="1" outlineLevel="1"/>
    <col min="18" max="18" width="1.2265625" customWidth="1" outlineLevel="1"/>
    <col min="19" max="19" width="10.54296875" customWidth="1" outlineLevel="1"/>
    <col min="20" max="21" width="1.2265625" customWidth="1" outlineLevel="1"/>
    <col min="22" max="22" width="5.08984375" customWidth="1"/>
    <col min="23" max="23" width="8.86328125" customWidth="1"/>
    <col min="24" max="24" width="1.76953125" customWidth="1"/>
    <col min="25" max="25" width="2.54296875" customWidth="1"/>
    <col min="26" max="26" width="1.453125" customWidth="1"/>
    <col min="27" max="27" width="9.54296875" customWidth="1"/>
    <col min="28" max="28" width="2.31640625" customWidth="1"/>
    <col min="29" max="29" width="5.6796875" customWidth="1"/>
    <col min="30" max="30" width="1" customWidth="1"/>
    <col min="31" max="31" width="8.08984375" customWidth="1"/>
    <col min="32" max="32" width="1.6796875" customWidth="1"/>
    <col min="33" max="33" width="12.54296875" hidden="1" customWidth="1" outlineLevel="1"/>
    <col min="34" max="34" width="11" hidden="1" customWidth="1" outlineLevel="1"/>
    <col min="35" max="35" width="8.08984375" hidden="1" customWidth="1" outlineLevel="1"/>
    <col min="36" max="36" width="2.2265625" hidden="1" customWidth="1" outlineLevel="1"/>
    <col min="37" max="37" width="3.54296875" customWidth="1" collapsed="1"/>
    <col min="38" max="38" width="9.86328125" customWidth="1"/>
    <col min="39" max="39" width="1" customWidth="1"/>
    <col min="40" max="40" width="1.453125" customWidth="1"/>
    <col min="41" max="41" width="1.2265625" customWidth="1"/>
    <col min="42" max="42" width="11.31640625" customWidth="1"/>
    <col min="43" max="43" width="1.31640625" customWidth="1"/>
    <col min="44" max="44" width="10.2265625" customWidth="1"/>
    <col min="45" max="45" width="1.54296875" customWidth="1"/>
    <col min="46" max="46" width="2.2265625" customWidth="1"/>
    <col min="47" max="47" width="1.31640625" customWidth="1"/>
    <col min="48" max="48" width="7.453125" customWidth="1"/>
    <col min="49" max="49" width="2" customWidth="1"/>
    <col min="50" max="50" width="9.2265625" customWidth="1"/>
    <col min="51" max="51" width="0.86328125" customWidth="1"/>
    <col min="52" max="52" width="4" customWidth="1"/>
    <col min="53" max="53" width="13.86328125" customWidth="1"/>
    <col min="54" max="54" width="1.08984375" customWidth="1"/>
    <col min="55" max="55" width="13.6796875" customWidth="1"/>
    <col min="56" max="56" width="1.31640625" customWidth="1"/>
    <col min="57" max="57" width="12.2265625" customWidth="1"/>
    <col min="58" max="58" width="1.08984375" customWidth="1"/>
    <col min="59" max="59" width="12.2265625" customWidth="1"/>
    <col min="60" max="60" width="1.08984375" customWidth="1"/>
    <col min="61" max="61" width="3.86328125" customWidth="1"/>
    <col min="62" max="62" width="1.453125" hidden="1" customWidth="1" outlineLevel="1"/>
    <col min="63" max="63" width="15.08984375" hidden="1" customWidth="1" outlineLevel="1"/>
    <col min="64" max="64" width="0.86328125" hidden="1" customWidth="1" outlineLevel="1"/>
    <col min="65" max="65" width="6.86328125" hidden="1" customWidth="1" outlineLevel="1"/>
    <col min="66" max="66" width="10.08984375" customWidth="1" collapsed="1"/>
    <col min="67" max="67" width="0.86328125" customWidth="1"/>
    <col min="68" max="68" width="13.31640625" customWidth="1"/>
    <col min="69" max="69" width="1" customWidth="1"/>
    <col min="70" max="70" width="11.6796875" customWidth="1"/>
    <col min="71" max="71" width="1.08984375" customWidth="1"/>
    <col min="72" max="72" width="3.453125" customWidth="1"/>
    <col min="73" max="73" width="0.76953125" customWidth="1"/>
    <col min="74" max="74" width="1.86328125" customWidth="1"/>
    <col min="75" max="75" width="6.6796875" customWidth="1"/>
    <col min="76" max="76" width="1.76953125" customWidth="1"/>
    <col min="77" max="77" width="14.08984375" customWidth="1"/>
    <col min="78" max="78" width="2.08984375" customWidth="1"/>
    <col min="79" max="79" width="11.453125" customWidth="1"/>
    <col min="80" max="80" width="1.31640625" customWidth="1"/>
    <col min="81" max="81" width="11.453125" customWidth="1"/>
    <col min="82" max="82" width="1.08984375" customWidth="1"/>
    <col min="83" max="83" width="3.2265625" customWidth="1"/>
    <col min="84" max="84" width="1.453125" customWidth="1"/>
    <col min="85" max="85" width="7.76953125" customWidth="1"/>
    <col min="86" max="86" width="1" customWidth="1"/>
    <col min="87" max="87" width="7.2265625" customWidth="1"/>
    <col min="88" max="88" width="1.453125" customWidth="1"/>
    <col min="89" max="89" width="4.76953125" customWidth="1"/>
    <col min="90" max="90" width="12.2265625" customWidth="1"/>
  </cols>
  <sheetData>
    <row r="1" spans="2:90" ht="16" x14ac:dyDescent="0.8">
      <c r="B1" s="612" t="s">
        <v>5</v>
      </c>
      <c r="C1" s="612"/>
      <c r="D1" s="612"/>
    </row>
    <row r="2" spans="2:90" ht="16" x14ac:dyDescent="0.8">
      <c r="B2" s="612" t="s">
        <v>6</v>
      </c>
      <c r="C2" s="612"/>
      <c r="D2" s="612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75" thickBot="1" x14ac:dyDescent="0.95">
      <c r="B3" s="615" t="s">
        <v>13</v>
      </c>
      <c r="C3" s="615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75" thickBot="1" x14ac:dyDescent="0.95">
      <c r="E4" s="9"/>
      <c r="F4" s="9"/>
      <c r="J4" s="613" t="s">
        <v>11</v>
      </c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11"/>
      <c r="AE4" s="282"/>
      <c r="AF4" s="404"/>
      <c r="AG4" s="404"/>
      <c r="AH4" s="404"/>
      <c r="AI4" s="404"/>
      <c r="AJ4" s="12"/>
      <c r="AL4" s="592" t="s">
        <v>14</v>
      </c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  <c r="AX4" s="593"/>
      <c r="AY4" s="593"/>
      <c r="AZ4" s="593"/>
      <c r="BA4" s="593"/>
      <c r="BB4" s="593"/>
      <c r="BC4" s="593"/>
      <c r="BD4" s="593"/>
      <c r="BE4" s="593"/>
      <c r="BF4" s="593"/>
      <c r="BG4" s="593"/>
      <c r="BH4" s="593"/>
      <c r="BI4" s="593"/>
      <c r="BJ4" s="593"/>
      <c r="BK4" s="593"/>
      <c r="BL4" s="593"/>
      <c r="BM4" s="593"/>
      <c r="BN4" s="593"/>
      <c r="BO4" s="593"/>
      <c r="BP4" s="593"/>
      <c r="BQ4" s="593"/>
      <c r="BR4" s="593"/>
      <c r="BS4" s="593"/>
      <c r="BT4" s="593"/>
      <c r="BU4" s="594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75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75">
      <c r="D6" s="290" t="s">
        <v>7</v>
      </c>
      <c r="E6" s="291"/>
      <c r="F6" s="616" t="s">
        <v>12</v>
      </c>
      <c r="G6" s="616"/>
      <c r="H6" s="616"/>
      <c r="I6" s="616"/>
      <c r="J6" s="616"/>
      <c r="K6" s="616"/>
      <c r="L6" s="616"/>
      <c r="M6" s="292"/>
      <c r="N6" s="499"/>
      <c r="O6" s="292"/>
      <c r="P6" s="293"/>
      <c r="Q6" s="622" t="s">
        <v>111</v>
      </c>
      <c r="R6" s="616"/>
      <c r="S6" s="616"/>
      <c r="T6" s="616"/>
      <c r="U6" s="623"/>
      <c r="V6" s="3"/>
      <c r="W6" s="8" t="s">
        <v>7</v>
      </c>
      <c r="X6" s="30"/>
      <c r="Y6" s="617">
        <v>1.2500000000000001E-2</v>
      </c>
      <c r="Z6" s="617"/>
      <c r="AA6" s="617"/>
      <c r="AB6" s="617"/>
      <c r="AC6" s="617"/>
      <c r="AD6" s="617"/>
      <c r="AE6" s="617"/>
      <c r="AF6" s="617"/>
      <c r="AG6" s="617"/>
      <c r="AH6" s="617"/>
      <c r="AI6" s="617"/>
      <c r="AJ6" s="618"/>
      <c r="AK6" s="3"/>
      <c r="AL6" s="601" t="s">
        <v>25</v>
      </c>
      <c r="AM6" s="602"/>
      <c r="AN6" s="602"/>
      <c r="AO6" s="602"/>
      <c r="AP6" s="602"/>
      <c r="AQ6" s="602"/>
      <c r="AR6" s="602"/>
      <c r="AS6" s="602"/>
      <c r="AT6" s="602"/>
      <c r="AU6" s="602"/>
      <c r="AV6" s="602"/>
      <c r="AW6" s="602"/>
      <c r="AX6" s="602"/>
      <c r="AY6" s="603"/>
      <c r="AZ6" s="3"/>
      <c r="BA6" s="604" t="s">
        <v>7</v>
      </c>
      <c r="BB6" s="596"/>
      <c r="BC6" s="596"/>
      <c r="BD6" s="85"/>
      <c r="BE6" s="595" t="s">
        <v>24</v>
      </c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6"/>
      <c r="BS6" s="596"/>
      <c r="BT6" s="596"/>
      <c r="BU6" s="597"/>
      <c r="BV6" s="3"/>
    </row>
    <row r="7" spans="2:90" ht="16.75" x14ac:dyDescent="0.75">
      <c r="D7" s="598" t="s">
        <v>20</v>
      </c>
      <c r="E7" s="599"/>
      <c r="F7" s="599"/>
      <c r="G7" s="599"/>
      <c r="H7" s="599"/>
      <c r="I7" s="599"/>
      <c r="J7" s="599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9" t="s">
        <v>33</v>
      </c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1"/>
      <c r="AK7" s="3"/>
      <c r="AL7" s="598" t="s">
        <v>68</v>
      </c>
      <c r="AM7" s="599"/>
      <c r="AN7" s="599"/>
      <c r="AO7" s="599"/>
      <c r="AP7" s="599"/>
      <c r="AQ7" s="599"/>
      <c r="AR7" s="599"/>
      <c r="AS7" s="599"/>
      <c r="AT7" s="599"/>
      <c r="AU7" s="599"/>
      <c r="AV7" s="599"/>
      <c r="AW7" s="599"/>
      <c r="AX7" s="599"/>
      <c r="AY7" s="600"/>
      <c r="BA7" s="598" t="s">
        <v>23</v>
      </c>
      <c r="BB7" s="599"/>
      <c r="BC7" s="599"/>
      <c r="BD7" s="599"/>
      <c r="BE7" s="599"/>
      <c r="BF7" s="599"/>
      <c r="BG7" s="599"/>
      <c r="BH7" s="599"/>
      <c r="BI7" s="599"/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599"/>
      <c r="BU7" s="600"/>
      <c r="BW7" s="161" t="s">
        <v>18</v>
      </c>
    </row>
    <row r="8" spans="2:90" x14ac:dyDescent="0.75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90" t="s">
        <v>1</v>
      </c>
      <c r="BB8" s="591"/>
      <c r="BC8" s="591"/>
      <c r="BD8" s="63"/>
      <c r="BE8" s="591" t="s">
        <v>22</v>
      </c>
      <c r="BF8" s="591"/>
      <c r="BG8" s="591"/>
      <c r="BH8" s="591"/>
      <c r="BI8" s="605"/>
      <c r="BJ8" s="606" t="s">
        <v>111</v>
      </c>
      <c r="BK8" s="607"/>
      <c r="BL8" s="607"/>
      <c r="BM8" s="608"/>
      <c r="BN8" s="590" t="s">
        <v>22</v>
      </c>
      <c r="BO8" s="591"/>
      <c r="BP8" s="591"/>
      <c r="BQ8" s="63"/>
      <c r="BR8" s="93"/>
      <c r="BS8" s="421"/>
      <c r="BT8" s="94"/>
      <c r="BU8" s="168"/>
    </row>
    <row r="9" spans="2:90" x14ac:dyDescent="0.75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75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75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75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75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75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75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75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75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75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75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75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75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75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75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75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75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75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75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75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75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75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75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75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75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75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75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75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75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75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75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75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75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75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75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75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75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75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75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75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75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75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75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75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75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75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75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75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75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75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75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75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75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75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75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75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75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75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75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75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75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75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75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75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75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75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75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75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75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75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75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75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75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75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75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75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75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75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75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75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75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75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75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75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75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75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75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75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75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75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75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75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75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75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75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75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75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75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75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75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75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75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75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75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75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75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75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75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75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75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75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75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75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75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75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75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75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75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75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75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75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75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75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SUM(D102:D863)</f>
        <v>74741093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75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75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75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75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75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75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75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SUM(D109:D870)</f>
        <v>74515180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75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75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75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75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75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75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75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SUM(D116:D877)</f>
        <v>74171220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75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75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75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75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75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75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75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SUM(D123:D887)</f>
        <v>73776350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75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SUM(D124:D888)</f>
        <v>73714631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75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SUM(D125:D889)</f>
        <v>73656282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75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SUM(D126:D890)</f>
        <v>73590794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75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SUM(D127:D891)</f>
        <v>73524746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75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SUM(D128:D892)</f>
        <v>73452751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75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SUM(D129:D893)</f>
        <v>150379363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75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SUM(D130:D894)</f>
        <v>150304376.23262841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75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SUM(D131:D895)</f>
        <v>150241117.23262841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75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SUM(D132:D896)</f>
        <v>481175838.23262841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75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SUM(D133:D897)</f>
        <v>525466959.23262841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75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SUM(D134:D898)</f>
        <v>525399480.30462843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75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SUM(D135:D899)</f>
        <v>525327513.30462843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75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SUM(D136:D900)</f>
        <v>525258070.34662843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75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SUM(D137:D901)</f>
        <v>526181036.34662843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75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SUM(D138:D902)</f>
        <v>526113623.34662843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75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SUM(D139:D903)</f>
        <v>526057493.34662843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75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SUM(D140:D904)</f>
        <v>525995922.34662843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75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SUM(D141:D905)</f>
        <v>525931193.34662843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75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SUM(D142:D906)</f>
        <v>525864272.34662843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75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SUM(D143:D907)</f>
        <v>525795703.34662843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75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SUM(D144:D908)</f>
        <v>525724620.34662843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75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SUM(D145:D909)</f>
        <v>525666079.34662843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75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SUM(D146:D910)</f>
        <v>525617041.34662843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75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SUM(D147:D911)</f>
        <v>525568395.34662843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75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SUM(D148:D912)</f>
        <v>525513831.34662843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75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SUM(D149:D913)</f>
        <v>525458683.34662843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75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SUM(D150:D914)</f>
        <v>525399973.34662843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75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SUM(D151:D915)</f>
        <v>525336727.34662843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75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SUM(D152:D916)</f>
        <v>525282528.34662843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75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SUM(D153:D917)</f>
        <v>525234679.34662843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75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SUM(D154:D918)</f>
        <v>525184879.34662843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75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SUM(D155:D919)</f>
        <v>525130360.34662843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75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SUM(D156:D920)</f>
        <v>525076015.34662843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75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SUM(D157:D921)</f>
        <v>525020651.34662843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75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SUM(D158:D922)</f>
        <v>524960051.34662843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75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SUM(D159:D923)</f>
        <v>524906528.34662843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75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SUM(D160:D924)</f>
        <v>524869685.34662843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75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SUM(D161:D925)</f>
        <v>524829073.34662843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75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SUM(D162:D926)</f>
        <v>524785074.34662843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75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SUM(D163:D927)</f>
        <v>524740101.34662843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75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SUM(D164:D928)</f>
        <v>524694744.34662843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75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SUM(D165:D929)</f>
        <v>524644263.34662843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75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SUM(D166:D930)</f>
        <v>524600434.34662843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75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SUM(D167:D931)</f>
        <v>524567716.34662843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75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SUM(D168:D932)</f>
        <v>524526232.34662843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75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SUM(D169:D933)</f>
        <v>524486134.34662843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75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SUM(D170:D934)</f>
        <v>524441497.34662843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75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SUM(D171:D935)</f>
        <v>524395491.34662843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75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SUM(D172:D936)</f>
        <v>524345890.34662843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75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SUM(D173:D937)</f>
        <v>524303230.34662843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75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SUM(D174:D938)</f>
        <v>524269249.34662843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75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SUM(D175:D939)</f>
        <v>524230689.34662843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75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SUM(D176:D940)</f>
        <v>524188710.34662843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75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SUM(D177:D941)</f>
        <v>524147499.34662843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75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SUM(D178:D942)</f>
        <v>524102035.34662843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75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SUM(D179:D943)</f>
        <v>524049186.34662843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75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SUM(D180:D944)</f>
        <v>524007094.34662843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75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SUM(D181:D945)</f>
        <v>523975984.34662843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75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SUM(D182:D949)</f>
        <v>523950564.34662843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75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SUM(D183:D950)</f>
        <v>523922125.34662843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75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SUM(D184:D951)</f>
        <v>523886882.34662843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75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SUM(D185:D952)</f>
        <v>557562357.06091416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75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SUM(D186:D953)</f>
        <v>608372899.91805696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75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SUM(D187:D954)</f>
        <v>676905046.4894855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75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SUM(D188:D956)</f>
        <v>676873189.4894855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75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SUM(D189:D957)</f>
        <v>854420393.06091404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75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SUM(D190:D961)</f>
        <v>854383946.06091404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75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SUM(D191:D962)</f>
        <v>854343792.06091404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75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SUM(D192:D963)</f>
        <v>854297497.06091404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75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SUM(D193:D964)</f>
        <v>854246152.06091404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75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SUM(D194:D965)</f>
        <v>854202539.06091404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75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SUM(D195:D966)</f>
        <v>854169153.06091404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75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SUM(D196:D972)</f>
        <v>854132349.06091404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75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SUM(D197:D973)</f>
        <v>854096653.06091404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75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SUM(D198:D974)</f>
        <v>854055037.06091404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75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SUM(D199:D975)</f>
        <v>854009682.06091404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75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SUM(D200:D977)</f>
        <v>853956053.06091404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75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SUM(D201:D979)</f>
        <v>853912847.06091404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75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SUM(D202:D980)</f>
        <v>853879065.06091404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75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SUM(D203:D981)</f>
        <v>853841647.06091404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75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SUM(D204:D982)</f>
        <v>853797420.06091404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75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SUM(D205:D983)</f>
        <v>853756491.06091404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75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SUM(D206:D984)</f>
        <v>853709102.06091404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75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SUM(D207:D985)</f>
        <v>853657699.06091404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75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SUM(D208:D986)</f>
        <v>853608774.06091404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75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SUM(D209:D987)</f>
        <v>853574708.06091404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75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SUM(D210:D988)</f>
        <v>853536991.06091404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75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SUM(D211:D989)</f>
        <v>853492323.06091404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75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SUM(D212:D990)</f>
        <v>853442965.06091404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75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SUM(D213:D991)</f>
        <v>853385647.06091404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75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SUM(D214:D992)</f>
        <v>853324664.06091404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75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SUM(D215:D993)</f>
        <v>853270429.06091404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75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SUM(D216:D994)</f>
        <v>853228494.06091404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75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SUM(D217:D995)</f>
        <v>853182703.06091404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75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SUM(D218:D996)</f>
        <v>853131169.06091404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75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SUM(D219:D997)</f>
        <v>853071476.06091404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75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SUM(D220:D998)</f>
        <v>853005347.06091404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75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SUM(D221:D999)</f>
        <v>852933660.06091404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75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SUM(D222:D1000)</f>
        <v>852879428.06091404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75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SUM(D223:D1001)</f>
        <v>852834487.06091404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75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SUM(D224:D1002)</f>
        <v>852777160.06091404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75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SUM(D225:D1003)</f>
        <v>852715088.06091404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75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SUM(D226:D1004)</f>
        <v>852651425.06091404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75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SUM(D227:D1005)</f>
        <v>852577124.06091404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75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SUM(D228:D1006)</f>
        <v>852495710.06091404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75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SUM(D229:D1007)</f>
        <v>852416261.06091404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75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SUM(D230:D1008)</f>
        <v>852355372.06091404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75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SUM(D231:D1009)</f>
        <v>852285531.06091404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75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SUM(D232:D1010)</f>
        <v>852210459.06091404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75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SUM(D233:D1011)</f>
        <v>852128878.06091404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75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SUM(D234:D1012)</f>
        <v>852037348.06091404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75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SUM(D235:D1013)</f>
        <v>851935887.06091404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75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SUM(D236:D1014)</f>
        <v>851849594.06091404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75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SUM(D237:D1015)</f>
        <v>851778273.06091404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75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SUM(D238:D1016)</f>
        <v>851689368.06091404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75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SUM(D239:D1017)</f>
        <v>851594901.06091404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75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SUM(D240:D1018)</f>
        <v>851486512.06091404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75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SUM(D241:D1019)</f>
        <v>851368193.06091404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75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SUM(D242:D1020)</f>
        <v>851235652.06091404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75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SUM(D243:D1021)</f>
        <v>851111262.06091404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75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SUM(D244:D1022)</f>
        <v>851008536.06091404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75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SUM(D245:D1023)</f>
        <v>850882847.06091404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75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SUM(D246:D1024)</f>
        <v>850747194.06091404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75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SUM(D247:D1025)</f>
        <v>850604288.06091404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75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SUM(D248:D1026)</f>
        <v>850442747.06091404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75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SUM(D249:D1027)</f>
        <v>850259220.06091404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75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SUM(D250:D1028)</f>
        <v>850101967.06091404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75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SUM(D251:D1029)</f>
        <v>849963718.06091404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75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SUM(D252:D1030)</f>
        <v>849801569.06091404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75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SUM(D253:D1031)</f>
        <v>849644308.06091404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75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SUM(D254:D1032)</f>
        <v>849470540.06091404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75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SUM(D255:D1033)</f>
        <v>849278354.06091404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75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SUM(D256:D1034)</f>
        <v>849074175.06091404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75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SUM(D257:D1035)</f>
        <v>848901336.06091404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75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SUM(D258:D1036)</f>
        <v>848764709.06091404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75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SUM(D259:D1037)</f>
        <v>848592409.06091404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75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SUM(D260:D1038)</f>
        <v>848415327.06091404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75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SUM(D261:D1039)</f>
        <v>848234424.06091404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75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SUM(D262:D1040)</f>
        <v>848126361.06091404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75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SUM(D263:D1041)</f>
        <v>847962349.06091404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75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SUM(D264:D1042)</f>
        <v>847818976.06091404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75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SUM(D265:D1043)</f>
        <v>847680788.06091404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75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SUM(D266:D1044)</f>
        <v>847519220.06091404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75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SUM(D267:D1045)</f>
        <v>847336944.06091404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75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SUM(D268:D1046)</f>
        <v>847133207.06091404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75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SUM(D269:D1047)</f>
        <v>846914631.06091404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75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SUM(D270:D1048)</f>
        <v>846679359.06091404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75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SUM(D271:D1049)</f>
        <v>846466876.06091404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75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SUM(D272:D1050)</f>
        <v>846284097.06091404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75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SUM(D273:D1051)</f>
        <v>846084012.06091404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75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SUM(D274:D1052)</f>
        <v>845874256.06091404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75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SUM(D275:D1053)</f>
        <v>845647303.06091404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75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SUM(D276:D1054)</f>
        <v>845419989.06091404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75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SUM(D277:D1055)</f>
        <v>845173228.06091404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75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SUM(D278:D1056)</f>
        <v>844952930.06091404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75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SUM(D279:D1057)</f>
        <v>844765029.06091404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75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SUM(D280:D1058)</f>
        <v>844565297.06091404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75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SUM(D281:D1059)</f>
        <v>844365262.06091404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75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SUM(D282:D1060)</f>
        <v>844115089.06091404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75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SUM(D283:D1061)</f>
        <v>843877217.06091404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75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SUM(D284:D1062)</f>
        <v>843622537.06091404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75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SUM(D285:D1063)</f>
        <v>843432887.06091404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75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SUM(D286:D1064)</f>
        <v>843244607.06091404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75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SUM(D287:D1065)</f>
        <v>843044498.06091404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75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SUM(D288:D1066)</f>
        <v>842845418.06091404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75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SUM(D289:D1067)</f>
        <v>842613076.06091404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75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SUM(D290:D1068)</f>
        <v>842420046.06091404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75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SUM(D291:D1069)</f>
        <v>842321206.06091404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75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SUM(D292:D1070)</f>
        <v>842160602.06091404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75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SUM(D293:D1071)</f>
        <v>842032862.06091404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75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SUM(D294:D1072)</f>
        <v>841846471.06091404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75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SUM(D295:D1073)</f>
        <v>841646849.06091404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75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SUM(D296:D1074)</f>
        <v>841412074.06091404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75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SUM(D297:D1075)</f>
        <v>841183661.06091404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75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SUM(D298:D1076)</f>
        <v>841017617.06091404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75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SUM(D299:D1077)</f>
        <v>840785390.06091404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75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SUM(D300:D1078)</f>
        <v>840591053.06091404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75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SUM(D301:D1079)</f>
        <v>840400891.06091404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75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SUM(D302:D1080)</f>
        <v>840166180.06091404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75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SUM(D303:D1081)</f>
        <v>839905207.06091404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75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SUM(D304:D1082)</f>
        <v>839631017.06091404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75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SUM(D305:D1083)</f>
        <v>839324568.06091404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75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SUM(D306:D1084)</f>
        <v>839074874.06091404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75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SUM(D307:D1085)</f>
        <v>838854047.06091404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75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SUM(D308:D1086)</f>
        <v>838639364.06091404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75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SUM(D309:D1087)</f>
        <v>838415736.06091404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75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SUM(D310:D1088)</f>
        <v>838177663.06091404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75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SUM(D311:D1089)</f>
        <v>837943244.06091404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75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SUM(D312:D1090)</f>
        <v>837694438.06091404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75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SUM(D313:D1091)</f>
        <v>837491671.06091404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75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SUM(D314:D1092)</f>
        <v>837317111.06091404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75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SUM(D315:D1093)</f>
        <v>837167783.06091404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75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SUM(D316:D1094)</f>
        <v>836993405.06091404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75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SUM(D317:D1095)</f>
        <v>836803324.06091404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75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SUM(D318:D1096)</f>
        <v>836609566.06091404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75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SUM(D319:D1097)</f>
        <v>836417501.06091404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75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SUM(D320:D1098)</f>
        <v>836244434.06091404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75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SUM(D321:D1099)</f>
        <v>836109252.06091404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75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SUM(D322:D1100)</f>
        <v>835957008.06091404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75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SUM(D323:D1101)</f>
        <v>835805281.06091404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75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SUM(D324:D1102)</f>
        <v>835645250.06091404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75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SUM(D325:D1103)</f>
        <v>835482617.06091404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75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SUM(D326:D1104)</f>
        <v>835313584.06091404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75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SUM(D327:D1105)</f>
        <v>835172852.06091404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75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SUM(D328:D1106)</f>
        <v>835065036.06091404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75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SUM(D329:D1107)</f>
        <v>834938584.06091404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75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SUM(D330:D1108)</f>
        <v>834822357.06091404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75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SUM(D331:D1109)</f>
        <v>834708898.06091404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75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SUM(D332:D1110)</f>
        <v>834587161.06091404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75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SUM(D333:D1111)</f>
        <v>834461036.06091404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75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SUM(D334:D1112)</f>
        <v>834355053.06091404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75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SUM(D335:D1113)</f>
        <v>834263797.06091404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75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SUM(D336:D1114)</f>
        <v>834173451.06091404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75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SUM(D337:D1115)</f>
        <v>834077909.06091404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75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SUM(D338:D1116)</f>
        <v>833981103.06091404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75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SUM(D339:D1117)</f>
        <v>833876859.06091404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75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SUM(D340:D1118)</f>
        <v>833776571.06091404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75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SUM(D341:D1119)</f>
        <v>833690087.06091404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75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SUM(D342:D1120)</f>
        <v>833625790.06091404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75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SUM(D343:D1121)</f>
        <v>833573005.06091404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75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SUM(D344:D1122)</f>
        <v>833509607.06091404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75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SUM(D345:D1123)</f>
        <v>833437967.06091404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75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SUM(D346:D1124)</f>
        <v>833369043.06091404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75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SUM(D347:D1125)</f>
        <v>833283504.06091404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75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SUM(D348:D1126)</f>
        <v>833213887.06091404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75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SUM(D349:D1127)</f>
        <v>833156662.06091404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75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SUM(D350:D1128)</f>
        <v>833085608.06091404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75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SUM(D351:D1129)</f>
        <v>833011904.06091404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75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SUM(D352:D1130)</f>
        <v>832936605.06091404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75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SUM(D353:D1131)</f>
        <v>832859228.06091404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75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SUM(D354:D1132)</f>
        <v>832778603.06091404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75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SUM(D355:D1133)</f>
        <v>832714283.06091404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75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SUM(D356:D1134)</f>
        <v>832664871.06091404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75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SUM(D357:D1135)</f>
        <v>832609690.06091404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75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SUM(D358:D1136)</f>
        <v>832552800.06091404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75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SUM(D359:D1137)</f>
        <v>832485575.06091404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75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SUM(D360:D1138)</f>
        <v>832417254.06091404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75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SUM(D361:D1139)</f>
        <v>832348014.06091404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75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SUM(D362:D1140)</f>
        <v>832289786.06091404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75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SUM(D363:D1141)</f>
        <v>832247819.06091404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75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SUM(D364:D1142)</f>
        <v>832202451.06091404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75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SUM(D365:D1143)</f>
        <v>832146768.06091404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75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SUM(D366:D1144)</f>
        <v>832085408.06091404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75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SUM(D367:D1145)</f>
        <v>832022635.06091404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75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SUM(D368:D1146)</f>
        <v>831955850.06091404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75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SUM(D369:D1147)</f>
        <v>831906132.06091404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75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SUM(D370:D1148)</f>
        <v>831869236.06091404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75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SUM(D371:D1149)</f>
        <v>831822469.06091404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75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SUM(D372:D1150)</f>
        <v>831769238.06091404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75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SUM(D373:D1151)</f>
        <v>831705743.06091404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75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SUM(D374:D1152)</f>
        <v>831643114.06091404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75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SUM(D375:D1153)</f>
        <v>831576701.06091404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75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SUM(D376:D1154)</f>
        <v>831520793.06091404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75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SUM(D377:D1155)</f>
        <v>831481288.06091404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75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SUM(D378:D1156)</f>
        <v>831435540.06091404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75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SUM(D379:D1157)</f>
        <v>831376835.06091404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75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SUM(D380:D1158)</f>
        <v>831310297.06091404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75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SUM(D381:D1159)</f>
        <v>831243251.06091404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75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SUM(D382:D1160)</f>
        <v>831166275.06091404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75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SUM(D383:D1161)</f>
        <v>831102616.06091404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75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SUM(D384:D1162)</f>
        <v>831058520.06091404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75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SUM(D385:D1163)</f>
        <v>830998322.06091404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75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SUM(D386:D1164)</f>
        <v>830935863.06091404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75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SUM(D387:D1165)</f>
        <v>830867107.06091404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75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SUM(D388:D1166)</f>
        <v>830822856.06091404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75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SUM(D389:D1167)</f>
        <v>830752832.06091404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75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SUM(D390:D1168)</f>
        <v>830686678.06091404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75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SUM(D391:D1169)</f>
        <v>830649695.06091404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75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SUM(D392:D1170)</f>
        <v>830592051.06091404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75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SUM(D393:D1171)</f>
        <v>830529768.06091404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75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SUM(D394:D1172)</f>
        <v>830454585.06091404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75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SUM(D395:D1173)</f>
        <v>830374424.06091404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75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SUM(D396:D1174)</f>
        <v>830289056.06091404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75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SUM(D397:D1175)</f>
        <v>830222276.06091404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75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SUM(D398:D1176)</f>
        <v>830174402.06091404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75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SUM(D399:D1177)</f>
        <v>830117880.06091404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75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SUM(D400:D1178)</f>
        <v>830040160.06091404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75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SUM(D401:D1179)</f>
        <v>829961721.06091404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75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SUM(D402:D1180)</f>
        <v>829887242.06091404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75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SUM(D403:D1181)</f>
        <v>829805469.06091404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75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SUM(D404:D1182)</f>
        <v>829741888.06091404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75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SUM(D405:D1183)</f>
        <v>829698707.06091404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75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SUM(D406:D1184)</f>
        <v>829647057.06091404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75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SUM(D407:D1185)</f>
        <v>829586740.06091404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75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SUM(D408:D1186)</f>
        <v>829521683.06091404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75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SUM(D409:D1187)</f>
        <v>829454613.06091404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75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SUM(D410:D1188)</f>
        <v>829388098.06091404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75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SUM(D411:D1189)</f>
        <v>829334818.06091404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75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SUM(D412:D1190)</f>
        <v>829300082.06091404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75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SUM(D413:D1191)</f>
        <v>829252626.06091404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75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SUM(D414:D1192)</f>
        <v>829200580.06091404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75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SUM(D415:D1193)</f>
        <v>829143976.06091404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75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SUM(D416:D1194)</f>
        <v>829084707.06091404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75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SUM(D417:D1195)</f>
        <v>829024801.06091404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75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SUM(D418:D1196)</f>
        <v>828982767.06091404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75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SUM(D419:D1197)</f>
        <v>828952066.06091404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75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SUM(D420:D1198)</f>
        <v>828911612.06091404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75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SUM(D421:D1199)</f>
        <v>828869258.06091404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75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SUM(D422:D1200)</f>
        <v>828823129.06091404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75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SUM(D423:D1201)</f>
        <v>828775310.06091404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75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SUM(D424:D1202)</f>
        <v>828725819.06091404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75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SUM(D425:D1203)</f>
        <v>828690064.06091404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75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SUM(D426:D1204)</f>
        <v>828667864.06091404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75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SUM(D427:D1205)</f>
        <v>828637712.06091404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75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SUM(D428:D1206)</f>
        <v>828602808.06091404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75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SUM(D429:D1207)</f>
        <v>828566992.06091404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75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SUM(D430:D1208)</f>
        <v>828527167.06091404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75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SUM(D431:D1209)</f>
        <v>828488072.06091404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75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SUM(D432:D1210)</f>
        <v>828462430.06091404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75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SUM(D433:D1211)</f>
        <v>828444596.06091404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75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SUM(D434:D1212)</f>
        <v>828419566.06091404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75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SUM(D435:D1213)</f>
        <v>828392060.06091404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75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SUM(D436:D1214)</f>
        <v>828363519.06091404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75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SUM(D437:D1215)</f>
        <v>828333305.06091404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75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SUM(D438:D1216)</f>
        <v>828304291.06091404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75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SUM(D439:D1217)</f>
        <v>828284652.06091404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75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SUM(D440:D1218)</f>
        <v>828271111.06091404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75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SUM(D441:D1219)</f>
        <v>828250745.06091404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75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SUM(D442:D1220)</f>
        <v>828228007.06091404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75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SUM(D443:D1221)</f>
        <v>828204507.06091404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75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SUM(D444:D1222)</f>
        <v>828180114.06091404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75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SUM(D445:D1223)</f>
        <v>828157301.06091404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75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SUM(D446:D1224)</f>
        <v>828144640.06091404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75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SUM(D447:D1225)</f>
        <v>828136890.06091404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75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SUM(D448:D1226)</f>
        <v>828131655.06091404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75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SUM(D449:D1227)</f>
        <v>828118679.06091404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75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SUM(D450:D1228)</f>
        <v>828101705.06091404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75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SUM(D451:D1229)</f>
        <v>828083884.06091404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75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SUM(D452:D1230)</f>
        <v>828066959.06091404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75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SUM(D453:D1231)</f>
        <v>828055356.06091404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75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SUM(D454:D1232)</f>
        <v>828048948.06091404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75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SUM(D455:D1233)</f>
        <v>828036665.06091404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75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SUM(D456:D1234)</f>
        <v>828023123.06091404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75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SUM(D457:D1235)</f>
        <v>828008922.06091404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75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SUM(D458:D1236)</f>
        <v>827992158.06091404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75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SUM(D459:D1237)</f>
        <v>827976013.06091404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75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SUM(D460:D1238)</f>
        <v>827966586.06091404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75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SUM(D461:D1239)</f>
        <v>827961301.06091404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75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SUM(D462:D1240)</f>
        <v>827949780.06091404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75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SUM(D463:D1241)</f>
        <v>827937200.06091404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75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SUM(D464:D1242)</f>
        <v>827923137.06091404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75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SUM(D465:D1243)</f>
        <v>827909404.06091404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75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SUM(D466:D1244)</f>
        <v>827896015.06091404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75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SUM(D467:D1245)</f>
        <v>827888233.06091404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75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SUM(D468:D1246)</f>
        <v>827883811.06091404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75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SUM(D469:D1247)</f>
        <v>827874056.06091404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75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SUM(D470:D1248)</f>
        <v>827861182.06091404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75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SUM(D471:D1249)</f>
        <v>827847817.06091404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75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SUM(D472:D1250)</f>
        <v>827832357.06091404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75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SUM(D473:D1251)</f>
        <v>827816820.06091404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75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SUM(D474:D1252)</f>
        <v>827810234.06091404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75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SUM(D475:D1253)</f>
        <v>827802928.06091404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75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SUM(D476:D1254)</f>
        <v>827790946.06091404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75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SUM(D477:D1255)</f>
        <v>827779519.06091404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75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SUM(D478:D1256)</f>
        <v>827765322.06091404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75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SUM(D479:D1257)</f>
        <v>827748373.06091404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75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SUM(D480:D1258)</f>
        <v>827729974.06091404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75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SUM(D481:D1259)</f>
        <v>827721996.06091404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75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SUM(D482:D1260)</f>
        <v>827716247.06091404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75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SUM(D483:D1261)</f>
        <v>827711115.06091404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75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SUM(D484:D1262)</f>
        <v>827699503.06091404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75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SUM(D485:D1263)</f>
        <v>827682691.06091404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75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SUM(D486:D1264)</f>
        <v>827663344.06091404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75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SUM(D487:D1265)</f>
        <v>827636107.06091404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75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SUM(D488:D1266)</f>
        <v>827621572.06091404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75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SUM(D489:D1267)</f>
        <v>827614930.06091404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75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SUM(D490:D1268)</f>
        <v>827594934.06091404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75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SUM(D491:D1269)</f>
        <v>827555180.06091404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75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SUM(D492:D1270)</f>
        <v>827519733.06091404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75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SUM(D493:D1271)</f>
        <v>827483059.06091404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75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SUM(D494:D1272)</f>
        <v>827442530.06091404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75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SUM(D495:D1273)</f>
        <v>827418449.06091404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75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SUM(D496:D1274)</f>
        <v>827396171.06091404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75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SUM(D497:D1275)</f>
        <v>827363595.06091404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75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SUM(D498:D1276)</f>
        <v>827319363.06091404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75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SUM(D499:D1277)</f>
        <v>827262838.06091404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75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SUM(D500:D1278)</f>
        <v>827201187.06091404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75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SUM(D501:D1279)</f>
        <v>827133702.06091404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75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SUM(D502:D1280)</f>
        <v>827096923.06091404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75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SUM(D503:D1281)</f>
        <v>827083105.06091404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75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SUM(D504:D1282)</f>
        <v>827047289.06091404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75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SUM(D505:D1283)</f>
        <v>826985708.06091404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75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SUM(D506:D1284)</f>
        <v>826901174.06091404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75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SUM(D507:D1285)</f>
        <v>826816661.06091404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75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SUM(D508:D1286)</f>
        <v>826715563.06091404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75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SUM(D509:D1287)</f>
        <v>826663665.06091404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75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SUM(D510:D1288)</f>
        <v>826641897.06091404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75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SUM(D511:D1289)</f>
        <v>826585528.06091404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75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SUM(D512:D1290)</f>
        <v>826480770.06091404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75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SUM(D513:D1291)</f>
        <v>826368491.06091404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75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SUM(D514:D1292)</f>
        <v>826247546.06091404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75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SUM(D515:D1293)</f>
        <v>826116840.06091404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75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SUM(D516:D1294)</f>
        <v>826047890.06091404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75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SUM(D517:D1295)</f>
        <v>826023500.06091404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75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SUM(D518:D1296)</f>
        <v>825921125.06091404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75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SUM(D519:D1297)</f>
        <v>825819871.06091404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75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SUM(D520:D1298)</f>
        <v>825675236.06091404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75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SUM(D521:D1299)</f>
        <v>825531699.06091404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75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SUM(D522:D1300)</f>
        <v>825376402.06091404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75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SUM(D523:D1301)</f>
        <v>825305267.06091404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75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SUM(D524:D1302)</f>
        <v>825274384.06091404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75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SUM(D525:D1303)</f>
        <v>825170687.06091404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75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SUM(D526:D1304)</f>
        <v>825026393.06091404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75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SUM(D527:D1305)</f>
        <v>824868266.06091404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75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SUM(D528:D1306)</f>
        <v>824713349.06091404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75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SUM(D529:D1307)</f>
        <v>824562241.06091404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75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SUM(D530:D1308)</f>
        <v>824417158.06091404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75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SUM(D531:D1309)</f>
        <v>824317975.06091404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75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SUM(D532:D1310)</f>
        <v>824206841.06091404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75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SUM(D533:D1311)</f>
        <v>824059222.06091404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75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SUM(D534:D1312)</f>
        <v>823887485.06091404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75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SUM(D535:D1313)</f>
        <v>823710279.06091404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75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SUM(D536:D1314)</f>
        <v>823519909.06091404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75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SUM(D537:D1315)</f>
        <v>823447124.06091404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75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SUM(D538:D1316)</f>
        <v>823409862.06091404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75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SUM(D539:D1317)</f>
        <v>823290220.06091404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75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SUM(D540:D1318)</f>
        <v>823131554.06091404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75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SUM(D541:D1319)</f>
        <v>822947134.06091404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75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SUM(D542:D1320)</f>
        <v>822769566.06091404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75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SUM(D543:D1321)</f>
        <v>822586973.06091404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75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SUM(D544:D1322)</f>
        <v>822528291.06091404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75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SUM(D545:D1323)</f>
        <v>822492705.06091404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75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SUM(D546:D1324)</f>
        <v>822453061.06091404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75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SUM(D547:D1325)</f>
        <v>822337285.06091404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75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SUM(D548:D1326)</f>
        <v>822179526.06091404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75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SUM(D549:D1327)</f>
        <v>822018778.06091404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75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SUM(D550:D1328)</f>
        <v>821847653.06091404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75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SUM(D551:D1329)</f>
        <v>821775565.06091404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75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75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75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75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75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75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75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75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75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75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75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75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75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75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75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75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75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75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75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75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75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75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75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75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75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75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75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75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75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75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75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75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75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75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75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75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75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75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75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75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75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75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75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75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75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75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75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75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75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75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75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75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75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75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75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75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75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75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75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75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75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75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75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75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75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75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75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75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75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75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59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75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75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75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75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75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75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75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75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75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75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75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75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75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75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75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75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75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75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75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75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75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75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75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75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75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75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75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75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75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75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75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75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75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75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75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75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75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75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75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75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75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75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75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75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75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75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75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75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75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75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75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75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75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75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75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75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75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75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75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75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75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75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75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75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75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75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75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75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75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75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75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75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75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75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75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75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59" si="1544">+BW725+1</f>
        <v>717</v>
      </c>
      <c r="BZ726" s="1"/>
      <c r="CA726" s="61"/>
    </row>
    <row r="727" spans="2:79" x14ac:dyDescent="0.75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75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75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75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75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75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75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75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75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75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75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75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75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75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75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75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75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75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75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75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75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75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75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75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75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75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75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75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75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75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75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75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75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75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75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75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75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75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75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75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75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75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75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75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75">
      <c r="B771" s="158">
        <f t="shared" ref="B771:B834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75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75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75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75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75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75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75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75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75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75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75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75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75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75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75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75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75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75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75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75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75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75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75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75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75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75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75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75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75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75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75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75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75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75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75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75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75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75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75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75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75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75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75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75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>
        <f>SUM(BA815:BA821)</f>
        <v>7094725</v>
      </c>
      <c r="BZ815" s="1"/>
      <c r="CA815" s="61"/>
    </row>
    <row r="816" spans="2:79" x14ac:dyDescent="0.75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79" x14ac:dyDescent="0.75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79" x14ac:dyDescent="0.75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79" x14ac:dyDescent="0.75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79" x14ac:dyDescent="0.75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79" x14ac:dyDescent="0.75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79" x14ac:dyDescent="0.75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79" x14ac:dyDescent="0.75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79" x14ac:dyDescent="0.75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79" x14ac:dyDescent="0.75">
      <c r="B825" s="158">
        <f t="shared" si="2425"/>
        <v>44725</v>
      </c>
      <c r="C825" s="61"/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36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13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17">+AL825/AP824</f>
        <v>1.0342257710312696E-3</v>
      </c>
      <c r="AS825" s="25"/>
      <c r="AT825" s="25"/>
      <c r="AU825" s="24"/>
      <c r="AV825" s="298">
        <f t="shared" ref="AV825" si="3518">+AP825/H825</f>
        <v>1.1034546155899616</v>
      </c>
      <c r="AW825" s="298"/>
      <c r="AX825" s="24">
        <f t="shared" ref="AX825" si="3519">+AP825/BW825</f>
        <v>102016.9093137255</v>
      </c>
      <c r="AY825" s="308"/>
      <c r="BA825" s="65">
        <f t="shared" ref="BA825" si="3520">+BC825-BC824</f>
        <v>530919</v>
      </c>
      <c r="BB825" s="66"/>
      <c r="BC825" s="66">
        <v>1040105263</v>
      </c>
      <c r="BD825" s="66"/>
      <c r="BE825" s="66">
        <f t="shared" ref="BE825" si="3521">+D825</f>
        <v>49422</v>
      </c>
      <c r="BF825" s="66"/>
      <c r="BG825" s="144">
        <f t="shared" ref="BG825" si="352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23">+BC825/BW825</f>
        <v>1274638.8026960783</v>
      </c>
      <c r="BO825" s="66"/>
      <c r="BP825" s="66">
        <f t="shared" ref="BP825" si="3524">+BP824+BE825</f>
        <v>74534093</v>
      </c>
      <c r="BQ825" s="66"/>
      <c r="BR825" s="435">
        <f t="shared" ref="BR825" si="3525">+BP825/BC825</f>
        <v>7.1660144075244431E-2</v>
      </c>
      <c r="BS825" s="66"/>
      <c r="BT825" s="75"/>
      <c r="BU825" s="170"/>
      <c r="BV825" s="1"/>
      <c r="BW825" s="61">
        <f t="shared" si="1544"/>
        <v>816</v>
      </c>
      <c r="BY825" s="56"/>
      <c r="BZ825" s="1"/>
      <c r="CA825" s="61"/>
    </row>
    <row r="826" spans="2:79" x14ac:dyDescent="0.75">
      <c r="B826" s="158">
        <f t="shared" si="2425"/>
        <v>44726</v>
      </c>
      <c r="C826" s="61"/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36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13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37">+AL826/AP825</f>
        <v>1.1277686352409043E-3</v>
      </c>
      <c r="AS826" s="25"/>
      <c r="AT826" s="25"/>
      <c r="AU826" s="24"/>
      <c r="AV826" s="298">
        <f t="shared" ref="AV826" si="3538">+AP826/H826</f>
        <v>1.1036265766748037</v>
      </c>
      <c r="AW826" s="298"/>
      <c r="AX826" s="24">
        <f t="shared" ref="AX826" si="3539">+AP826/BW826</f>
        <v>102006.95226438188</v>
      </c>
      <c r="AY826" s="308"/>
      <c r="BA826" s="65">
        <f t="shared" ref="BA826" si="3540">+BC826-BC825</f>
        <v>388063</v>
      </c>
      <c r="BB826" s="66"/>
      <c r="BC826" s="66">
        <v>1040493326</v>
      </c>
      <c r="BD826" s="66"/>
      <c r="BE826" s="66">
        <f t="shared" ref="BE826" si="3541">+D826</f>
        <v>73312</v>
      </c>
      <c r="BF826" s="66"/>
      <c r="BG826" s="144">
        <f t="shared" ref="BG826" si="354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43">+BC826/BW826</f>
        <v>1273553.6425948592</v>
      </c>
      <c r="BO826" s="66"/>
      <c r="BP826" s="66">
        <f t="shared" ref="BP826" si="3544">+BP825+BE826</f>
        <v>74607405</v>
      </c>
      <c r="BQ826" s="66"/>
      <c r="BR826" s="435">
        <f t="shared" ref="BR826" si="3545">+BP826/BC826</f>
        <v>7.1703876551342721E-2</v>
      </c>
      <c r="BS826" s="66"/>
      <c r="BT826" s="75"/>
      <c r="BU826" s="170"/>
      <c r="BV826" s="1"/>
      <c r="BW826" s="61">
        <f t="shared" si="1544"/>
        <v>817</v>
      </c>
      <c r="BY826" s="56"/>
      <c r="BZ826" s="1"/>
      <c r="CA826" s="61"/>
    </row>
    <row r="827" spans="2:79" x14ac:dyDescent="0.75">
      <c r="B827" s="158">
        <f t="shared" si="2425"/>
        <v>44727</v>
      </c>
      <c r="C827" s="61"/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36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13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57">+AL827/AP826</f>
        <v>1.9850208208142869E-3</v>
      </c>
      <c r="AS827" s="25"/>
      <c r="AT827" s="25"/>
      <c r="AU827" s="24"/>
      <c r="AV827" s="298">
        <f t="shared" ref="AV827" si="3558">+AP827/H827</f>
        <v>1.1043680000827365</v>
      </c>
      <c r="AW827" s="298"/>
      <c r="AX827" s="24">
        <f t="shared" ref="AX827" si="3559">+AP827/BW827</f>
        <v>102084.48777506112</v>
      </c>
      <c r="AY827" s="308"/>
      <c r="BA827" s="65">
        <f t="shared" ref="BA827" si="3560">+BC827-BC826</f>
        <v>957292</v>
      </c>
      <c r="BB827" s="66"/>
      <c r="BC827" s="66">
        <v>1041450618</v>
      </c>
      <c r="BD827" s="66"/>
      <c r="BE827" s="66">
        <f t="shared" ref="BE827" si="3561">+D827</f>
        <v>99100</v>
      </c>
      <c r="BF827" s="66"/>
      <c r="BG827" s="144">
        <f t="shared" ref="BG827" si="356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63">+BC827/BW827</f>
        <v>1273167.0146699266</v>
      </c>
      <c r="BO827" s="66"/>
      <c r="BP827" s="66">
        <f t="shared" ref="BP827" si="3564">+BP826+BE827</f>
        <v>74706505</v>
      </c>
      <c r="BQ827" s="66"/>
      <c r="BR827" s="435">
        <f t="shared" ref="BR827" si="3565">+BP827/BC827</f>
        <v>7.1733122731701141E-2</v>
      </c>
      <c r="BS827" s="66"/>
      <c r="BT827" s="75"/>
      <c r="BU827" s="170"/>
      <c r="BV827" s="1"/>
      <c r="BW827" s="61">
        <f t="shared" si="1544"/>
        <v>818</v>
      </c>
      <c r="BY827" s="56"/>
      <c r="BZ827" s="1"/>
      <c r="CA827" s="61"/>
    </row>
    <row r="828" spans="2:79" x14ac:dyDescent="0.75">
      <c r="B828" s="158">
        <f t="shared" si="2425"/>
        <v>44728</v>
      </c>
      <c r="C828" s="61"/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36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13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77">+AL828/AP827</f>
        <v>1.2753351109251266E-3</v>
      </c>
      <c r="AS828" s="25"/>
      <c r="AT828" s="25"/>
      <c r="AU828" s="24"/>
      <c r="AV828" s="298">
        <f t="shared" ref="AV828" si="3578">+AP828/H828</f>
        <v>1.1044257746963235</v>
      </c>
      <c r="AW828" s="298"/>
      <c r="AX828" s="24">
        <f t="shared" ref="AX828" si="3579">+AP828/BW828</f>
        <v>102089.87545787546</v>
      </c>
      <c r="AY828" s="308"/>
      <c r="BA828" s="65">
        <f t="shared" ref="BA828" si="3580">+BC828-BC827</f>
        <v>405695</v>
      </c>
      <c r="BB828" s="66"/>
      <c r="BC828" s="66">
        <v>1041856313</v>
      </c>
      <c r="BD828" s="66"/>
      <c r="BE828" s="66">
        <f t="shared" ref="BE828" si="3581">+D828</f>
        <v>92472</v>
      </c>
      <c r="BF828" s="66"/>
      <c r="BG828" s="144">
        <f t="shared" ref="BG828" si="358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83">+BC828/BW828</f>
        <v>1272107.8302808304</v>
      </c>
      <c r="BO828" s="66"/>
      <c r="BP828" s="66">
        <f t="shared" ref="BP828" si="3584">+BP827+BE828</f>
        <v>74798977</v>
      </c>
      <c r="BQ828" s="66"/>
      <c r="BR828" s="435">
        <f t="shared" ref="BR828" si="3585">+BP828/BC828</f>
        <v>7.1793947079533599E-2</v>
      </c>
      <c r="BS828" s="66"/>
      <c r="BT828" s="75"/>
      <c r="BU828" s="170"/>
      <c r="BV828" s="1"/>
      <c r="BW828" s="61">
        <f t="shared" si="1544"/>
        <v>819</v>
      </c>
      <c r="BY828" s="56"/>
      <c r="BZ828" s="1"/>
      <c r="CA828" s="61"/>
    </row>
    <row r="829" spans="2:79" x14ac:dyDescent="0.75">
      <c r="B829" s="158">
        <f t="shared" si="2425"/>
        <v>44729</v>
      </c>
      <c r="C829" s="61"/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36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13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597">+AL829/AP828</f>
        <v>1.0214729992993317E-3</v>
      </c>
      <c r="AS829" s="25"/>
      <c r="AT829" s="25"/>
      <c r="AU829" s="24"/>
      <c r="AV829" s="298">
        <f t="shared" ref="AV829" si="3598">+AP829/H829</f>
        <v>1.1043616345705123</v>
      </c>
      <c r="AW829" s="298"/>
      <c r="AX829" s="24">
        <f t="shared" ref="AX829" si="3599">+AP829/BW829</f>
        <v>102069.53048780488</v>
      </c>
      <c r="AY829" s="308"/>
      <c r="BA829" s="65">
        <f t="shared" ref="BA829" si="3600">+BC829-BC828</f>
        <v>411895</v>
      </c>
      <c r="BB829" s="66"/>
      <c r="BC829" s="66">
        <v>1042268208</v>
      </c>
      <c r="BD829" s="66"/>
      <c r="BE829" s="66">
        <f t="shared" ref="BE829" si="3601">+D829</f>
        <v>81733</v>
      </c>
      <c r="BF829" s="66"/>
      <c r="BG829" s="144">
        <f t="shared" ref="BG829" si="360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03">+BC829/BW829</f>
        <v>1271058.7902439025</v>
      </c>
      <c r="BO829" s="66"/>
      <c r="BP829" s="66">
        <f t="shared" ref="BP829" si="3604">+BP828+BE829</f>
        <v>74880710</v>
      </c>
      <c r="BQ829" s="66"/>
      <c r="BR829" s="435">
        <f t="shared" ref="BR829" si="3605">+BP829/BC829</f>
        <v>7.1843993153823602E-2</v>
      </c>
      <c r="BS829" s="66"/>
      <c r="BT829" s="75"/>
      <c r="BU829" s="170"/>
      <c r="BV829" s="1"/>
      <c r="BW829" s="61">
        <f t="shared" si="1544"/>
        <v>820</v>
      </c>
      <c r="BY829" s="56"/>
      <c r="BZ829" s="1"/>
      <c r="CA829" s="61"/>
    </row>
    <row r="830" spans="2:79" x14ac:dyDescent="0.75">
      <c r="B830" s="158">
        <f t="shared" si="2425"/>
        <v>44730</v>
      </c>
      <c r="C830" s="61"/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36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13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17">+AL830/AP829</f>
        <v>8.1373272392091882E-4</v>
      </c>
      <c r="AS830" s="25"/>
      <c r="AT830" s="25"/>
      <c r="AU830" s="24"/>
      <c r="AV830" s="298">
        <f t="shared" ref="AV830" si="3618">+AP830/H830</f>
        <v>1.1048105384250344</v>
      </c>
      <c r="AW830" s="298"/>
      <c r="AX830" s="24">
        <f t="shared" ref="AX830" si="3619">+AP830/BW830</f>
        <v>102028.16321559074</v>
      </c>
      <c r="AY830" s="308"/>
      <c r="BA830" s="65">
        <f t="shared" ref="BA830" si="3620">+BC830-BC829</f>
        <v>48905</v>
      </c>
      <c r="BB830" s="66"/>
      <c r="BC830" s="66">
        <v>1042317113</v>
      </c>
      <c r="BD830" s="66"/>
      <c r="BE830" s="66">
        <f t="shared" ref="BE830" si="3621">+D830</f>
        <v>30852</v>
      </c>
      <c r="BF830" s="66"/>
      <c r="BG830" s="144">
        <f t="shared" ref="BG830" si="362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23">+BC830/BW830</f>
        <v>1269570.174177832</v>
      </c>
      <c r="BO830" s="66"/>
      <c r="BP830" s="66">
        <f t="shared" ref="BP830" si="3624">+BP829+BE830</f>
        <v>74911562</v>
      </c>
      <c r="BQ830" s="66"/>
      <c r="BR830" s="435">
        <f t="shared" ref="BR830" si="3625">+BP830/BC830</f>
        <v>7.1870221706702417E-2</v>
      </c>
      <c r="BS830" s="66"/>
      <c r="BT830" s="75"/>
      <c r="BU830" s="170"/>
      <c r="BV830" s="1"/>
      <c r="BW830" s="61">
        <f t="shared" si="1544"/>
        <v>821</v>
      </c>
      <c r="BY830" s="56"/>
      <c r="BZ830" s="1"/>
      <c r="CA830" s="61"/>
    </row>
    <row r="831" spans="2:79" x14ac:dyDescent="0.75">
      <c r="B831" s="347">
        <f t="shared" si="2425"/>
        <v>44731</v>
      </c>
      <c r="C831" s="61"/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36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13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37">+AL831/AP830</f>
        <v>1.2462704942995248E-3</v>
      </c>
      <c r="AS831" s="25"/>
      <c r="AT831" s="25"/>
      <c r="AU831" s="24"/>
      <c r="AV831" s="298">
        <f t="shared" ref="AV831" si="3638">+AP831/H831</f>
        <v>1.1057390163733509</v>
      </c>
      <c r="AW831" s="298"/>
      <c r="AX831" s="24">
        <f t="shared" ref="AX831" si="3639">+AP831/BW831</f>
        <v>102031.04136253042</v>
      </c>
      <c r="AY831" s="308"/>
      <c r="BA831" s="65">
        <f t="shared" ref="BA831" si="3640">+BC831-BC830</f>
        <v>233516</v>
      </c>
      <c r="BB831" s="66"/>
      <c r="BC831" s="66">
        <v>1042550629</v>
      </c>
      <c r="BD831" s="66"/>
      <c r="BE831" s="66">
        <f t="shared" ref="BE831" si="3641">+D831</f>
        <v>30747</v>
      </c>
      <c r="BF831" s="66"/>
      <c r="BG831" s="144">
        <f t="shared" ref="BG831" si="364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43">+BC831/BW831</f>
        <v>1268309.7676399027</v>
      </c>
      <c r="BO831" s="66"/>
      <c r="BP831" s="66">
        <f t="shared" ref="BP831" si="3644">+BP830+BE831</f>
        <v>74942309</v>
      </c>
      <c r="BQ831" s="66"/>
      <c r="BR831" s="435">
        <f t="shared" ref="BR831" si="3645">+BP831/BC831</f>
        <v>7.1883615927490846E-2</v>
      </c>
      <c r="BS831" s="66"/>
      <c r="BT831" s="75"/>
      <c r="BU831" s="170"/>
      <c r="BV831" s="1"/>
      <c r="BW831" s="61">
        <f t="shared" si="1544"/>
        <v>822</v>
      </c>
      <c r="BY831" s="56"/>
      <c r="BZ831" s="1"/>
      <c r="CA831" s="61"/>
    </row>
    <row r="832" spans="2:79" x14ac:dyDescent="0.75">
      <c r="B832" s="158">
        <f t="shared" si="2425"/>
        <v>44732</v>
      </c>
      <c r="C832" s="61"/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36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13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61">
        <f t="shared" ref="AR832" si="3657">+AL832/AP831</f>
        <v>9.3073149486161335E-4</v>
      </c>
      <c r="AS832" s="25"/>
      <c r="AT832" s="25"/>
      <c r="AU832" s="24"/>
      <c r="AV832" s="298">
        <f t="shared" ref="AV832" si="3658">+AP832/H832</f>
        <v>1.1064361264317508</v>
      </c>
      <c r="AW832" s="298"/>
      <c r="AX832" s="24">
        <f t="shared" ref="AX832" si="3659">+AP832/BW832</f>
        <v>102001.91494532199</v>
      </c>
      <c r="AY832" s="308"/>
      <c r="BA832" s="65">
        <f t="shared" ref="BA832" si="3660">+BC832-BC831</f>
        <v>196178</v>
      </c>
      <c r="BB832" s="66"/>
      <c r="BC832" s="66">
        <v>1042746807</v>
      </c>
      <c r="BD832" s="66"/>
      <c r="BE832" s="66">
        <f t="shared" ref="BE832" si="3661">+D832</f>
        <v>22762</v>
      </c>
      <c r="BF832" s="66"/>
      <c r="BG832" s="144">
        <f t="shared" ref="BG832" si="3662">+BE832/BA832</f>
        <v>0.11602728134653223</v>
      </c>
      <c r="BH832" s="66"/>
      <c r="BI832" s="170"/>
      <c r="BJ832" s="66"/>
      <c r="BK832" s="66"/>
      <c r="BL832" s="66"/>
      <c r="BM832" s="144"/>
      <c r="BN832" s="65">
        <f t="shared" ref="BN832" si="3663">+BC832/BW832</f>
        <v>1267007.055893074</v>
      </c>
      <c r="BO832" s="66"/>
      <c r="BP832" s="66">
        <f t="shared" ref="BP832" si="3664">+BP831+BE832</f>
        <v>74965071</v>
      </c>
      <c r="BQ832" s="66"/>
      <c r="BR832" s="435">
        <f t="shared" ref="BR832" si="3665">+BP832/BC832</f>
        <v>7.1891920931099043E-2</v>
      </c>
      <c r="BS832" s="66"/>
      <c r="BT832" s="75"/>
      <c r="BU832" s="170"/>
      <c r="BV832" s="1"/>
      <c r="BW832" s="61">
        <f t="shared" si="1544"/>
        <v>823</v>
      </c>
      <c r="BY832" s="59">
        <f>+BY769/BY690</f>
        <v>0.74248886945318338</v>
      </c>
    </row>
    <row r="833" spans="2:77" x14ac:dyDescent="0.75">
      <c r="B833" s="158">
        <f t="shared" si="2425"/>
        <v>44733</v>
      </c>
      <c r="C833" s="61"/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36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13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61">
        <f t="shared" ref="AR833" si="3677">+AL833/AP832</f>
        <v>1.1066549437949227E-3</v>
      </c>
      <c r="AS833" s="25"/>
      <c r="AT833" s="25"/>
      <c r="AU833" s="24"/>
      <c r="AV833" s="298">
        <f t="shared" ref="AV833" si="3678">+AP833/H833</f>
        <v>1.1064338566101195</v>
      </c>
      <c r="AW833" s="298"/>
      <c r="AX833" s="24">
        <f t="shared" ref="AX833" si="3679">+AP833/BW833</f>
        <v>101990.87014563107</v>
      </c>
      <c r="AY833" s="308"/>
      <c r="BA833" s="65">
        <f t="shared" ref="BA833" si="3680">+BC833-BC832</f>
        <v>916914</v>
      </c>
      <c r="BB833" s="66"/>
      <c r="BC833" s="66">
        <v>1043663721</v>
      </c>
      <c r="BD833" s="66"/>
      <c r="BE833" s="66">
        <f t="shared" ref="BE833" si="3681">+D833</f>
        <v>84120</v>
      </c>
      <c r="BF833" s="66"/>
      <c r="BG833" s="144">
        <f t="shared" ref="BG833" si="3682">+BE833/BA833</f>
        <v>9.1742518927620254E-2</v>
      </c>
      <c r="BH833" s="66"/>
      <c r="BI833" s="170"/>
      <c r="BJ833" s="66"/>
      <c r="BK833" s="66"/>
      <c r="BL833" s="66"/>
      <c r="BM833" s="144"/>
      <c r="BN833" s="65">
        <f t="shared" ref="BN833" si="3683">+BC833/BW833</f>
        <v>1266582.1856796117</v>
      </c>
      <c r="BO833" s="66"/>
      <c r="BP833" s="66">
        <f t="shared" ref="BP833" si="3684">+BP832+BE833</f>
        <v>75049191</v>
      </c>
      <c r="BQ833" s="66"/>
      <c r="BR833" s="435">
        <f t="shared" ref="BR833" si="3685">+BP833/BC833</f>
        <v>7.1909360735554401E-2</v>
      </c>
      <c r="BS833" s="66"/>
      <c r="BT833" s="75"/>
      <c r="BU833" s="170"/>
      <c r="BV833" s="1"/>
      <c r="BW833" s="61">
        <f t="shared" si="1544"/>
        <v>824</v>
      </c>
      <c r="BY833" s="59"/>
    </row>
    <row r="834" spans="2:77" x14ac:dyDescent="0.75">
      <c r="B834" s="158">
        <f t="shared" si="2425"/>
        <v>44734</v>
      </c>
      <c r="C834" s="61"/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36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13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61">
        <f t="shared" ref="AR834" si="3697">+AL834/AP833</f>
        <v>1.3434240740922971E-3</v>
      </c>
      <c r="AS834" s="25"/>
      <c r="AT834" s="25"/>
      <c r="AU834" s="24"/>
      <c r="AV834" s="298">
        <f t="shared" ref="AV834" si="3698">+AP834/H834</f>
        <v>1.1065532197328163</v>
      </c>
      <c r="AW834" s="298"/>
      <c r="AX834" s="24">
        <f t="shared" ref="AX834" si="3699">+AP834/BW834</f>
        <v>102004.09575757576</v>
      </c>
      <c r="AY834" s="308"/>
      <c r="BA834" s="65">
        <f t="shared" ref="BA834" si="3700">+BC834-BC833</f>
        <v>1076030</v>
      </c>
      <c r="BB834" s="66"/>
      <c r="BC834" s="66">
        <v>1044739751</v>
      </c>
      <c r="BD834" s="66"/>
      <c r="BE834" s="66">
        <f t="shared" ref="BE834" si="3701">+D834</f>
        <v>93837</v>
      </c>
      <c r="BF834" s="66"/>
      <c r="BG834" s="144">
        <f t="shared" ref="BG834" si="3702">+BE834/BA834</f>
        <v>8.7206676393780838E-2</v>
      </c>
      <c r="BH834" s="66"/>
      <c r="BI834" s="170"/>
      <c r="BJ834" s="66"/>
      <c r="BK834" s="66"/>
      <c r="BL834" s="66"/>
      <c r="BM834" s="144"/>
      <c r="BN834" s="65">
        <f t="shared" ref="BN834" si="3703">+BC834/BW834</f>
        <v>1266351.2133333334</v>
      </c>
      <c r="BO834" s="66"/>
      <c r="BP834" s="66">
        <f t="shared" ref="BP834" si="3704">+BP833+BE834</f>
        <v>75143028</v>
      </c>
      <c r="BQ834" s="66"/>
      <c r="BR834" s="435">
        <f t="shared" ref="BR834" si="3705">+BP834/BC834</f>
        <v>7.1925116210113466E-2</v>
      </c>
      <c r="BS834" s="66"/>
      <c r="BT834" s="75"/>
      <c r="BU834" s="170"/>
      <c r="BV834" s="1"/>
      <c r="BW834" s="61">
        <f t="shared" si="1544"/>
        <v>825</v>
      </c>
      <c r="BY834" s="59"/>
    </row>
    <row r="835" spans="2:77" x14ac:dyDescent="0.75">
      <c r="B835" s="158">
        <f t="shared" ref="B835:B862" si="3706">1+B834</f>
        <v>44735</v>
      </c>
      <c r="C835" s="61"/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36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13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61">
        <f t="shared" ref="AR835" si="3718">+AL835/AP834</f>
        <v>1.2421842264943397E-3</v>
      </c>
      <c r="AS835" s="25"/>
      <c r="AT835" s="25"/>
      <c r="AU835" s="24"/>
      <c r="AV835" s="298">
        <f t="shared" ref="AV835" si="3719">+AP835/H835</f>
        <v>1.1065207572729212</v>
      </c>
      <c r="AW835" s="298"/>
      <c r="AX835" s="24">
        <f t="shared" ref="AX835" si="3720">+AP835/BW835</f>
        <v>102007.15859564165</v>
      </c>
      <c r="AY835" s="308"/>
      <c r="BA835" s="65">
        <f t="shared" ref="BA835" si="3721">+BC835-BC834</f>
        <v>482951</v>
      </c>
      <c r="BB835" s="66"/>
      <c r="BC835" s="66">
        <v>1045222702</v>
      </c>
      <c r="BD835" s="66"/>
      <c r="BE835" s="66">
        <f t="shared" ref="BE835" si="3722">+D835</f>
        <v>96702</v>
      </c>
      <c r="BF835" s="66"/>
      <c r="BG835" s="144">
        <f t="shared" ref="BG835" si="3723">+BE835/BA835</f>
        <v>0.20023149346414026</v>
      </c>
      <c r="BH835" s="66"/>
      <c r="BI835" s="170"/>
      <c r="BJ835" s="66"/>
      <c r="BK835" s="66"/>
      <c r="BL835" s="66"/>
      <c r="BM835" s="144"/>
      <c r="BN835" s="65">
        <f t="shared" ref="BN835" si="3724">+BC835/BW835</f>
        <v>1265402.7869249394</v>
      </c>
      <c r="BO835" s="66"/>
      <c r="BP835" s="66">
        <f t="shared" ref="BP835" si="3725">+BP834+BE835</f>
        <v>75239730</v>
      </c>
      <c r="BQ835" s="66"/>
      <c r="BR835" s="435">
        <f t="shared" ref="BR835" si="3726">+BP835/BC835</f>
        <v>7.1984400889907194E-2</v>
      </c>
      <c r="BS835" s="66"/>
      <c r="BT835" s="75"/>
      <c r="BU835" s="170"/>
      <c r="BV835" s="1"/>
      <c r="BW835" s="61">
        <f t="shared" si="1544"/>
        <v>826</v>
      </c>
      <c r="BY835" s="59"/>
    </row>
    <row r="836" spans="2:77" x14ac:dyDescent="0.75">
      <c r="B836" s="158">
        <f t="shared" si="3706"/>
        <v>44736</v>
      </c>
      <c r="C836" s="61"/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36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13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61">
        <f t="shared" ref="AR836" si="3738">+AL836/AP835</f>
        <v>1.1217225377989127E-3</v>
      </c>
      <c r="AS836" s="25"/>
      <c r="AT836" s="25"/>
      <c r="AU836" s="24"/>
      <c r="AV836" s="298">
        <f t="shared" ref="AV836" si="3739">+AP836/H836</f>
        <v>1.1062667928696934</v>
      </c>
      <c r="AW836" s="298"/>
      <c r="AX836" s="24">
        <f t="shared" ref="AX836" si="3740">+AP836/BW836</f>
        <v>101998.09794437727</v>
      </c>
      <c r="AY836" s="308"/>
      <c r="BA836" s="65">
        <f t="shared" ref="BA836" si="3741">+BC836-BC835</f>
        <v>2968483</v>
      </c>
      <c r="BB836" s="66"/>
      <c r="BC836" s="66">
        <v>1048191185</v>
      </c>
      <c r="BD836" s="66"/>
      <c r="BE836" s="66">
        <f t="shared" ref="BE836" si="3742">+D836</f>
        <v>102916</v>
      </c>
      <c r="BF836" s="66"/>
      <c r="BG836" s="144">
        <f t="shared" ref="BG836" si="3743">+BE836/BA836</f>
        <v>3.4669560176022567E-2</v>
      </c>
      <c r="BH836" s="66"/>
      <c r="BI836" s="170"/>
      <c r="BJ836" s="66"/>
      <c r="BK836" s="66"/>
      <c r="BL836" s="66"/>
      <c r="BM836" s="144"/>
      <c r="BN836" s="65">
        <f t="shared" ref="BN836" si="3744">+BC836/BW836</f>
        <v>1267462.1342200725</v>
      </c>
      <c r="BO836" s="66"/>
      <c r="BP836" s="66">
        <f t="shared" ref="BP836" si="3745">+BP835+BE836</f>
        <v>75342646</v>
      </c>
      <c r="BQ836" s="66"/>
      <c r="BR836" s="435">
        <f t="shared" ref="BR836" si="3746">+BP836/BC836</f>
        <v>7.1878725062928292E-2</v>
      </c>
      <c r="BS836" s="66"/>
      <c r="BT836" s="75"/>
      <c r="BU836" s="170"/>
      <c r="BV836" s="1"/>
      <c r="BW836" s="61">
        <f t="shared" si="1544"/>
        <v>827</v>
      </c>
      <c r="BY836" s="59"/>
    </row>
    <row r="837" spans="2:77" x14ac:dyDescent="0.75">
      <c r="B837" s="158">
        <f t="shared" si="3706"/>
        <v>44737</v>
      </c>
      <c r="C837" s="61"/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36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13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61">
        <f t="shared" ref="AR837" si="3758">+AL837/AP836</f>
        <v>9.2898334745009764E-4</v>
      </c>
      <c r="AS837" s="25"/>
      <c r="AT837" s="25"/>
      <c r="AU837" s="24"/>
      <c r="AV837" s="298">
        <f t="shared" ref="AV837" si="3759">+AP837/H837</f>
        <v>1.106660728529852</v>
      </c>
      <c r="AW837" s="298"/>
      <c r="AX837" s="24">
        <f t="shared" ref="AX837" si="3760">+AP837/BW837</f>
        <v>101969.55193236715</v>
      </c>
      <c r="AY837" s="308"/>
      <c r="BA837" s="65">
        <f t="shared" ref="BA837" si="3761">+BC837-BC836</f>
        <v>297027</v>
      </c>
      <c r="BB837" s="66"/>
      <c r="BC837" s="66">
        <v>1048488212</v>
      </c>
      <c r="BD837" s="66"/>
      <c r="BE837" s="66">
        <f t="shared" ref="BE837" si="3762">+D837</f>
        <v>43667</v>
      </c>
      <c r="BF837" s="66"/>
      <c r="BG837" s="144">
        <f t="shared" ref="BG837" si="3763">+BE837/BA837</f>
        <v>0.14701357115683086</v>
      </c>
      <c r="BH837" s="66"/>
      <c r="BI837" s="170"/>
      <c r="BJ837" s="66"/>
      <c r="BK837" s="66"/>
      <c r="BL837" s="66"/>
      <c r="BM837" s="144"/>
      <c r="BN837" s="65">
        <f t="shared" ref="BN837" si="3764">+BC837/BW837</f>
        <v>1266290.111111111</v>
      </c>
      <c r="BO837" s="66"/>
      <c r="BP837" s="66">
        <f t="shared" ref="BP837" si="3765">+BP836+BE837</f>
        <v>75386313</v>
      </c>
      <c r="BQ837" s="66"/>
      <c r="BR837" s="435">
        <f t="shared" ref="BR837" si="3766">+BP837/BC837</f>
        <v>7.190001006897348E-2</v>
      </c>
      <c r="BS837" s="66"/>
      <c r="BT837" s="75"/>
      <c r="BU837" s="170"/>
      <c r="BV837" s="1"/>
      <c r="BW837" s="61">
        <f t="shared" si="1544"/>
        <v>828</v>
      </c>
      <c r="BY837" s="59"/>
    </row>
    <row r="838" spans="2:77" x14ac:dyDescent="0.75">
      <c r="B838" s="347">
        <f t="shared" si="3706"/>
        <v>44738</v>
      </c>
      <c r="C838" s="61"/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36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13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61">
        <f t="shared" ref="AR838" si="3778">+AL838/AP837</f>
        <v>9.8099284610499138E-4</v>
      </c>
      <c r="AS838" s="25"/>
      <c r="AT838" s="25"/>
      <c r="AU838" s="24"/>
      <c r="AV838" s="298">
        <f t="shared" ref="AV838" si="3779">+AP838/H838</f>
        <v>1.1074519034463803</v>
      </c>
      <c r="AW838" s="298"/>
      <c r="AX838" s="24">
        <f t="shared" ref="AX838" si="3780">+AP838/BW838</f>
        <v>101946.45958986731</v>
      </c>
      <c r="AY838" s="308"/>
      <c r="BA838" s="65">
        <f t="shared" ref="BA838" si="3781">+BC838-BC837</f>
        <v>81345</v>
      </c>
      <c r="BB838" s="66"/>
      <c r="BC838" s="66">
        <v>1048569557</v>
      </c>
      <c r="BD838" s="66"/>
      <c r="BE838" s="66">
        <f t="shared" ref="BE838" si="3782">+D838</f>
        <v>20285</v>
      </c>
      <c r="BF838" s="66"/>
      <c r="BG838" s="144">
        <f t="shared" ref="BG838" si="3783">+BE838/BA838</f>
        <v>0.24936996742270576</v>
      </c>
      <c r="BH838" s="66"/>
      <c r="BI838" s="170"/>
      <c r="BJ838" s="66"/>
      <c r="BK838" s="66"/>
      <c r="BL838" s="66"/>
      <c r="BM838" s="144"/>
      <c r="BN838" s="65">
        <f t="shared" ref="BN838" si="3784">+BC838/BW838</f>
        <v>1264860.744270205</v>
      </c>
      <c r="BO838" s="66"/>
      <c r="BP838" s="66">
        <f t="shared" ref="BP838" si="3785">+BP837+BE838</f>
        <v>75406598</v>
      </c>
      <c r="BQ838" s="66"/>
      <c r="BR838" s="435">
        <f t="shared" ref="BR838" si="3786">+BP838/BC838</f>
        <v>7.1913777676076471E-2</v>
      </c>
      <c r="BS838" s="66"/>
      <c r="BT838" s="75"/>
      <c r="BU838" s="170"/>
      <c r="BV838" s="1"/>
      <c r="BW838" s="61">
        <f t="shared" si="1544"/>
        <v>829</v>
      </c>
      <c r="BY838" s="59"/>
    </row>
    <row r="839" spans="2:77" x14ac:dyDescent="0.75">
      <c r="B839" s="158">
        <f t="shared" si="3706"/>
        <v>44739</v>
      </c>
      <c r="C839" s="61"/>
      <c r="D839" s="17">
        <v>52403</v>
      </c>
      <c r="E839" s="16"/>
      <c r="F839" s="16"/>
      <c r="G839" s="16"/>
      <c r="H839" s="16">
        <f t="shared" ref="H839" si="3787">+H838+D839</f>
        <v>76365979</v>
      </c>
      <c r="I839" s="16"/>
      <c r="J839" s="436">
        <f t="shared" ref="J839" si="3788">+D839/H838</f>
        <v>6.8667991655901438E-4</v>
      </c>
      <c r="K839" s="16"/>
      <c r="L839" s="16"/>
      <c r="M839" s="16"/>
      <c r="N839" s="16">
        <f t="shared" ref="N839" si="3789">SUM(D833:D839)</f>
        <v>493930</v>
      </c>
      <c r="O839" s="16">
        <f t="shared" ref="O839" si="3790">+H839/BW839</f>
        <v>92007.203614457831</v>
      </c>
      <c r="P839" s="41"/>
      <c r="Q839" s="17">
        <f t="shared" ref="Q839" si="3791">SUM(D833:D839)</f>
        <v>493930</v>
      </c>
      <c r="R839" s="16"/>
      <c r="S839" s="60">
        <f t="shared" ref="S839" si="3792">+(Q839-Q832)/Q832</f>
        <v>0.14606778072198581</v>
      </c>
      <c r="T839" s="16"/>
      <c r="U839" s="41"/>
      <c r="V839" s="10">
        <f t="shared" si="558"/>
        <v>731</v>
      </c>
      <c r="W839" s="34">
        <v>80</v>
      </c>
      <c r="X839" s="33">
        <v>4256</v>
      </c>
      <c r="Y839" s="33"/>
      <c r="Z839" s="33">
        <f t="shared" ref="Z839" si="3793">SUM(W834:W839)</f>
        <v>1052</v>
      </c>
      <c r="AA839" s="33">
        <f t="shared" ref="AA839" si="3794">+AA838+W839</f>
        <v>902384</v>
      </c>
      <c r="AB839" s="33"/>
      <c r="AC839" s="46">
        <f t="shared" ref="AC839" si="3795">+AA839/H839</f>
        <v>1.1816570831888373E-2</v>
      </c>
      <c r="AD839" s="33"/>
      <c r="AE839" s="33">
        <f t="shared" ref="AE839" si="3796">+AA839/BW839</f>
        <v>1087.2096385542168</v>
      </c>
      <c r="AF839" s="50"/>
      <c r="AG839" s="33"/>
      <c r="AH839" s="33"/>
      <c r="AI839" s="213"/>
      <c r="AJ839" s="50"/>
      <c r="AL839" s="23">
        <f t="shared" ref="AL839" si="3797">+AP839-AP838</f>
        <v>90492</v>
      </c>
      <c r="AM839" s="24"/>
      <c r="AN839" s="24"/>
      <c r="AO839" s="24">
        <v>178263</v>
      </c>
      <c r="AP839" s="24">
        <v>84604107</v>
      </c>
      <c r="AQ839" s="24">
        <v>20336656</v>
      </c>
      <c r="AR839" s="461">
        <f t="shared" ref="AR839" si="3798">+AL839/AP838</f>
        <v>1.0707387206191571E-3</v>
      </c>
      <c r="AS839" s="25"/>
      <c r="AT839" s="25"/>
      <c r="AU839" s="24"/>
      <c r="AV839" s="298">
        <f t="shared" ref="AV839" si="3799">+AP839/H839</f>
        <v>1.1078769382371174</v>
      </c>
      <c r="AW839" s="298"/>
      <c r="AX839" s="24">
        <f t="shared" ref="AX839" si="3800">+AP839/BW839</f>
        <v>101932.65903614459</v>
      </c>
      <c r="AY839" s="308"/>
      <c r="BA839" s="65">
        <f t="shared" ref="BA839" si="3801">+BC839-BC838</f>
        <v>802317</v>
      </c>
      <c r="BB839" s="66"/>
      <c r="BC839" s="66">
        <v>1049371874</v>
      </c>
      <c r="BD839" s="66"/>
      <c r="BE839" s="66">
        <f t="shared" ref="BE839" si="3802">+D839</f>
        <v>52403</v>
      </c>
      <c r="BF839" s="66"/>
      <c r="BG839" s="144">
        <f t="shared" ref="BG839" si="3803">+BE839/BA839</f>
        <v>6.5314582640028818E-2</v>
      </c>
      <c r="BH839" s="66"/>
      <c r="BI839" s="170"/>
      <c r="BJ839" s="66"/>
      <c r="BK839" s="66"/>
      <c r="BL839" s="66"/>
      <c r="BM839" s="144"/>
      <c r="BN839" s="65">
        <f t="shared" ref="BN839" si="3804">+BC839/BW839</f>
        <v>1264303.4626506025</v>
      </c>
      <c r="BO839" s="66"/>
      <c r="BP839" s="66">
        <f t="shared" ref="BP839" si="3805">+BP838+BE839</f>
        <v>75459001</v>
      </c>
      <c r="BQ839" s="66"/>
      <c r="BR839" s="435">
        <f t="shared" ref="BR839" si="3806">+BP839/BC839</f>
        <v>7.1908732137411946E-2</v>
      </c>
      <c r="BS839" s="66"/>
      <c r="BT839" s="75"/>
      <c r="BU839" s="170"/>
      <c r="BV839" s="1"/>
      <c r="BW839" s="61">
        <f t="shared" si="1544"/>
        <v>830</v>
      </c>
      <c r="BY839" s="59"/>
    </row>
    <row r="840" spans="2:77" x14ac:dyDescent="0.75">
      <c r="B840" s="158">
        <f t="shared" si="3706"/>
        <v>44740</v>
      </c>
      <c r="C840" s="61"/>
      <c r="D840" s="17">
        <v>78448</v>
      </c>
      <c r="E840" s="16"/>
      <c r="F840" s="16"/>
      <c r="G840" s="16"/>
      <c r="H840" s="16">
        <f t="shared" ref="H840" si="3807">+H839+D840</f>
        <v>76444427</v>
      </c>
      <c r="I840" s="16"/>
      <c r="J840" s="436">
        <f t="shared" ref="J840" si="3808">+D840/H839</f>
        <v>1.0272637243346281E-3</v>
      </c>
      <c r="K840" s="16"/>
      <c r="L840" s="16"/>
      <c r="M840" s="16"/>
      <c r="N840" s="16">
        <f t="shared" ref="N840" si="3809">SUM(D834:D840)</f>
        <v>488258</v>
      </c>
      <c r="O840" s="16">
        <f t="shared" ref="O840" si="3810">+H840/BW840</f>
        <v>91990.886883273168</v>
      </c>
      <c r="P840" s="41"/>
      <c r="Q840" s="17">
        <f t="shared" ref="Q840" si="3811">SUM(D834:D840)</f>
        <v>488258</v>
      </c>
      <c r="R840" s="16"/>
      <c r="S840" s="60">
        <f t="shared" ref="S840" si="3812">+(Q840-Q833)/Q833</f>
        <v>0.10519120116979715</v>
      </c>
      <c r="T840" s="16"/>
      <c r="U840" s="41"/>
      <c r="V840" s="10">
        <f t="shared" si="558"/>
        <v>732</v>
      </c>
      <c r="W840" s="34">
        <v>268</v>
      </c>
      <c r="X840" s="33">
        <v>4256</v>
      </c>
      <c r="Y840" s="33"/>
      <c r="Z840" s="33">
        <f t="shared" ref="Z840" si="3813">SUM(W835:W840)</f>
        <v>930</v>
      </c>
      <c r="AA840" s="33">
        <f t="shared" ref="AA840" si="3814">+AA839+W840</f>
        <v>902652</v>
      </c>
      <c r="AB840" s="33"/>
      <c r="AC840" s="46">
        <f t="shared" ref="AC840" si="3815">+AA840/H840</f>
        <v>1.1807950368965418E-2</v>
      </c>
      <c r="AD840" s="33"/>
      <c r="AE840" s="33">
        <f t="shared" ref="AE840" si="3816">+AA840/BW840</f>
        <v>1086.2238267148014</v>
      </c>
      <c r="AF840" s="50"/>
      <c r="AG840" s="33"/>
      <c r="AH840" s="33"/>
      <c r="AI840" s="213"/>
      <c r="AJ840" s="50"/>
      <c r="AL840" s="23">
        <f t="shared" ref="AL840" si="3817">+AP840-AP839</f>
        <v>104492</v>
      </c>
      <c r="AM840" s="24"/>
      <c r="AN840" s="24"/>
      <c r="AO840" s="24">
        <v>178263</v>
      </c>
      <c r="AP840" s="24">
        <v>84708599</v>
      </c>
      <c r="AQ840" s="24">
        <v>20336656</v>
      </c>
      <c r="AR840" s="461">
        <f t="shared" ref="AR840" si="3818">+AL840/AP839</f>
        <v>1.2350700658066162E-3</v>
      </c>
      <c r="AS840" s="25"/>
      <c r="AT840" s="25"/>
      <c r="AU840" s="24"/>
      <c r="AV840" s="298">
        <f t="shared" ref="AV840" si="3819">+AP840/H840</f>
        <v>1.1081069258325398</v>
      </c>
      <c r="AW840" s="298"/>
      <c r="AX840" s="24">
        <f t="shared" ref="AX840" si="3820">+AP840/BW840</f>
        <v>101935.73886883273</v>
      </c>
      <c r="AY840" s="308"/>
      <c r="BA840" s="65">
        <f t="shared" ref="BA840" si="3821">+BC840-BC839</f>
        <v>577655</v>
      </c>
      <c r="BB840" s="66"/>
      <c r="BC840" s="66">
        <v>1049949529</v>
      </c>
      <c r="BD840" s="66"/>
      <c r="BE840" s="66">
        <f t="shared" ref="BE840" si="3822">+D840</f>
        <v>78448</v>
      </c>
      <c r="BF840" s="66"/>
      <c r="BG840" s="144">
        <f t="shared" ref="BG840" si="3823">+BE840/BA840</f>
        <v>0.13580424301702573</v>
      </c>
      <c r="BH840" s="66"/>
      <c r="BI840" s="170"/>
      <c r="BJ840" s="66"/>
      <c r="BK840" s="66"/>
      <c r="BL840" s="66"/>
      <c r="BM840" s="144"/>
      <c r="BN840" s="65">
        <f t="shared" ref="BN840" si="3824">+BC840/BW840</f>
        <v>1263477.1708784597</v>
      </c>
      <c r="BO840" s="66"/>
      <c r="BP840" s="66">
        <f t="shared" ref="BP840" si="3825">+BP839+BE840</f>
        <v>75537449</v>
      </c>
      <c r="BQ840" s="66"/>
      <c r="BR840" s="435">
        <f t="shared" ref="BR840" si="3826">+BP840/BC840</f>
        <v>7.1943885790342596E-2</v>
      </c>
      <c r="BS840" s="66"/>
      <c r="BT840" s="75"/>
      <c r="BU840" s="170"/>
      <c r="BV840" s="1"/>
      <c r="BW840" s="61">
        <f t="shared" si="1544"/>
        <v>831</v>
      </c>
      <c r="BY840" s="59"/>
    </row>
    <row r="841" spans="2:77" x14ac:dyDescent="0.75">
      <c r="B841" s="158">
        <f t="shared" si="3706"/>
        <v>44741</v>
      </c>
      <c r="C841" s="61"/>
      <c r="D841" s="17">
        <v>100257</v>
      </c>
      <c r="E841" s="16"/>
      <c r="F841" s="16"/>
      <c r="G841" s="16"/>
      <c r="H841" s="16">
        <f t="shared" ref="H841" si="3827">+H840+D841</f>
        <v>76544684</v>
      </c>
      <c r="I841" s="16"/>
      <c r="J841" s="436">
        <f t="shared" ref="J841" si="3828">+D841/H840</f>
        <v>1.3115017527700222E-3</v>
      </c>
      <c r="K841" s="16"/>
      <c r="L841" s="16"/>
      <c r="M841" s="16"/>
      <c r="N841" s="16">
        <f t="shared" ref="N841" si="3829">SUM(D835:D841)</f>
        <v>494678</v>
      </c>
      <c r="O841" s="16">
        <f t="shared" ref="O841" si="3830">+H841/BW841</f>
        <v>92000.82211538461</v>
      </c>
      <c r="P841" s="41"/>
      <c r="Q841" s="17">
        <f t="shared" ref="Q841" si="3831">SUM(D835:D841)</f>
        <v>494678</v>
      </c>
      <c r="R841" s="16"/>
      <c r="S841" s="60">
        <f t="shared" ref="S841" si="3832">+(Q841-Q834)/Q834</f>
        <v>0.13322322076958143</v>
      </c>
      <c r="T841" s="16"/>
      <c r="U841" s="41"/>
      <c r="V841" s="10">
        <f t="shared" si="558"/>
        <v>733</v>
      </c>
      <c r="W841" s="34">
        <v>326</v>
      </c>
      <c r="X841" s="33">
        <v>4256</v>
      </c>
      <c r="Y841" s="33"/>
      <c r="Z841" s="33">
        <f t="shared" ref="Z841" si="3833">SUM(W836:W841)</f>
        <v>990</v>
      </c>
      <c r="AA841" s="33">
        <f t="shared" ref="AA841" si="3834">+AA840+W841</f>
        <v>902978</v>
      </c>
      <c r="AB841" s="33"/>
      <c r="AC841" s="46">
        <f t="shared" ref="AC841" si="3835">+AA841/H841</f>
        <v>1.1796743455103949E-2</v>
      </c>
      <c r="AD841" s="33"/>
      <c r="AE841" s="33">
        <f t="shared" ref="AE841" si="3836">+AA841/BW841</f>
        <v>1085.3100961538462</v>
      </c>
      <c r="AF841" s="50"/>
      <c r="AG841" s="33"/>
      <c r="AH841" s="33"/>
      <c r="AI841" s="213"/>
      <c r="AJ841" s="50"/>
      <c r="AL841" s="23">
        <f t="shared" ref="AL841" si="3837">+AP841-AP840</f>
        <v>101955</v>
      </c>
      <c r="AM841" s="24"/>
      <c r="AN841" s="24"/>
      <c r="AO841" s="24">
        <v>178263</v>
      </c>
      <c r="AP841" s="24">
        <v>84810554</v>
      </c>
      <c r="AQ841" s="24">
        <v>20336656</v>
      </c>
      <c r="AR841" s="461">
        <f t="shared" ref="AR841" si="3838">+AL841/AP840</f>
        <v>1.2035968154779659E-3</v>
      </c>
      <c r="AS841" s="25"/>
      <c r="AT841" s="25"/>
      <c r="AU841" s="24"/>
      <c r="AV841" s="298">
        <f t="shared" ref="AV841" si="3839">+AP841/H841</f>
        <v>1.1079875122353369</v>
      </c>
      <c r="AW841" s="298"/>
      <c r="AX841" s="24">
        <f t="shared" ref="AX841" si="3840">+AP841/BW841</f>
        <v>101935.76201923077</v>
      </c>
      <c r="AY841" s="308"/>
      <c r="BA841" s="65">
        <f t="shared" ref="BA841" si="3841">+BC841-BC840</f>
        <v>958071</v>
      </c>
      <c r="BB841" s="66"/>
      <c r="BC841" s="66">
        <v>1050907600</v>
      </c>
      <c r="BD841" s="66"/>
      <c r="BE841" s="66">
        <f t="shared" ref="BE841" si="3842">+D841</f>
        <v>100257</v>
      </c>
      <c r="BF841" s="66"/>
      <c r="BG841" s="144">
        <f t="shared" ref="BG841" si="3843">+BE841/BA841</f>
        <v>0.10464464533421844</v>
      </c>
      <c r="BH841" s="66"/>
      <c r="BI841" s="170"/>
      <c r="BJ841" s="66"/>
      <c r="BK841" s="66"/>
      <c r="BL841" s="66"/>
      <c r="BM841" s="144"/>
      <c r="BN841" s="65">
        <f t="shared" ref="BN841" si="3844">+BC841/BW841</f>
        <v>1263110.0961538462</v>
      </c>
      <c r="BO841" s="66"/>
      <c r="BP841" s="66">
        <f t="shared" ref="BP841" si="3845">+BP840+BE841</f>
        <v>75637706</v>
      </c>
      <c r="BQ841" s="66"/>
      <c r="BR841" s="435">
        <f t="shared" ref="BR841" si="3846">+BP841/BC841</f>
        <v>7.1973697782754642E-2</v>
      </c>
      <c r="BS841" s="66"/>
      <c r="BT841" s="75"/>
      <c r="BU841" s="170"/>
      <c r="BV841" s="1"/>
      <c r="BW841" s="61">
        <f t="shared" si="1544"/>
        <v>832</v>
      </c>
      <c r="BY841" s="59"/>
    </row>
    <row r="842" spans="2:77" x14ac:dyDescent="0.75">
      <c r="B842" s="158">
        <f t="shared" si="3706"/>
        <v>44742</v>
      </c>
      <c r="C842" s="61"/>
      <c r="D842" s="17">
        <v>85976</v>
      </c>
      <c r="E842" s="16"/>
      <c r="F842" s="16"/>
      <c r="G842" s="16"/>
      <c r="H842" s="16">
        <f t="shared" ref="H842" si="3847">+H841+D842</f>
        <v>76630660</v>
      </c>
      <c r="I842" s="16"/>
      <c r="J842" s="436">
        <f t="shared" ref="J842" si="3848">+D842/H841</f>
        <v>1.1232132070726165E-3</v>
      </c>
      <c r="K842" s="16"/>
      <c r="L842" s="16"/>
      <c r="M842" s="16"/>
      <c r="N842" s="16">
        <f t="shared" ref="N842" si="3849">SUM(D836:D842)</f>
        <v>483952</v>
      </c>
      <c r="O842" s="16">
        <f t="shared" ref="O842" si="3850">+H842/BW842</f>
        <v>91993.589435774309</v>
      </c>
      <c r="P842" s="41"/>
      <c r="Q842" s="17">
        <f t="shared" ref="Q842" si="3851">SUM(D836:D842)</f>
        <v>483952</v>
      </c>
      <c r="R842" s="16"/>
      <c r="S842" s="60">
        <f t="shared" ref="S842" si="3852">+(Q842-Q835)/Q835</f>
        <v>9.8011811604231849E-2</v>
      </c>
      <c r="T842" s="16"/>
      <c r="U842" s="41"/>
      <c r="V842" s="10">
        <f t="shared" si="558"/>
        <v>734</v>
      </c>
      <c r="W842" s="34">
        <v>228</v>
      </c>
      <c r="X842" s="33">
        <v>4256</v>
      </c>
      <c r="Y842" s="33"/>
      <c r="Z842" s="33">
        <f t="shared" ref="Z842" si="3853">SUM(W837:W842)</f>
        <v>981</v>
      </c>
      <c r="AA842" s="33">
        <f t="shared" ref="AA842" si="3854">+AA841+W842</f>
        <v>903206</v>
      </c>
      <c r="AB842" s="33"/>
      <c r="AC842" s="46">
        <f t="shared" ref="AC842" si="3855">+AA842/H842</f>
        <v>1.178648337362617E-2</v>
      </c>
      <c r="AD842" s="33"/>
      <c r="AE842" s="33">
        <f t="shared" ref="AE842" si="3856">+AA842/BW842</f>
        <v>1084.2809123649461</v>
      </c>
      <c r="AF842" s="50"/>
      <c r="AG842" s="33"/>
      <c r="AH842" s="33"/>
      <c r="AI842" s="213"/>
      <c r="AJ842" s="50"/>
      <c r="AL842" s="23">
        <f t="shared" ref="AL842" si="3857">+AP842-AP841</f>
        <v>105837</v>
      </c>
      <c r="AM842" s="24"/>
      <c r="AN842" s="24"/>
      <c r="AO842" s="24">
        <v>178263</v>
      </c>
      <c r="AP842" s="24">
        <v>84916391</v>
      </c>
      <c r="AQ842" s="24">
        <v>20336656</v>
      </c>
      <c r="AR842" s="461">
        <f t="shared" ref="AR842" si="3858">+AL842/AP841</f>
        <v>1.2479225168131787E-3</v>
      </c>
      <c r="AS842" s="25"/>
      <c r="AT842" s="25"/>
      <c r="AU842" s="24"/>
      <c r="AV842" s="298">
        <f t="shared" ref="AV842" si="3859">+AP842/H842</f>
        <v>1.1081255335658078</v>
      </c>
      <c r="AW842" s="298"/>
      <c r="AX842" s="24">
        <f t="shared" ref="AX842" si="3860">+AP842/BW842</f>
        <v>101940.44537815126</v>
      </c>
      <c r="AY842" s="308"/>
      <c r="BA842" s="65">
        <f t="shared" ref="BA842" si="3861">+BC842-BC841</f>
        <v>448878</v>
      </c>
      <c r="BB842" s="66"/>
      <c r="BC842" s="66">
        <v>1051356478</v>
      </c>
      <c r="BD842" s="66"/>
      <c r="BE842" s="66">
        <f t="shared" ref="BE842" si="3862">+D842</f>
        <v>85976</v>
      </c>
      <c r="BF842" s="66"/>
      <c r="BG842" s="144">
        <f t="shared" ref="BG842" si="3863">+BE842/BA842</f>
        <v>0.19153533922357521</v>
      </c>
      <c r="BH842" s="66"/>
      <c r="BI842" s="170"/>
      <c r="BJ842" s="66"/>
      <c r="BK842" s="66"/>
      <c r="BL842" s="66"/>
      <c r="BM842" s="144"/>
      <c r="BN842" s="65">
        <f t="shared" ref="BN842" si="3864">+BC842/BW842</f>
        <v>1262132.6266506603</v>
      </c>
      <c r="BO842" s="66"/>
      <c r="BP842" s="66">
        <f t="shared" ref="BP842" si="3865">+BP841+BE842</f>
        <v>75723682</v>
      </c>
      <c r="BQ842" s="66"/>
      <c r="BR842" s="435">
        <f t="shared" ref="BR842" si="3866">+BP842/BC842</f>
        <v>7.2024744779286942E-2</v>
      </c>
      <c r="BS842" s="66"/>
      <c r="BT842" s="75"/>
      <c r="BU842" s="170"/>
      <c r="BV842" s="1"/>
      <c r="BW842" s="61">
        <f t="shared" si="1544"/>
        <v>833</v>
      </c>
      <c r="BY842" s="59"/>
    </row>
    <row r="843" spans="2:77" x14ac:dyDescent="0.75">
      <c r="B843" s="158">
        <f t="shared" si="3706"/>
        <v>44743</v>
      </c>
      <c r="C843" s="61"/>
      <c r="D843" s="17">
        <v>102788</v>
      </c>
      <c r="E843" s="16"/>
      <c r="F843" s="16"/>
      <c r="G843" s="16"/>
      <c r="H843" s="16">
        <f t="shared" ref="H843" si="3867">+H842+D843</f>
        <v>76733448</v>
      </c>
      <c r="I843" s="16"/>
      <c r="J843" s="436">
        <f t="shared" ref="J843" si="3868">+D843/H842</f>
        <v>1.341343008137996E-3</v>
      </c>
      <c r="K843" s="16"/>
      <c r="L843" s="16"/>
      <c r="M843" s="16"/>
      <c r="N843" s="16">
        <f t="shared" ref="N843" si="3869">SUM(D837:D843)</f>
        <v>483824</v>
      </c>
      <c r="O843" s="16">
        <f t="shared" ref="O843" si="3870">+H843/BW843</f>
        <v>92006.532374100716</v>
      </c>
      <c r="P843" s="41"/>
      <c r="Q843" s="17">
        <f t="shared" ref="Q843" si="3871">SUM(D837:D843)</f>
        <v>483824</v>
      </c>
      <c r="R843" s="16"/>
      <c r="S843" s="60">
        <f t="shared" ref="S843" si="3872">+(Q843-Q836)/Q836</f>
        <v>4.7383187281354995E-2</v>
      </c>
      <c r="T843" s="16"/>
      <c r="U843" s="41"/>
      <c r="V843" s="10">
        <f t="shared" si="558"/>
        <v>735</v>
      </c>
      <c r="W843" s="34">
        <v>283</v>
      </c>
      <c r="X843" s="33">
        <v>4256</v>
      </c>
      <c r="Y843" s="33"/>
      <c r="Z843" s="33">
        <f t="shared" ref="Z843" si="3873">SUM(W838:W843)</f>
        <v>1202</v>
      </c>
      <c r="AA843" s="33">
        <f t="shared" ref="AA843" si="3874">+AA842+W843</f>
        <v>903489</v>
      </c>
      <c r="AB843" s="33"/>
      <c r="AC843" s="46">
        <f t="shared" ref="AC843" si="3875">+AA843/H843</f>
        <v>1.177438292620449E-2</v>
      </c>
      <c r="AD843" s="33"/>
      <c r="AE843" s="33">
        <f t="shared" ref="AE843" si="3876">+AA843/BW843</f>
        <v>1083.3201438848921</v>
      </c>
      <c r="AF843" s="50"/>
      <c r="AG843" s="33"/>
      <c r="AH843" s="33"/>
      <c r="AI843" s="213"/>
      <c r="AJ843" s="50"/>
      <c r="AL843" s="23">
        <f t="shared" ref="AL843" si="3877">+AP843-AP842</f>
        <v>80752</v>
      </c>
      <c r="AM843" s="24"/>
      <c r="AN843" s="24"/>
      <c r="AO843" s="24">
        <v>178263</v>
      </c>
      <c r="AP843" s="24">
        <v>84997143</v>
      </c>
      <c r="AQ843" s="24">
        <v>20336656</v>
      </c>
      <c r="AR843" s="461">
        <f t="shared" ref="AR843" si="3878">+AL843/AP842</f>
        <v>9.5095892617480646E-4</v>
      </c>
      <c r="AS843" s="25"/>
      <c r="AT843" s="25"/>
      <c r="AU843" s="24"/>
      <c r="AV843" s="298">
        <f t="shared" ref="AV843" si="3879">+AP843/H843</f>
        <v>1.1076935184771053</v>
      </c>
      <c r="AW843" s="298"/>
      <c r="AX843" s="24">
        <f t="shared" ref="AX843" si="3880">+AP843/BW843</f>
        <v>101915.03956834532</v>
      </c>
      <c r="AY843" s="308"/>
      <c r="BA843" s="65">
        <f t="shared" ref="BA843" si="3881">+BC843-BC842</f>
        <v>1443338</v>
      </c>
      <c r="BB843" s="66"/>
      <c r="BC843" s="66">
        <v>1052799816</v>
      </c>
      <c r="BD843" s="66"/>
      <c r="BE843" s="66">
        <f t="shared" ref="BE843" si="3882">+D843</f>
        <v>102788</v>
      </c>
      <c r="BF843" s="66"/>
      <c r="BG843" s="144">
        <f t="shared" ref="BG843" si="3883">+BE843/BA843</f>
        <v>7.1215474130106732E-2</v>
      </c>
      <c r="BH843" s="66"/>
      <c r="BI843" s="170"/>
      <c r="BJ843" s="66"/>
      <c r="BK843" s="66"/>
      <c r="BL843" s="66"/>
      <c r="BM843" s="144"/>
      <c r="BN843" s="65">
        <f t="shared" ref="BN843" si="3884">+BC843/BW843</f>
        <v>1262349.8992805756</v>
      </c>
      <c r="BO843" s="66"/>
      <c r="BP843" s="66">
        <f t="shared" ref="BP843" si="3885">+BP842+BE843</f>
        <v>75826470</v>
      </c>
      <c r="BQ843" s="66"/>
      <c r="BR843" s="435">
        <f t="shared" ref="BR843" si="3886">+BP843/BC843</f>
        <v>7.202363530808216E-2</v>
      </c>
      <c r="BS843" s="66"/>
      <c r="BT843" s="75"/>
      <c r="BU843" s="170"/>
      <c r="BV843" s="1"/>
      <c r="BW843" s="61">
        <f t="shared" si="1544"/>
        <v>834</v>
      </c>
      <c r="BY843" s="59"/>
    </row>
    <row r="844" spans="2:77" x14ac:dyDescent="0.75">
      <c r="B844" s="158">
        <f t="shared" si="3706"/>
        <v>44744</v>
      </c>
      <c r="C844" s="61"/>
      <c r="D844" s="17">
        <v>15245</v>
      </c>
      <c r="E844" s="16"/>
      <c r="F844" s="16"/>
      <c r="G844" s="16"/>
      <c r="H844" s="16">
        <f t="shared" ref="H844" si="3887">+H843+D844</f>
        <v>76748693</v>
      </c>
      <c r="I844" s="16"/>
      <c r="J844" s="436">
        <f t="shared" ref="J844" si="3888">+D844/H843</f>
        <v>1.9867476827054611E-4</v>
      </c>
      <c r="K844" s="16"/>
      <c r="L844" s="16"/>
      <c r="M844" s="16"/>
      <c r="N844" s="16">
        <f t="shared" ref="N844" si="3889">SUM(D838:D844)</f>
        <v>455402</v>
      </c>
      <c r="O844" s="16">
        <f t="shared" ref="O844" si="3890">+H844/BW844</f>
        <v>91914.602395209586</v>
      </c>
      <c r="P844" s="41"/>
      <c r="Q844" s="17">
        <f t="shared" ref="Q844" si="3891">SUM(D838:D844)</f>
        <v>455402</v>
      </c>
      <c r="R844" s="16"/>
      <c r="S844" s="60">
        <f t="shared" ref="S844" si="3892">+(Q844-Q837)/Q837</f>
        <v>-4.0756101619585844E-2</v>
      </c>
      <c r="T844" s="16"/>
      <c r="U844" s="41"/>
      <c r="V844" s="10">
        <f t="shared" si="558"/>
        <v>736</v>
      </c>
      <c r="W844" s="34">
        <v>27</v>
      </c>
      <c r="X844" s="33">
        <v>4256</v>
      </c>
      <c r="Y844" s="33"/>
      <c r="Z844" s="33">
        <f t="shared" ref="Z844" si="3893">SUM(W839:W844)</f>
        <v>1212</v>
      </c>
      <c r="AA844" s="33">
        <f t="shared" ref="AA844" si="3894">+AA843+W844</f>
        <v>903516</v>
      </c>
      <c r="AB844" s="33"/>
      <c r="AC844" s="46">
        <f t="shared" ref="AC844" si="3895">+AA844/H844</f>
        <v>1.1772395915589077E-2</v>
      </c>
      <c r="AD844" s="33"/>
      <c r="AE844" s="33">
        <f t="shared" ref="AE844" si="3896">+AA844/BW844</f>
        <v>1082.0550898203592</v>
      </c>
      <c r="AF844" s="50"/>
      <c r="AG844" s="33"/>
      <c r="AH844" s="33"/>
      <c r="AI844" s="213"/>
      <c r="AJ844" s="50"/>
      <c r="AL844" s="23">
        <f t="shared" ref="AL844" si="3897">+AP844-AP843</f>
        <v>13198</v>
      </c>
      <c r="AM844" s="24"/>
      <c r="AN844" s="24"/>
      <c r="AO844" s="24">
        <v>178263</v>
      </c>
      <c r="AP844" s="24">
        <v>85010341</v>
      </c>
      <c r="AQ844" s="24">
        <v>20336656</v>
      </c>
      <c r="AR844" s="461">
        <f t="shared" ref="AR844" si="3898">+AL844/AP843</f>
        <v>1.5527580732919459E-4</v>
      </c>
      <c r="AS844" s="25"/>
      <c r="AT844" s="25"/>
      <c r="AU844" s="24"/>
      <c r="AV844" s="298">
        <f t="shared" ref="AV844" si="3899">+AP844/H844</f>
        <v>1.1076454552783068</v>
      </c>
      <c r="AW844" s="298"/>
      <c r="AX844" s="24">
        <f t="shared" ref="AX844" si="3900">+AP844/BW844</f>
        <v>101808.79161676647</v>
      </c>
      <c r="AY844" s="308"/>
      <c r="BA844" s="65">
        <f t="shared" ref="BA844" si="3901">+BC844-BC843</f>
        <v>74933</v>
      </c>
      <c r="BB844" s="66"/>
      <c r="BC844" s="66">
        <v>1052874749</v>
      </c>
      <c r="BD844" s="66"/>
      <c r="BE844" s="66">
        <f t="shared" ref="BE844" si="3902">+D844</f>
        <v>15245</v>
      </c>
      <c r="BF844" s="66"/>
      <c r="BG844" s="144">
        <f t="shared" ref="BG844" si="3903">+BE844/BA844</f>
        <v>0.20344841391643201</v>
      </c>
      <c r="BH844" s="66"/>
      <c r="BI844" s="170"/>
      <c r="BJ844" s="66"/>
      <c r="BK844" s="66"/>
      <c r="BL844" s="66"/>
      <c r="BM844" s="144"/>
      <c r="BN844" s="65">
        <f t="shared" ref="BN844" si="3904">+BC844/BW844</f>
        <v>1260927.8431137726</v>
      </c>
      <c r="BO844" s="66"/>
      <c r="BP844" s="66">
        <f t="shared" ref="BP844" si="3905">+BP843+BE844</f>
        <v>75841715</v>
      </c>
      <c r="BQ844" s="66"/>
      <c r="BR844" s="435">
        <f t="shared" ref="BR844" si="3906">+BP844/BC844</f>
        <v>7.2032988797606737E-2</v>
      </c>
      <c r="BS844" s="66"/>
      <c r="BT844" s="75"/>
      <c r="BU844" s="170"/>
      <c r="BV844" s="1"/>
      <c r="BW844" s="61">
        <f t="shared" si="1544"/>
        <v>835</v>
      </c>
      <c r="BY844" s="59"/>
    </row>
    <row r="845" spans="2:77" x14ac:dyDescent="0.75">
      <c r="B845" s="347">
        <f t="shared" si="3706"/>
        <v>44745</v>
      </c>
      <c r="C845" s="61"/>
      <c r="D845" s="17">
        <v>10094</v>
      </c>
      <c r="E845" s="16"/>
      <c r="F845" s="16"/>
      <c r="G845" s="16"/>
      <c r="H845" s="16">
        <f t="shared" ref="H845" si="3907">+H844+D845</f>
        <v>76758787</v>
      </c>
      <c r="I845" s="16"/>
      <c r="J845" s="436">
        <f t="shared" ref="J845" si="3908">+D845/H844</f>
        <v>1.3152015500772111E-4</v>
      </c>
      <c r="K845" s="16"/>
      <c r="L845" s="16"/>
      <c r="M845" s="16"/>
      <c r="N845" s="16">
        <f t="shared" ref="N845" si="3909">SUM(D839:D845)</f>
        <v>445211</v>
      </c>
      <c r="O845" s="16">
        <f t="shared" ref="O845" si="3910">+H845/BW845</f>
        <v>91816.730861244025</v>
      </c>
      <c r="P845" s="41"/>
      <c r="Q845" s="17">
        <f t="shared" ref="Q845" si="3911">SUM(D839:D845)</f>
        <v>445211</v>
      </c>
      <c r="R845" s="16"/>
      <c r="S845" s="60">
        <f t="shared" ref="S845" si="3912">+(Q845-Q838)/Q838</f>
        <v>-4.1090786126744334E-2</v>
      </c>
      <c r="T845" s="16"/>
      <c r="U845" s="41"/>
      <c r="V845" s="10">
        <f t="shared" si="558"/>
        <v>737</v>
      </c>
      <c r="W845" s="34">
        <v>12</v>
      </c>
      <c r="X845" s="33">
        <v>4256</v>
      </c>
      <c r="Y845" s="33"/>
      <c r="Z845" s="33">
        <f t="shared" ref="Z845" si="3913">SUM(W840:W845)</f>
        <v>1144</v>
      </c>
      <c r="AA845" s="33">
        <f t="shared" ref="AA845" si="3914">+AA844+W845</f>
        <v>903528</v>
      </c>
      <c r="AB845" s="33"/>
      <c r="AC845" s="46">
        <f t="shared" ref="AC845" si="3915">+AA845/H845</f>
        <v>1.1771004145753371E-2</v>
      </c>
      <c r="AD845" s="33"/>
      <c r="AE845" s="33">
        <f t="shared" ref="AE845" si="3916">+AA845/BW845</f>
        <v>1080.7751196172248</v>
      </c>
      <c r="AF845" s="50"/>
      <c r="AG845" s="33"/>
      <c r="AH845" s="33"/>
      <c r="AI845" s="213"/>
      <c r="AJ845" s="50"/>
      <c r="AL845" s="23">
        <f t="shared" ref="AL845" si="3917">+AP845-AP844</f>
        <v>162511</v>
      </c>
      <c r="AM845" s="24"/>
      <c r="AN845" s="24"/>
      <c r="AO845" s="24">
        <v>178263</v>
      </c>
      <c r="AP845" s="24">
        <v>85172852</v>
      </c>
      <c r="AQ845" s="24">
        <v>20336656</v>
      </c>
      <c r="AR845" s="461">
        <f t="shared" ref="AR845" si="3918">+AL845/AP844</f>
        <v>1.9116615471522459E-3</v>
      </c>
      <c r="AS845" s="25"/>
      <c r="AT845" s="25"/>
      <c r="AU845" s="24"/>
      <c r="AV845" s="298">
        <f t="shared" ref="AV845" si="3919">+AP845/H845</f>
        <v>1.1096169615082636</v>
      </c>
      <c r="AW845" s="298"/>
      <c r="AX845" s="24">
        <f t="shared" ref="AX845" si="3920">+AP845/BW845</f>
        <v>101881.4019138756</v>
      </c>
      <c r="AY845" s="308"/>
      <c r="BA845" s="65">
        <f t="shared" ref="BA845" si="3921">+BC845-BC844</f>
        <v>69254</v>
      </c>
      <c r="BB845" s="66"/>
      <c r="BC845" s="66">
        <v>1052944003</v>
      </c>
      <c r="BD845" s="66"/>
      <c r="BE845" s="66">
        <f t="shared" ref="BE845" si="3922">+D845</f>
        <v>10094</v>
      </c>
      <c r="BF845" s="66"/>
      <c r="BG845" s="144">
        <f t="shared" ref="BG845" si="3923">+BE845/BA845</f>
        <v>0.14575331388800647</v>
      </c>
      <c r="BH845" s="66"/>
      <c r="BI845" s="170"/>
      <c r="BJ845" s="66"/>
      <c r="BK845" s="66"/>
      <c r="BL845" s="66"/>
      <c r="BM845" s="144"/>
      <c r="BN845" s="65">
        <f t="shared" ref="BN845" si="3924">+BC845/BW845</f>
        <v>1259502.3959330143</v>
      </c>
      <c r="BO845" s="66"/>
      <c r="BP845" s="66">
        <f t="shared" ref="BP845" si="3925">+BP844+BE845</f>
        <v>75851809</v>
      </c>
      <c r="BQ845" s="66"/>
      <c r="BR845" s="435">
        <f t="shared" ref="BR845" si="3926">+BP845/BC845</f>
        <v>7.2037837514517852E-2</v>
      </c>
      <c r="BS845" s="66"/>
      <c r="BT845" s="75"/>
      <c r="BU845" s="170"/>
      <c r="BV845" s="1"/>
      <c r="BW845" s="61">
        <f t="shared" si="1544"/>
        <v>836</v>
      </c>
      <c r="BY845" s="59"/>
    </row>
    <row r="846" spans="2:77" x14ac:dyDescent="0.75">
      <c r="B846" s="158">
        <f t="shared" si="3706"/>
        <v>44746</v>
      </c>
      <c r="C846" s="61"/>
      <c r="D846" s="17">
        <v>13317</v>
      </c>
      <c r="E846" s="16"/>
      <c r="F846" s="16"/>
      <c r="G846" s="16"/>
      <c r="H846" s="16">
        <f t="shared" ref="H846" si="3927">+H845+D846</f>
        <v>76772104</v>
      </c>
      <c r="I846" s="16"/>
      <c r="J846" s="436">
        <f t="shared" ref="J846" si="3928">+D846/H845</f>
        <v>1.7349153784829873E-4</v>
      </c>
      <c r="K846" s="16"/>
      <c r="L846" s="16"/>
      <c r="M846" s="16"/>
      <c r="N846" s="16">
        <f t="shared" ref="N846" si="3929">SUM(D840:D846)</f>
        <v>406125</v>
      </c>
      <c r="O846" s="16">
        <f t="shared" ref="O846" si="3930">+H846/BW846</f>
        <v>91722.943847072878</v>
      </c>
      <c r="P846" s="41"/>
      <c r="Q846" s="17">
        <f t="shared" ref="Q846" si="3931">SUM(D840:D846)</f>
        <v>406125</v>
      </c>
      <c r="R846" s="16"/>
      <c r="S846" s="60">
        <f t="shared" ref="S846" si="3932">+(Q846-Q839)/Q839</f>
        <v>-0.17776810479217703</v>
      </c>
      <c r="T846" s="16"/>
      <c r="U846" s="41"/>
      <c r="V846" s="10">
        <f t="shared" si="558"/>
        <v>738</v>
      </c>
      <c r="W846" s="34">
        <v>38</v>
      </c>
      <c r="X846" s="33">
        <v>4256</v>
      </c>
      <c r="Y846" s="33"/>
      <c r="Z846" s="33">
        <f t="shared" ref="Z846" si="3933">SUM(W841:W846)</f>
        <v>914</v>
      </c>
      <c r="AA846" s="33">
        <f t="shared" ref="AA846" si="3934">+AA845+W846</f>
        <v>903566</v>
      </c>
      <c r="AB846" s="33"/>
      <c r="AC846" s="46">
        <f t="shared" ref="AC846" si="3935">+AA846/H846</f>
        <v>1.176945730183453E-2</v>
      </c>
      <c r="AD846" s="33"/>
      <c r="AE846" s="33">
        <f t="shared" ref="AE846" si="3936">+AA846/BW846</f>
        <v>1079.5292712066905</v>
      </c>
      <c r="AF846" s="50"/>
      <c r="AG846" s="33"/>
      <c r="AH846" s="33"/>
      <c r="AI846" s="213"/>
      <c r="AJ846" s="50"/>
      <c r="AL846" s="23">
        <f t="shared" ref="AL846" si="3937">+AP846-AP845</f>
        <v>113249</v>
      </c>
      <c r="AM846" s="24"/>
      <c r="AN846" s="24"/>
      <c r="AO846" s="24">
        <v>178263</v>
      </c>
      <c r="AP846" s="24">
        <v>85286101</v>
      </c>
      <c r="AQ846" s="24">
        <v>20336656</v>
      </c>
      <c r="AR846" s="461">
        <f t="shared" ref="AR846" si="3938">+AL846/AP845</f>
        <v>1.329637288651553E-3</v>
      </c>
      <c r="AS846" s="25"/>
      <c r="AT846" s="25"/>
      <c r="AU846" s="24"/>
      <c r="AV846" s="298">
        <f t="shared" ref="AV846" si="3939">+AP846/H846</f>
        <v>1.1108996179132984</v>
      </c>
      <c r="AW846" s="298"/>
      <c r="AX846" s="24">
        <f t="shared" ref="AX846" si="3940">+AP846/BW846</f>
        <v>101894.98327359618</v>
      </c>
      <c r="AY846" s="308"/>
      <c r="BA846" s="65">
        <f t="shared" ref="BA846" si="3941">+BC846-BC845</f>
        <v>43799</v>
      </c>
      <c r="BB846" s="66"/>
      <c r="BC846" s="66">
        <v>1052987802</v>
      </c>
      <c r="BD846" s="66"/>
      <c r="BE846" s="66">
        <f t="shared" ref="BE846" si="3942">+D846</f>
        <v>13317</v>
      </c>
      <c r="BF846" s="66"/>
      <c r="BG846" s="144">
        <f t="shared" ref="BG846" si="3943">+BE846/BA846</f>
        <v>0.30404803762642985</v>
      </c>
      <c r="BH846" s="66"/>
      <c r="BI846" s="170"/>
      <c r="BJ846" s="66"/>
      <c r="BK846" s="66"/>
      <c r="BL846" s="66"/>
      <c r="BM846" s="144"/>
      <c r="BN846" s="65">
        <f t="shared" ref="BN846" si="3944">+BC846/BW846</f>
        <v>1258049.9426523298</v>
      </c>
      <c r="BO846" s="66"/>
      <c r="BP846" s="66">
        <f t="shared" ref="BP846" si="3945">+BP845+BE846</f>
        <v>75865126</v>
      </c>
      <c r="BQ846" s="66"/>
      <c r="BR846" s="435">
        <f t="shared" ref="BR846" si="3946">+BP846/BC846</f>
        <v>7.2047487972704924E-2</v>
      </c>
      <c r="BS846" s="66"/>
      <c r="BT846" s="75"/>
      <c r="BU846" s="170"/>
      <c r="BV846" s="1"/>
      <c r="BW846" s="61">
        <f t="shared" si="1544"/>
        <v>837</v>
      </c>
      <c r="BY846" s="59"/>
    </row>
    <row r="847" spans="2:77" x14ac:dyDescent="0.75">
      <c r="B847" s="158">
        <f t="shared" si="3706"/>
        <v>44747</v>
      </c>
      <c r="C847" s="61"/>
      <c r="D847" s="17">
        <v>45685</v>
      </c>
      <c r="E847" s="16"/>
      <c r="F847" s="16"/>
      <c r="G847" s="16"/>
      <c r="H847" s="16">
        <f t="shared" ref="H847" si="3947">+H846+D847</f>
        <v>76817789</v>
      </c>
      <c r="I847" s="16"/>
      <c r="J847" s="436">
        <f t="shared" ref="J847" si="3948">+D847/H846</f>
        <v>5.9507291867368908E-4</v>
      </c>
      <c r="K847" s="16"/>
      <c r="L847" s="16"/>
      <c r="M847" s="16"/>
      <c r="N847" s="16">
        <f t="shared" ref="N847" si="3949">SUM(D841:D847)</f>
        <v>373362</v>
      </c>
      <c r="O847" s="16">
        <f t="shared" ref="O847" si="3950">+H847/BW847</f>
        <v>91668.005966587109</v>
      </c>
      <c r="P847" s="41"/>
      <c r="Q847" s="17">
        <f t="shared" ref="Q847" si="3951">SUM(D841:D847)</f>
        <v>373362</v>
      </c>
      <c r="R847" s="16"/>
      <c r="S847" s="60">
        <f t="shared" ref="S847" si="3952">+(Q847-Q840)/Q840</f>
        <v>-0.23531821291202601</v>
      </c>
      <c r="T847" s="16"/>
      <c r="U847" s="41"/>
      <c r="V847" s="10">
        <f t="shared" si="558"/>
        <v>739</v>
      </c>
      <c r="W847" s="34">
        <v>144</v>
      </c>
      <c r="X847" s="33">
        <v>4256</v>
      </c>
      <c r="Y847" s="33"/>
      <c r="Z847" s="33">
        <f t="shared" ref="Z847" si="3953">SUM(W842:W847)</f>
        <v>732</v>
      </c>
      <c r="AA847" s="33">
        <f t="shared" ref="AA847" si="3954">+AA846+W847</f>
        <v>903710</v>
      </c>
      <c r="AB847" s="33"/>
      <c r="AC847" s="46">
        <f t="shared" ref="AC847" si="3955">+AA847/H847</f>
        <v>1.1764332347550383E-2</v>
      </c>
      <c r="AD847" s="33"/>
      <c r="AE847" s="33">
        <f t="shared" ref="AE847" si="3956">+AA847/BW847</f>
        <v>1078.4128878281622</v>
      </c>
      <c r="AF847" s="50"/>
      <c r="AG847" s="33"/>
      <c r="AH847" s="33"/>
      <c r="AI847" s="213"/>
      <c r="AJ847" s="50"/>
      <c r="AL847" s="23">
        <f t="shared" ref="AL847" si="3957">+AP847-AP846</f>
        <v>103769</v>
      </c>
      <c r="AM847" s="24"/>
      <c r="AN847" s="24"/>
      <c r="AO847" s="24">
        <v>178263</v>
      </c>
      <c r="AP847" s="24">
        <v>85389870</v>
      </c>
      <c r="AQ847" s="24">
        <v>20336656</v>
      </c>
      <c r="AR847" s="461">
        <f t="shared" ref="AR847" si="3958">+AL847/AP846</f>
        <v>1.2167164260446141E-3</v>
      </c>
      <c r="AS847" s="25"/>
      <c r="AT847" s="25"/>
      <c r="AU847" s="24"/>
      <c r="AV847" s="298">
        <f t="shared" ref="AV847" si="3959">+AP847/H847</f>
        <v>1.1115897907449537</v>
      </c>
      <c r="AW847" s="298"/>
      <c r="AX847" s="24">
        <f t="shared" ref="AX847" si="3960">+AP847/BW847</f>
        <v>101897.21957040572</v>
      </c>
      <c r="AY847" s="308"/>
      <c r="BA847" s="65">
        <f t="shared" ref="BA847" si="3961">+BC847-BC846</f>
        <v>1112444</v>
      </c>
      <c r="BB847" s="66"/>
      <c r="BC847" s="66">
        <v>1054100246</v>
      </c>
      <c r="BD847" s="66"/>
      <c r="BE847" s="66">
        <f t="shared" ref="BE847" si="3962">+D847</f>
        <v>45685</v>
      </c>
      <c r="BF847" s="66"/>
      <c r="BG847" s="144">
        <f t="shared" ref="BG847" si="3963">+BE847/BA847</f>
        <v>4.1067235744001493E-2</v>
      </c>
      <c r="BH847" s="66"/>
      <c r="BI847" s="170"/>
      <c r="BJ847" s="66"/>
      <c r="BK847" s="66"/>
      <c r="BL847" s="66"/>
      <c r="BM847" s="144"/>
      <c r="BN847" s="65">
        <f t="shared" ref="BN847" si="3964">+BC847/BW847</f>
        <v>1257876.1885441528</v>
      </c>
      <c r="BO847" s="66"/>
      <c r="BP847" s="66">
        <f t="shared" ref="BP847" si="3965">+BP846+BE847</f>
        <v>75910811</v>
      </c>
      <c r="BQ847" s="66"/>
      <c r="BR847" s="435">
        <f t="shared" ref="BR847" si="3966">+BP847/BC847</f>
        <v>7.2014792983930292E-2</v>
      </c>
      <c r="BS847" s="66"/>
      <c r="BT847" s="75"/>
      <c r="BU847" s="170"/>
      <c r="BV847" s="1"/>
      <c r="BW847" s="61">
        <f t="shared" si="1544"/>
        <v>838</v>
      </c>
      <c r="BY847" s="59"/>
    </row>
    <row r="848" spans="2:77" x14ac:dyDescent="0.75">
      <c r="B848" s="158">
        <f t="shared" si="3706"/>
        <v>44748</v>
      </c>
      <c r="C848" s="61"/>
      <c r="D848" s="17">
        <v>99952</v>
      </c>
      <c r="E848" s="16"/>
      <c r="F848" s="16"/>
      <c r="G848" s="16"/>
      <c r="H848" s="16">
        <f t="shared" ref="H848" si="3967">+H847+D848</f>
        <v>76917741</v>
      </c>
      <c r="I848" s="16"/>
      <c r="J848" s="436">
        <f t="shared" ref="J848" si="3968">+D848/H847</f>
        <v>1.3011569494664837E-3</v>
      </c>
      <c r="K848" s="16"/>
      <c r="L848" s="16"/>
      <c r="M848" s="16"/>
      <c r="N848" s="16">
        <f t="shared" ref="N848" si="3969">SUM(D842:D848)</f>
        <v>373057</v>
      </c>
      <c r="O848" s="16">
        <f t="shared" ref="O848" si="3970">+H848/BW848</f>
        <v>91677.879618593564</v>
      </c>
      <c r="P848" s="41"/>
      <c r="Q848" s="17">
        <f t="shared" ref="Q848" si="3971">SUM(D842:D848)</f>
        <v>373057</v>
      </c>
      <c r="R848" s="16"/>
      <c r="S848" s="60">
        <f t="shared" ref="S848" si="3972">+(Q848-Q841)/Q841</f>
        <v>-0.24585892236970311</v>
      </c>
      <c r="T848" s="16"/>
      <c r="U848" s="41"/>
      <c r="V848" s="10">
        <f t="shared" si="558"/>
        <v>740</v>
      </c>
      <c r="W848" s="34">
        <v>347</v>
      </c>
      <c r="X848" s="33">
        <v>4256</v>
      </c>
      <c r="Y848" s="33"/>
      <c r="Z848" s="33">
        <f t="shared" ref="Z848" si="3973">SUM(W843:W848)</f>
        <v>851</v>
      </c>
      <c r="AA848" s="33">
        <f t="shared" ref="AA848" si="3974">+AA847+W848</f>
        <v>904057</v>
      </c>
      <c r="AB848" s="33"/>
      <c r="AC848" s="46">
        <f t="shared" ref="AC848" si="3975">+AA848/H848</f>
        <v>1.1753556308940483E-2</v>
      </c>
      <c r="AD848" s="33"/>
      <c r="AE848" s="33">
        <f t="shared" ref="AE848" si="3976">+AA848/BW848</f>
        <v>1077.5411203814065</v>
      </c>
      <c r="AF848" s="50"/>
      <c r="AG848" s="33"/>
      <c r="AH848" s="33"/>
      <c r="AI848" s="213"/>
      <c r="AJ848" s="50"/>
      <c r="AL848" s="23">
        <f t="shared" ref="AL848" si="3977">+AP848-AP847</f>
        <v>137892</v>
      </c>
      <c r="AM848" s="24"/>
      <c r="AN848" s="24"/>
      <c r="AO848" s="24">
        <v>178263</v>
      </c>
      <c r="AP848" s="24">
        <v>85527762</v>
      </c>
      <c r="AQ848" s="24">
        <v>20336656</v>
      </c>
      <c r="AR848" s="461">
        <f t="shared" ref="AR848" si="3978">+AL848/AP847</f>
        <v>1.6148519724880715E-3</v>
      </c>
      <c r="AS848" s="25"/>
      <c r="AT848" s="25"/>
      <c r="AU848" s="24"/>
      <c r="AV848" s="298">
        <f t="shared" ref="AV848" si="3979">+AP848/H848</f>
        <v>1.1119380378058685</v>
      </c>
      <c r="AW848" s="298"/>
      <c r="AX848" s="24">
        <f t="shared" ref="AX848" si="3980">+AP848/BW848</f>
        <v>101940.12157330156</v>
      </c>
      <c r="AY848" s="308"/>
      <c r="BA848" s="65">
        <f t="shared" ref="BA848" si="3981">+BC848-BC847</f>
        <v>865796</v>
      </c>
      <c r="BB848" s="66"/>
      <c r="BC848" s="66">
        <v>1054966042</v>
      </c>
      <c r="BD848" s="66"/>
      <c r="BE848" s="66">
        <f t="shared" ref="BE848" si="3982">+D848</f>
        <v>99952</v>
      </c>
      <c r="BF848" s="66"/>
      <c r="BG848" s="144">
        <f t="shared" ref="BG848" si="3983">+BE848/BA848</f>
        <v>0.11544520880207347</v>
      </c>
      <c r="BH848" s="66"/>
      <c r="BI848" s="170"/>
      <c r="BJ848" s="66"/>
      <c r="BK848" s="66"/>
      <c r="BL848" s="66"/>
      <c r="BM848" s="144"/>
      <c r="BN848" s="65">
        <f t="shared" ref="BN848" si="3984">+BC848/BW848</f>
        <v>1257408.8700834326</v>
      </c>
      <c r="BO848" s="66"/>
      <c r="BP848" s="66">
        <f t="shared" ref="BP848" si="3985">+BP847+BE848</f>
        <v>76010763</v>
      </c>
      <c r="BQ848" s="66"/>
      <c r="BR848" s="435">
        <f t="shared" ref="BR848" si="3986">+BP848/BC848</f>
        <v>7.2050435723882755E-2</v>
      </c>
      <c r="BS848" s="66"/>
      <c r="BT848" s="75"/>
      <c r="BU848" s="170"/>
      <c r="BV848" s="1"/>
      <c r="BW848" s="61">
        <f t="shared" si="1544"/>
        <v>839</v>
      </c>
      <c r="BY848" s="59"/>
    </row>
    <row r="849" spans="2:85" x14ac:dyDescent="0.75">
      <c r="B849" s="158">
        <f t="shared" si="3706"/>
        <v>44749</v>
      </c>
      <c r="C849" s="61"/>
      <c r="D849" s="17">
        <v>91472</v>
      </c>
      <c r="E849" s="16"/>
      <c r="F849" s="16"/>
      <c r="G849" s="16"/>
      <c r="H849" s="16">
        <f t="shared" ref="H849" si="3987">+H848+D849</f>
        <v>77009213</v>
      </c>
      <c r="I849" s="16"/>
      <c r="J849" s="436">
        <f t="shared" ref="J849" si="3988">+D849/H848</f>
        <v>1.1892184925191705E-3</v>
      </c>
      <c r="K849" s="16"/>
      <c r="L849" s="16"/>
      <c r="M849" s="16"/>
      <c r="N849" s="16">
        <f t="shared" ref="N849" si="3989">SUM(D843:D849)</f>
        <v>378553</v>
      </c>
      <c r="O849" s="16">
        <f t="shared" ref="O849" si="3990">+H849/BW849</f>
        <v>91677.634523809524</v>
      </c>
      <c r="P849" s="41"/>
      <c r="Q849" s="17">
        <f t="shared" ref="Q849" si="3991">SUM(D843:D849)</f>
        <v>378553</v>
      </c>
      <c r="R849" s="16"/>
      <c r="S849" s="60">
        <f t="shared" ref="S849" si="3992">+(Q849-Q842)/Q842</f>
        <v>-0.21778812774820644</v>
      </c>
      <c r="T849" s="16"/>
      <c r="U849" s="41"/>
      <c r="V849" s="10">
        <f t="shared" si="558"/>
        <v>741</v>
      </c>
      <c r="W849" s="34">
        <v>320</v>
      </c>
      <c r="X849" s="33">
        <v>4256</v>
      </c>
      <c r="Y849" s="33"/>
      <c r="Z849" s="33">
        <f t="shared" ref="Z849" si="3993">SUM(W844:W849)</f>
        <v>888</v>
      </c>
      <c r="AA849" s="33">
        <f t="shared" ref="AA849" si="3994">+AA848+W849</f>
        <v>904377</v>
      </c>
      <c r="AB849" s="33"/>
      <c r="AC849" s="46">
        <f t="shared" ref="AC849" si="3995">+AA849/H849</f>
        <v>1.1743750712008965E-2</v>
      </c>
      <c r="AD849" s="33"/>
      <c r="AE849" s="33">
        <f t="shared" ref="AE849" si="3996">+AA849/BW849</f>
        <v>1076.6392857142857</v>
      </c>
      <c r="AF849" s="50"/>
      <c r="AG849" s="33"/>
      <c r="AH849" s="33"/>
      <c r="AI849" s="213"/>
      <c r="AJ849" s="50"/>
      <c r="AL849" s="23">
        <f t="shared" ref="AL849" si="3997">+AP849-AP848</f>
        <v>96620</v>
      </c>
      <c r="AM849" s="24"/>
      <c r="AN849" s="24"/>
      <c r="AO849" s="24">
        <v>178263</v>
      </c>
      <c r="AP849" s="24">
        <v>85624382</v>
      </c>
      <c r="AQ849" s="24">
        <v>20336656</v>
      </c>
      <c r="AR849" s="461">
        <f t="shared" ref="AR849" si="3998">+AL849/AP848</f>
        <v>1.1296916666660821E-3</v>
      </c>
      <c r="AS849" s="25"/>
      <c r="AT849" s="25"/>
      <c r="AU849" s="24"/>
      <c r="AV849" s="298">
        <f t="shared" ref="AV849" si="3999">+AP849/H849</f>
        <v>1.1118719262849759</v>
      </c>
      <c r="AW849" s="298"/>
      <c r="AX849" s="24">
        <f t="shared" ref="AX849" si="4000">+AP849/BW849</f>
        <v>101933.78809523809</v>
      </c>
      <c r="AY849" s="308"/>
      <c r="BA849" s="65">
        <f t="shared" ref="BA849" si="4001">+BC849-BC848</f>
        <v>349859</v>
      </c>
      <c r="BB849" s="66"/>
      <c r="BC849" s="66">
        <v>1055315901</v>
      </c>
      <c r="BD849" s="66"/>
      <c r="BE849" s="66">
        <f t="shared" ref="BE849" si="4002">+D849</f>
        <v>91472</v>
      </c>
      <c r="BF849" s="66"/>
      <c r="BG849" s="144">
        <f t="shared" ref="BG849" si="4003">+BE849/BA849</f>
        <v>0.26145389999971419</v>
      </c>
      <c r="BH849" s="66"/>
      <c r="BI849" s="170"/>
      <c r="BJ849" s="66"/>
      <c r="BK849" s="66"/>
      <c r="BL849" s="66"/>
      <c r="BM849" s="144"/>
      <c r="BN849" s="65">
        <f t="shared" ref="BN849" si="4004">+BC849/BW849</f>
        <v>1256328.4535714285</v>
      </c>
      <c r="BO849" s="66"/>
      <c r="BP849" s="66">
        <f t="shared" ref="BP849" si="4005">+BP848+BE849</f>
        <v>76102235</v>
      </c>
      <c r="BQ849" s="66"/>
      <c r="BR849" s="435">
        <f t="shared" ref="BR849" si="4006">+BP849/BC849</f>
        <v>7.211322688105691E-2</v>
      </c>
      <c r="BS849" s="66"/>
      <c r="BT849" s="75"/>
      <c r="BU849" s="170"/>
      <c r="BV849" s="1"/>
      <c r="BW849" s="61">
        <f t="shared" si="1544"/>
        <v>840</v>
      </c>
      <c r="BY849" s="59"/>
    </row>
    <row r="850" spans="2:85" x14ac:dyDescent="0.75">
      <c r="B850" s="158">
        <f t="shared" si="3706"/>
        <v>44750</v>
      </c>
      <c r="C850" s="61"/>
      <c r="D850" s="17">
        <v>107977</v>
      </c>
      <c r="E850" s="16"/>
      <c r="F850" s="16"/>
      <c r="G850" s="16"/>
      <c r="H850" s="16">
        <f t="shared" ref="H850" si="4007">+H849+D850</f>
        <v>77117190</v>
      </c>
      <c r="I850" s="16"/>
      <c r="J850" s="436">
        <f t="shared" ref="J850" si="4008">+D850/H849</f>
        <v>1.4021309372425348E-3</v>
      </c>
      <c r="K850" s="16"/>
      <c r="L850" s="16"/>
      <c r="M850" s="16"/>
      <c r="N850" s="16">
        <f t="shared" ref="N850" si="4009">SUM(D844:D850)</f>
        <v>383742</v>
      </c>
      <c r="O850" s="16">
        <f t="shared" ref="O850" si="4010">+H850/BW850</f>
        <v>91697.015457788351</v>
      </c>
      <c r="P850" s="41"/>
      <c r="Q850" s="17">
        <f t="shared" ref="Q850" si="4011">SUM(D844:D850)</f>
        <v>383742</v>
      </c>
      <c r="R850" s="16"/>
      <c r="S850" s="60">
        <f t="shared" ref="S850" si="4012">+(Q850-Q843)/Q843</f>
        <v>-0.20685621217632857</v>
      </c>
      <c r="T850" s="16"/>
      <c r="U850" s="41"/>
      <c r="V850" s="10">
        <f t="shared" si="558"/>
        <v>742</v>
      </c>
      <c r="W850" s="34">
        <v>303</v>
      </c>
      <c r="X850" s="33">
        <v>4256</v>
      </c>
      <c r="Y850" s="33"/>
      <c r="Z850" s="33">
        <f t="shared" ref="Z850" si="4013">SUM(W845:W850)</f>
        <v>1164</v>
      </c>
      <c r="AA850" s="33">
        <f t="shared" ref="AA850" si="4014">+AA849+W850</f>
        <v>904680</v>
      </c>
      <c r="AB850" s="33"/>
      <c r="AC850" s="46">
        <f t="shared" ref="AC850" si="4015">+AA850/H850</f>
        <v>1.173123657643646E-2</v>
      </c>
      <c r="AD850" s="33"/>
      <c r="AE850" s="33">
        <f t="shared" ref="AE850" si="4016">+AA850/BW850</f>
        <v>1075.719381688466</v>
      </c>
      <c r="AF850" s="50"/>
      <c r="AG850" s="33"/>
      <c r="AH850" s="33"/>
      <c r="AI850" s="213"/>
      <c r="AJ850" s="50"/>
      <c r="AL850" s="23">
        <f t="shared" ref="AL850" si="4017">+AP850-AP849</f>
        <v>91633</v>
      </c>
      <c r="AM850" s="24"/>
      <c r="AN850" s="24"/>
      <c r="AO850" s="24">
        <v>178263</v>
      </c>
      <c r="AP850" s="24">
        <v>85716015</v>
      </c>
      <c r="AQ850" s="24">
        <v>20336656</v>
      </c>
      <c r="AR850" s="461">
        <f t="shared" ref="AR850" si="4018">+AL850/AP849</f>
        <v>1.0701741473591016E-3</v>
      </c>
      <c r="AS850" s="25"/>
      <c r="AT850" s="25"/>
      <c r="AU850" s="24"/>
      <c r="AV850" s="298">
        <f t="shared" ref="AV850" si="4019">+AP850/H850</f>
        <v>1.1115033496422781</v>
      </c>
      <c r="AW850" s="298"/>
      <c r="AX850" s="24">
        <f t="shared" ref="AX850" si="4020">+AP850/BW850</f>
        <v>101921.53983353151</v>
      </c>
      <c r="AY850" s="308"/>
      <c r="BA850" s="65">
        <f t="shared" ref="BA850" si="4021">+BC850-BC849</f>
        <v>1478632</v>
      </c>
      <c r="BB850" s="66"/>
      <c r="BC850" s="66">
        <v>1056794533</v>
      </c>
      <c r="BD850" s="66"/>
      <c r="BE850" s="66">
        <f t="shared" ref="BE850" si="4022">+D850</f>
        <v>107977</v>
      </c>
      <c r="BF850" s="66"/>
      <c r="BG850" s="144">
        <f t="shared" ref="BG850" si="4023">+BE850/BA850</f>
        <v>7.3024931152578867E-2</v>
      </c>
      <c r="BH850" s="66"/>
      <c r="BI850" s="170"/>
      <c r="BJ850" s="66"/>
      <c r="BK850" s="66"/>
      <c r="BL850" s="66"/>
      <c r="BM850" s="144"/>
      <c r="BN850" s="65">
        <f t="shared" ref="BN850" si="4024">+BC850/BW850</f>
        <v>1256592.7859690844</v>
      </c>
      <c r="BO850" s="66"/>
      <c r="BP850" s="66">
        <f t="shared" ref="BP850" si="4025">+BP849+BE850</f>
        <v>76210212</v>
      </c>
      <c r="BQ850" s="66"/>
      <c r="BR850" s="435">
        <f t="shared" ref="BR850" si="4026">+BP850/BC850</f>
        <v>7.2114502507556022E-2</v>
      </c>
      <c r="BS850" s="66"/>
      <c r="BT850" s="75"/>
      <c r="BU850" s="170"/>
      <c r="BV850" s="1"/>
      <c r="BW850" s="61">
        <f t="shared" si="1544"/>
        <v>841</v>
      </c>
      <c r="BY850" s="59"/>
    </row>
    <row r="851" spans="2:85" x14ac:dyDescent="0.75">
      <c r="B851" s="158">
        <f t="shared" si="3706"/>
        <v>44751</v>
      </c>
      <c r="C851" s="61"/>
      <c r="D851" s="17">
        <v>31114</v>
      </c>
      <c r="E851" s="16"/>
      <c r="F851" s="16"/>
      <c r="G851" s="16"/>
      <c r="H851" s="16">
        <f t="shared" ref="H851" si="4027">+H850+D851</f>
        <v>77148304</v>
      </c>
      <c r="I851" s="16"/>
      <c r="J851" s="436">
        <f t="shared" ref="J851" si="4028">+D851/H850</f>
        <v>4.0346387102538356E-4</v>
      </c>
      <c r="K851" s="16"/>
      <c r="L851" s="16"/>
      <c r="M851" s="16"/>
      <c r="N851" s="16">
        <f t="shared" ref="N851" si="4029">SUM(D845:D851)</f>
        <v>399611</v>
      </c>
      <c r="O851" s="16">
        <f t="shared" ref="O851" si="4030">+H851/BW851</f>
        <v>91625.064133016625</v>
      </c>
      <c r="P851" s="41"/>
      <c r="Q851" s="17">
        <f t="shared" ref="Q851" si="4031">SUM(D845:D851)</f>
        <v>399611</v>
      </c>
      <c r="R851" s="16"/>
      <c r="S851" s="60">
        <f t="shared" ref="S851" si="4032">+(Q851-Q844)/Q844</f>
        <v>-0.12250934339330964</v>
      </c>
      <c r="T851" s="16"/>
      <c r="U851" s="41"/>
      <c r="V851" s="10">
        <f t="shared" si="558"/>
        <v>743</v>
      </c>
      <c r="W851" s="34">
        <v>42</v>
      </c>
      <c r="X851" s="33">
        <v>4256</v>
      </c>
      <c r="Y851" s="33"/>
      <c r="Z851" s="33">
        <f t="shared" ref="Z851" si="4033">SUM(W846:W851)</f>
        <v>1194</v>
      </c>
      <c r="AA851" s="33">
        <f t="shared" ref="AA851" si="4034">+AA850+W851</f>
        <v>904722</v>
      </c>
      <c r="AB851" s="33"/>
      <c r="AC851" s="46">
        <f t="shared" ref="AC851" si="4035">+AA851/H851</f>
        <v>1.1727049761197601E-2</v>
      </c>
      <c r="AD851" s="33"/>
      <c r="AE851" s="33">
        <f t="shared" ref="AE851" si="4036">+AA851/BW851</f>
        <v>1074.4916864608076</v>
      </c>
      <c r="AF851" s="50"/>
      <c r="AG851" s="33"/>
      <c r="AH851" s="33"/>
      <c r="AI851" s="213"/>
      <c r="AJ851" s="50"/>
      <c r="AL851" s="23">
        <f t="shared" ref="AL851" si="4037">+AP851-AP850</f>
        <v>50696</v>
      </c>
      <c r="AM851" s="24"/>
      <c r="AN851" s="24"/>
      <c r="AO851" s="24">
        <v>178263</v>
      </c>
      <c r="AP851" s="24">
        <v>85766711</v>
      </c>
      <c r="AQ851" s="24">
        <v>20336656</v>
      </c>
      <c r="AR851" s="461">
        <f t="shared" ref="AR851" si="4038">+AL851/AP850</f>
        <v>5.9144140100306805E-4</v>
      </c>
      <c r="AS851" s="25"/>
      <c r="AT851" s="25"/>
      <c r="AU851" s="24"/>
      <c r="AV851" s="298">
        <f t="shared" ref="AV851" si="4039">+AP851/H851</f>
        <v>1.1117122030317088</v>
      </c>
      <c r="AW851" s="298"/>
      <c r="AX851" s="24">
        <f t="shared" ref="AX851" si="4040">+AP851/BW851</f>
        <v>101860.70190023753</v>
      </c>
      <c r="AY851" s="308"/>
      <c r="BA851" s="65">
        <f t="shared" ref="BA851" si="4041">+BC851-BC850</f>
        <v>164547</v>
      </c>
      <c r="BB851" s="66"/>
      <c r="BC851" s="66">
        <v>1056959080</v>
      </c>
      <c r="BD851" s="66"/>
      <c r="BE851" s="66">
        <f t="shared" ref="BE851" si="4042">+D851</f>
        <v>31114</v>
      </c>
      <c r="BF851" s="66"/>
      <c r="BG851" s="144">
        <f t="shared" ref="BG851" si="4043">+BE851/BA851</f>
        <v>0.18908883176235361</v>
      </c>
      <c r="BH851" s="66"/>
      <c r="BI851" s="170"/>
      <c r="BJ851" s="66"/>
      <c r="BK851" s="66"/>
      <c r="BL851" s="66"/>
      <c r="BM851" s="144"/>
      <c r="BN851" s="65">
        <f t="shared" ref="BN851" si="4044">+BC851/BW851</f>
        <v>1255295.8194774347</v>
      </c>
      <c r="BO851" s="66"/>
      <c r="BP851" s="66">
        <f t="shared" ref="BP851" si="4045">+BP850+BE851</f>
        <v>76241326</v>
      </c>
      <c r="BQ851" s="66"/>
      <c r="BR851" s="435">
        <f t="shared" ref="BR851" si="4046">+BP851/BC851</f>
        <v>7.2132713028019962E-2</v>
      </c>
      <c r="BS851" s="66"/>
      <c r="BT851" s="75"/>
      <c r="BU851" s="170"/>
      <c r="BV851" s="1"/>
      <c r="BW851" s="61">
        <f t="shared" si="1544"/>
        <v>842</v>
      </c>
      <c r="BY851" s="59"/>
    </row>
    <row r="852" spans="2:85" x14ac:dyDescent="0.75">
      <c r="B852" s="347">
        <f t="shared" si="3706"/>
        <v>44752</v>
      </c>
      <c r="C852" s="61"/>
      <c r="D852" s="17">
        <v>23939</v>
      </c>
      <c r="E852" s="16"/>
      <c r="F852" s="16"/>
      <c r="G852" s="16"/>
      <c r="H852" s="16">
        <f t="shared" ref="H852" si="4047">+H851+D852</f>
        <v>77172243</v>
      </c>
      <c r="I852" s="16"/>
      <c r="J852" s="436">
        <f t="shared" ref="J852" si="4048">+D852/H851</f>
        <v>3.102984610005166E-4</v>
      </c>
      <c r="K852" s="16"/>
      <c r="L852" s="16"/>
      <c r="M852" s="16"/>
      <c r="N852" s="16">
        <f t="shared" ref="N852" si="4049">SUM(D846:D852)</f>
        <v>413456</v>
      </c>
      <c r="O852" s="16">
        <f t="shared" ref="O852" si="4050">+H852/BW852</f>
        <v>91544.772241992876</v>
      </c>
      <c r="P852" s="41"/>
      <c r="Q852" s="17">
        <f t="shared" ref="Q852" si="4051">SUM(D846:D852)</f>
        <v>413456</v>
      </c>
      <c r="R852" s="16"/>
      <c r="S852" s="60">
        <f t="shared" ref="S852" si="4052">+(Q852-Q845)/Q845</f>
        <v>-7.1325730945551655E-2</v>
      </c>
      <c r="T852" s="16"/>
      <c r="U852" s="41"/>
      <c r="V852" s="10">
        <f t="shared" si="558"/>
        <v>744</v>
      </c>
      <c r="W852" s="34">
        <v>10</v>
      </c>
      <c r="X852" s="33">
        <v>4256</v>
      </c>
      <c r="Y852" s="33"/>
      <c r="Z852" s="33">
        <f t="shared" ref="Z852" si="4053">SUM(W847:W852)</f>
        <v>1166</v>
      </c>
      <c r="AA852" s="33">
        <f t="shared" ref="AA852" si="4054">+AA851+W852</f>
        <v>904732</v>
      </c>
      <c r="AB852" s="33"/>
      <c r="AC852" s="46">
        <f t="shared" ref="AC852" si="4055">+AA852/H852</f>
        <v>1.1723541584763839E-2</v>
      </c>
      <c r="AD852" s="33"/>
      <c r="AE852" s="33">
        <f t="shared" ref="AE852" si="4056">+AA852/BW852</f>
        <v>1073.2289442467379</v>
      </c>
      <c r="AF852" s="50"/>
      <c r="AG852" s="33"/>
      <c r="AH852" s="33"/>
      <c r="AI852" s="213"/>
      <c r="AJ852" s="50"/>
      <c r="AL852" s="23">
        <f t="shared" ref="AL852" si="4057">+AP852-AP851</f>
        <v>22847</v>
      </c>
      <c r="AM852" s="24"/>
      <c r="AN852" s="24"/>
      <c r="AO852" s="24">
        <v>178263</v>
      </c>
      <c r="AP852" s="24">
        <v>85789558</v>
      </c>
      <c r="AQ852" s="24">
        <v>20336656</v>
      </c>
      <c r="AR852" s="461">
        <f t="shared" ref="AR852" si="4058">+AL852/AP851</f>
        <v>2.6638540447237156E-4</v>
      </c>
      <c r="AS852" s="25"/>
      <c r="AT852" s="25"/>
      <c r="AU852" s="24"/>
      <c r="AV852" s="298">
        <f t="shared" ref="AV852" si="4059">+AP852/H852</f>
        <v>1.1116633994945566</v>
      </c>
      <c r="AW852" s="298"/>
      <c r="AX852" s="24">
        <f t="shared" ref="AX852" si="4060">+AP852/BW852</f>
        <v>101766.97271648873</v>
      </c>
      <c r="AY852" s="308"/>
      <c r="BA852" s="65">
        <f t="shared" ref="BA852" si="4061">+BC852-BC851</f>
        <v>150891</v>
      </c>
      <c r="BB852" s="66"/>
      <c r="BC852" s="66">
        <v>1057109971</v>
      </c>
      <c r="BD852" s="66"/>
      <c r="BE852" s="66">
        <f t="shared" ref="BE852" si="4062">+D852</f>
        <v>23939</v>
      </c>
      <c r="BF852" s="66"/>
      <c r="BG852" s="144">
        <f t="shared" ref="BG852" si="4063">+BE852/BA852</f>
        <v>0.15865094670987667</v>
      </c>
      <c r="BH852" s="66"/>
      <c r="BI852" s="170"/>
      <c r="BJ852" s="66"/>
      <c r="BK852" s="66"/>
      <c r="BL852" s="66"/>
      <c r="BM852" s="144"/>
      <c r="BN852" s="65">
        <f t="shared" ref="BN852" si="4064">+BC852/BW852</f>
        <v>1253985.7307236062</v>
      </c>
      <c r="BO852" s="66"/>
      <c r="BP852" s="66">
        <f t="shared" ref="BP852" si="4065">+BP851+BE852</f>
        <v>76265265</v>
      </c>
      <c r="BQ852" s="66"/>
      <c r="BR852" s="435">
        <f t="shared" ref="BR852" si="4066">+BP852/BC852</f>
        <v>7.2145062568897106E-2</v>
      </c>
      <c r="BS852" s="66"/>
      <c r="BT852" s="75"/>
      <c r="BU852" s="170"/>
      <c r="BV852" s="1"/>
      <c r="BW852" s="61">
        <f t="shared" si="1544"/>
        <v>843</v>
      </c>
      <c r="BY852" s="59"/>
    </row>
    <row r="853" spans="2:85" x14ac:dyDescent="0.75">
      <c r="B853" s="158">
        <f t="shared" si="3706"/>
        <v>44753</v>
      </c>
      <c r="C853" s="61"/>
      <c r="D853" s="17">
        <v>57970</v>
      </c>
      <c r="E853" s="16"/>
      <c r="F853" s="16"/>
      <c r="G853" s="16"/>
      <c r="H853" s="16">
        <f t="shared" ref="H853" si="4067">+H852+D853</f>
        <v>77230213</v>
      </c>
      <c r="I853" s="16"/>
      <c r="J853" s="436">
        <f t="shared" ref="J853" si="4068">+D853/H852</f>
        <v>7.5117681884664153E-4</v>
      </c>
      <c r="K853" s="16"/>
      <c r="L853" s="16"/>
      <c r="M853" s="16"/>
      <c r="N853" s="16">
        <f t="shared" ref="N853" si="4069">SUM(D847:D853)</f>
        <v>458109</v>
      </c>
      <c r="O853" s="16">
        <f t="shared" ref="O853" si="4070">+H853/BW853</f>
        <v>91504.991706161134</v>
      </c>
      <c r="P853" s="41"/>
      <c r="Q853" s="17">
        <f t="shared" ref="Q853" si="4071">SUM(D847:D853)</f>
        <v>458109</v>
      </c>
      <c r="R853" s="16"/>
      <c r="S853" s="60">
        <f t="shared" ref="S853" si="4072">+(Q853-Q846)/Q846</f>
        <v>0.128</v>
      </c>
      <c r="T853" s="16"/>
      <c r="U853" s="41"/>
      <c r="V853" s="10">
        <f t="shared" si="558"/>
        <v>745</v>
      </c>
      <c r="W853" s="34">
        <v>122</v>
      </c>
      <c r="X853" s="33">
        <v>4256</v>
      </c>
      <c r="Y853" s="33"/>
      <c r="Z853" s="33">
        <f t="shared" ref="Z853" si="4073">SUM(W848:W853)</f>
        <v>1144</v>
      </c>
      <c r="AA853" s="33">
        <f t="shared" ref="AA853" si="4074">+AA852+W853</f>
        <v>904854</v>
      </c>
      <c r="AB853" s="33"/>
      <c r="AC853" s="46">
        <f t="shared" ref="AC853" si="4075">+AA853/H853</f>
        <v>1.1716321434980375E-2</v>
      </c>
      <c r="AD853" s="33"/>
      <c r="AE853" s="33">
        <f t="shared" ref="AE853" si="4076">+AA853/BW853</f>
        <v>1072.1018957345971</v>
      </c>
      <c r="AF853" s="50"/>
      <c r="AG853" s="33"/>
      <c r="AH853" s="33"/>
      <c r="AI853" s="213"/>
      <c r="AJ853" s="50"/>
      <c r="AL853" s="23">
        <f t="shared" ref="AL853" si="4077">+AP853-AP852</f>
        <v>236883</v>
      </c>
      <c r="AM853" s="24"/>
      <c r="AN853" s="24"/>
      <c r="AO853" s="24">
        <v>178263</v>
      </c>
      <c r="AP853" s="24">
        <v>86026441</v>
      </c>
      <c r="AQ853" s="24">
        <v>20336656</v>
      </c>
      <c r="AR853" s="461">
        <f t="shared" ref="AR853" si="4078">+AL853/AP852</f>
        <v>2.7612101696572445E-3</v>
      </c>
      <c r="AS853" s="25"/>
      <c r="AT853" s="25"/>
      <c r="AU853" s="24"/>
      <c r="AV853" s="298">
        <f t="shared" ref="AV853" si="4079">+AP853/H853</f>
        <v>1.1138962027723529</v>
      </c>
      <c r="AW853" s="298"/>
      <c r="AX853" s="24">
        <f t="shared" ref="AX853" si="4080">+AP853/BW853</f>
        <v>101927.06279620853</v>
      </c>
      <c r="AY853" s="308"/>
      <c r="BA853" s="65">
        <f t="shared" ref="BA853" si="4081">+BC853-BC852</f>
        <v>574238</v>
      </c>
      <c r="BB853" s="66"/>
      <c r="BC853" s="66">
        <v>1057684209</v>
      </c>
      <c r="BD853" s="66"/>
      <c r="BE853" s="66">
        <f t="shared" ref="BE853" si="4082">+D853</f>
        <v>57970</v>
      </c>
      <c r="BF853" s="66"/>
      <c r="BG853" s="144">
        <f t="shared" ref="BG853" si="4083">+BE853/BA853</f>
        <v>0.10095117355521578</v>
      </c>
      <c r="BH853" s="66"/>
      <c r="BI853" s="170"/>
      <c r="BJ853" s="66"/>
      <c r="BK853" s="66"/>
      <c r="BL853" s="66"/>
      <c r="BM853" s="144"/>
      <c r="BN853" s="65">
        <f t="shared" ref="BN853" si="4084">+BC853/BW853</f>
        <v>1253180.3424170616</v>
      </c>
      <c r="BO853" s="66"/>
      <c r="BP853" s="66">
        <f t="shared" ref="BP853" si="4085">+BP852+BE853</f>
        <v>76323235</v>
      </c>
      <c r="BQ853" s="66"/>
      <c r="BR853" s="435">
        <f t="shared" ref="BR853" si="4086">+BP853/BC853</f>
        <v>7.2160701985104519E-2</v>
      </c>
      <c r="BS853" s="66"/>
      <c r="BT853" s="75"/>
      <c r="BU853" s="170"/>
      <c r="BV853" s="1"/>
      <c r="BW853" s="61">
        <f t="shared" si="1544"/>
        <v>844</v>
      </c>
      <c r="BY853" s="59"/>
    </row>
    <row r="854" spans="2:85" x14ac:dyDescent="0.75">
      <c r="B854" s="158">
        <f t="shared" si="3706"/>
        <v>44754</v>
      </c>
      <c r="C854" s="61"/>
      <c r="D854" s="17">
        <v>95342</v>
      </c>
      <c r="E854" s="16"/>
      <c r="F854" s="16"/>
      <c r="G854" s="16"/>
      <c r="H854" s="16">
        <f t="shared" ref="H854" si="4087">+H853+D854</f>
        <v>77325555</v>
      </c>
      <c r="I854" s="16"/>
      <c r="J854" s="436">
        <f t="shared" ref="J854" si="4088">+D854/H853</f>
        <v>1.234516859353994E-3</v>
      </c>
      <c r="K854" s="16"/>
      <c r="L854" s="16"/>
      <c r="M854" s="16"/>
      <c r="N854" s="16">
        <f t="shared" ref="N854" si="4089">SUM(D848:D854)</f>
        <v>507766</v>
      </c>
      <c r="O854" s="16">
        <f t="shared" ref="O854" si="4090">+H854/BW854</f>
        <v>91509.532544378701</v>
      </c>
      <c r="P854" s="41"/>
      <c r="Q854" s="17">
        <f t="shared" ref="Q854" si="4091">SUM(D848:D854)</f>
        <v>507766</v>
      </c>
      <c r="R854" s="16"/>
      <c r="S854" s="60">
        <f t="shared" ref="S854" si="4092">+(Q854-Q847)/Q847</f>
        <v>0.35998307272834407</v>
      </c>
      <c r="T854" s="16"/>
      <c r="U854" s="41"/>
      <c r="V854" s="10">
        <f t="shared" si="558"/>
        <v>746</v>
      </c>
      <c r="W854" s="34">
        <v>254</v>
      </c>
      <c r="X854" s="33">
        <v>4256</v>
      </c>
      <c r="Y854" s="33"/>
      <c r="Z854" s="33">
        <f t="shared" ref="Z854" si="4093">SUM(W849:W854)</f>
        <v>1051</v>
      </c>
      <c r="AA854" s="33">
        <f t="shared" ref="AA854" si="4094">+AA853+W854</f>
        <v>905108</v>
      </c>
      <c r="AB854" s="33"/>
      <c r="AC854" s="46">
        <f t="shared" ref="AC854" si="4095">+AA854/H854</f>
        <v>1.1705160085821563E-2</v>
      </c>
      <c r="AD854" s="33"/>
      <c r="AE854" s="33">
        <f t="shared" ref="AE854" si="4096">+AA854/BW854</f>
        <v>1071.133727810651</v>
      </c>
      <c r="AF854" s="50"/>
      <c r="AG854" s="33"/>
      <c r="AH854" s="33"/>
      <c r="AI854" s="213"/>
      <c r="AJ854" s="50"/>
      <c r="AL854" s="23">
        <f t="shared" ref="AL854" si="4097">+AP854-AP853</f>
        <v>111105</v>
      </c>
      <c r="AM854" s="24"/>
      <c r="AN854" s="24"/>
      <c r="AO854" s="24">
        <v>178263</v>
      </c>
      <c r="AP854" s="24">
        <v>86137546</v>
      </c>
      <c r="AQ854" s="24">
        <v>20336656</v>
      </c>
      <c r="AR854" s="461">
        <f t="shared" ref="AR854" si="4098">+AL854/AP853</f>
        <v>1.2915215218539612E-3</v>
      </c>
      <c r="AS854" s="25"/>
      <c r="AT854" s="25"/>
      <c r="AU854" s="24"/>
      <c r="AV854" s="298">
        <f t="shared" ref="AV854" si="4099">+AP854/H854</f>
        <v>1.1139596217576453</v>
      </c>
      <c r="AW854" s="298"/>
      <c r="AX854" s="24">
        <f t="shared" ref="AX854" si="4100">+AP854/BW854</f>
        <v>101937.92426035502</v>
      </c>
      <c r="AY854" s="308"/>
      <c r="BA854" s="65">
        <f t="shared" ref="BA854" si="4101">+BC854-BC853</f>
        <v>602969</v>
      </c>
      <c r="BB854" s="66"/>
      <c r="BC854" s="66">
        <v>1058287178</v>
      </c>
      <c r="BD854" s="66"/>
      <c r="BE854" s="66">
        <f t="shared" ref="BE854" si="4102">+D854</f>
        <v>95342</v>
      </c>
      <c r="BF854" s="66"/>
      <c r="BG854" s="144">
        <f t="shared" ref="BG854" si="4103">+BE854/BA854</f>
        <v>0.15812089842098018</v>
      </c>
      <c r="BH854" s="66"/>
      <c r="BI854" s="170"/>
      <c r="BJ854" s="66"/>
      <c r="BK854" s="66"/>
      <c r="BL854" s="66"/>
      <c r="BM854" s="144"/>
      <c r="BN854" s="65">
        <f t="shared" ref="BN854" si="4104">+BC854/BW854</f>
        <v>1252410.8615384616</v>
      </c>
      <c r="BO854" s="66"/>
      <c r="BP854" s="66">
        <f t="shared" ref="BP854" si="4105">+BP853+BE854</f>
        <v>76418577</v>
      </c>
      <c r="BQ854" s="66"/>
      <c r="BR854" s="435">
        <f t="shared" ref="BR854" si="4106">+BP854/BC854</f>
        <v>7.2209678609561692E-2</v>
      </c>
      <c r="BS854" s="66"/>
      <c r="BT854" s="75"/>
      <c r="BU854" s="170"/>
      <c r="BV854" s="1"/>
      <c r="BW854" s="61">
        <f t="shared" si="1544"/>
        <v>845</v>
      </c>
      <c r="BY854" s="59"/>
    </row>
    <row r="855" spans="2:85" x14ac:dyDescent="0.75">
      <c r="B855" s="158">
        <f t="shared" si="3706"/>
        <v>44755</v>
      </c>
      <c r="C855" s="61"/>
      <c r="D855" s="17">
        <v>107981</v>
      </c>
      <c r="E855" s="16"/>
      <c r="F855" s="16"/>
      <c r="G855" s="16"/>
      <c r="H855" s="16">
        <f t="shared" ref="H855" si="4107">+H854+D855</f>
        <v>77433536</v>
      </c>
      <c r="I855" s="16"/>
      <c r="J855" s="436">
        <f t="shared" ref="J855" si="4108">+D855/H854</f>
        <v>1.3964464917193289E-3</v>
      </c>
      <c r="K855" s="16"/>
      <c r="L855" s="16"/>
      <c r="M855" s="16"/>
      <c r="N855" s="16">
        <f t="shared" ref="N855" si="4109">SUM(D849:D855)</f>
        <v>515795</v>
      </c>
      <c r="O855" s="16">
        <f t="shared" ref="O855" si="4110">+H855/BW855</f>
        <v>91529.002364066197</v>
      </c>
      <c r="P855" s="41"/>
      <c r="Q855" s="17">
        <f t="shared" ref="Q855" si="4111">SUM(D849:D855)</f>
        <v>515795</v>
      </c>
      <c r="R855" s="16"/>
      <c r="S855" s="60">
        <f t="shared" ref="S855" si="4112">+(Q855-Q848)/Q848</f>
        <v>0.38261713357476201</v>
      </c>
      <c r="T855" s="16"/>
      <c r="U855" s="41"/>
      <c r="V855" s="10">
        <f t="shared" si="558"/>
        <v>747</v>
      </c>
      <c r="W855" s="34">
        <v>407</v>
      </c>
      <c r="X855" s="33">
        <v>4256</v>
      </c>
      <c r="Y855" s="33"/>
      <c r="Z855" s="33">
        <f t="shared" ref="Z855" si="4113">SUM(W850:W855)</f>
        <v>1138</v>
      </c>
      <c r="AA855" s="33">
        <f t="shared" ref="AA855" si="4114">+AA854+W855</f>
        <v>905515</v>
      </c>
      <c r="AB855" s="33"/>
      <c r="AC855" s="46">
        <f t="shared" ref="AC855" si="4115">+AA855/H855</f>
        <v>1.1694093370603661E-2</v>
      </c>
      <c r="AD855" s="33"/>
      <c r="AE855" s="33">
        <f t="shared" ref="AE855" si="4116">+AA855/BW855</f>
        <v>1070.3486997635935</v>
      </c>
      <c r="AF855" s="50"/>
      <c r="AG855" s="33"/>
      <c r="AH855" s="33"/>
      <c r="AI855" s="213"/>
      <c r="AJ855" s="50"/>
      <c r="AL855" s="23">
        <f t="shared" ref="AL855" si="4117">+AP855-AP854</f>
        <v>112779</v>
      </c>
      <c r="AM855" s="24"/>
      <c r="AN855" s="24"/>
      <c r="AO855" s="24">
        <v>178263</v>
      </c>
      <c r="AP855" s="24">
        <v>86250325</v>
      </c>
      <c r="AQ855" s="24">
        <v>20336656</v>
      </c>
      <c r="AR855" s="461">
        <f t="shared" ref="AR855" si="4118">+AL855/AP854</f>
        <v>1.3092896795550688E-3</v>
      </c>
      <c r="AS855" s="25"/>
      <c r="AT855" s="25"/>
      <c r="AU855" s="24"/>
      <c r="AV855" s="298">
        <f t="shared" ref="AV855" si="4119">+AP855/H855</f>
        <v>1.1138626679788974</v>
      </c>
      <c r="AW855" s="298"/>
      <c r="AX855" s="24">
        <f t="shared" ref="AX855" si="4120">+AP855/BW855</f>
        <v>101950.73877068558</v>
      </c>
      <c r="AY855" s="308"/>
      <c r="BA855" s="65">
        <f t="shared" ref="BA855" si="4121">+BC855-BC854</f>
        <v>809682</v>
      </c>
      <c r="BB855" s="66"/>
      <c r="BC855" s="66">
        <v>1059096860</v>
      </c>
      <c r="BD855" s="66"/>
      <c r="BE855" s="66">
        <f t="shared" ref="BE855" si="4122">+D855</f>
        <v>107981</v>
      </c>
      <c r="BF855" s="66"/>
      <c r="BG855" s="144">
        <f t="shared" ref="BG855" si="4123">+BE855/BA855</f>
        <v>0.13336223356824037</v>
      </c>
      <c r="BH855" s="66"/>
      <c r="BI855" s="170"/>
      <c r="BJ855" s="66"/>
      <c r="BK855" s="66"/>
      <c r="BL855" s="66"/>
      <c r="BM855" s="144"/>
      <c r="BN855" s="65">
        <f t="shared" ref="BN855" si="4124">+BC855/BW855</f>
        <v>1251887.5413711583</v>
      </c>
      <c r="BO855" s="66"/>
      <c r="BP855" s="66">
        <f t="shared" ref="BP855" si="4125">+BP854+BE855</f>
        <v>76526558</v>
      </c>
      <c r="BQ855" s="66"/>
      <c r="BR855" s="435">
        <f t="shared" ref="BR855" si="4126">+BP855/BC855</f>
        <v>7.225642987932189E-2</v>
      </c>
      <c r="BS855" s="66"/>
      <c r="BT855" s="75"/>
      <c r="BU855" s="170"/>
      <c r="BV855" s="1"/>
      <c r="BW855" s="61">
        <f t="shared" si="1544"/>
        <v>846</v>
      </c>
      <c r="BY855" s="59"/>
    </row>
    <row r="856" spans="2:85" x14ac:dyDescent="0.75">
      <c r="B856" s="158">
        <f t="shared" si="3706"/>
        <v>44756</v>
      </c>
      <c r="C856" s="61"/>
      <c r="D856" s="17">
        <v>95400</v>
      </c>
      <c r="E856" s="16"/>
      <c r="F856" s="16"/>
      <c r="G856" s="16"/>
      <c r="H856" s="16">
        <f t="shared" ref="H856" si="4127">+H855+D856</f>
        <v>77528936</v>
      </c>
      <c r="I856" s="16"/>
      <c r="J856" s="436">
        <f t="shared" ref="J856" si="4128">+D856/H855</f>
        <v>1.2320243259974592E-3</v>
      </c>
      <c r="K856" s="16"/>
      <c r="L856" s="16"/>
      <c r="M856" s="16"/>
      <c r="N856" s="16">
        <f t="shared" ref="N856" si="4129">SUM(D850:D856)</f>
        <v>519723</v>
      </c>
      <c r="O856" s="16">
        <f t="shared" ref="O856" si="4130">+H856/BW856</f>
        <v>91533.572609208975</v>
      </c>
      <c r="P856" s="41"/>
      <c r="Q856" s="17">
        <f t="shared" ref="Q856" si="4131">SUM(D850:D856)</f>
        <v>519723</v>
      </c>
      <c r="R856" s="16"/>
      <c r="S856" s="60">
        <f t="shared" ref="S856" si="4132">+(Q856-Q849)/Q849</f>
        <v>0.37292004025856351</v>
      </c>
      <c r="T856" s="16"/>
      <c r="U856" s="41"/>
      <c r="V856" s="10">
        <f t="shared" si="558"/>
        <v>748</v>
      </c>
      <c r="W856" s="34">
        <v>231</v>
      </c>
      <c r="X856" s="33">
        <v>4256</v>
      </c>
      <c r="Y856" s="33"/>
      <c r="Z856" s="33">
        <f t="shared" ref="Z856" si="4133">SUM(W851:W856)</f>
        <v>1066</v>
      </c>
      <c r="AA856" s="33">
        <f t="shared" ref="AA856" si="4134">+AA855+W856</f>
        <v>905746</v>
      </c>
      <c r="AB856" s="33"/>
      <c r="AC856" s="46">
        <f t="shared" ref="AC856" si="4135">+AA856/H856</f>
        <v>1.1682683224235142E-2</v>
      </c>
      <c r="AD856" s="33"/>
      <c r="AE856" s="33">
        <f t="shared" ref="AE856" si="4136">+AA856/BW856</f>
        <v>1069.357733175915</v>
      </c>
      <c r="AF856" s="50"/>
      <c r="AG856" s="33"/>
      <c r="AH856" s="33"/>
      <c r="AI856" s="213"/>
      <c r="AJ856" s="50"/>
      <c r="AL856" s="23">
        <f t="shared" ref="AL856" si="4137">+AP856-AP855</f>
        <v>121616</v>
      </c>
      <c r="AM856" s="24"/>
      <c r="AN856" s="24"/>
      <c r="AO856" s="24">
        <v>178263</v>
      </c>
      <c r="AP856" s="24">
        <v>86371941</v>
      </c>
      <c r="AQ856" s="24">
        <v>20336656</v>
      </c>
      <c r="AR856" s="461">
        <f t="shared" ref="AR856" si="4138">+AL856/AP855</f>
        <v>1.4100352665337784E-3</v>
      </c>
      <c r="AS856" s="25"/>
      <c r="AT856" s="25"/>
      <c r="AU856" s="24"/>
      <c r="AV856" s="298">
        <f t="shared" ref="AV856" si="4139">+AP856/H856</f>
        <v>1.1140607037351835</v>
      </c>
      <c r="AW856" s="298"/>
      <c r="AX856" s="24">
        <f t="shared" ref="AX856" si="4140">+AP856/BW856</f>
        <v>101973.95631641085</v>
      </c>
      <c r="AY856" s="308"/>
      <c r="BA856" s="65">
        <f t="shared" ref="BA856" si="4141">+BC856-BC855</f>
        <v>523812</v>
      </c>
      <c r="BB856" s="66"/>
      <c r="BC856" s="66">
        <v>1059620672</v>
      </c>
      <c r="BD856" s="66"/>
      <c r="BE856" s="66">
        <f t="shared" ref="BE856" si="4142">+D856</f>
        <v>95400</v>
      </c>
      <c r="BF856" s="66"/>
      <c r="BG856" s="144">
        <f t="shared" ref="BG856" si="4143">+BE856/BA856</f>
        <v>0.18212641176605346</v>
      </c>
      <c r="BH856" s="66"/>
      <c r="BI856" s="170"/>
      <c r="BJ856" s="66"/>
      <c r="BK856" s="66"/>
      <c r="BL856" s="66"/>
      <c r="BM856" s="144"/>
      <c r="BN856" s="65">
        <f t="shared" ref="BN856" si="4144">+BC856/BW856</f>
        <v>1251027.9480519481</v>
      </c>
      <c r="BO856" s="66"/>
      <c r="BP856" s="66">
        <f t="shared" ref="BP856" si="4145">+BP855+BE856</f>
        <v>76621958</v>
      </c>
      <c r="BQ856" s="66"/>
      <c r="BR856" s="435">
        <f t="shared" ref="BR856" si="4146">+BP856/BC856</f>
        <v>7.231074291461162E-2</v>
      </c>
      <c r="BS856" s="66"/>
      <c r="BT856" s="75"/>
      <c r="BU856" s="170"/>
      <c r="BV856" s="1"/>
      <c r="BW856" s="61">
        <f t="shared" si="1544"/>
        <v>847</v>
      </c>
      <c r="BY856" s="59"/>
    </row>
    <row r="857" spans="2:85" x14ac:dyDescent="0.75">
      <c r="B857" s="158">
        <f t="shared" si="3706"/>
        <v>44757</v>
      </c>
      <c r="C857" s="61"/>
      <c r="D857" s="17">
        <v>94037</v>
      </c>
      <c r="E857" s="16"/>
      <c r="F857" s="16"/>
      <c r="G857" s="16"/>
      <c r="H857" s="16">
        <f t="shared" ref="H857" si="4147">+H856+D857</f>
        <v>77622973</v>
      </c>
      <c r="I857" s="16"/>
      <c r="J857" s="436">
        <f t="shared" ref="J857" si="4148">+D857/H856</f>
        <v>1.2129277770560401E-3</v>
      </c>
      <c r="K857" s="16"/>
      <c r="L857" s="16"/>
      <c r="M857" s="16"/>
      <c r="N857" s="16">
        <f t="shared" ref="N857" si="4149">SUM(D851:D857)</f>
        <v>505783</v>
      </c>
      <c r="O857" s="16">
        <f t="shared" ref="O857" si="4150">+H857/BW857</f>
        <v>91536.524764150949</v>
      </c>
      <c r="P857" s="41"/>
      <c r="Q857" s="17">
        <f t="shared" ref="Q857" si="4151">SUM(D851:D857)</f>
        <v>505783</v>
      </c>
      <c r="R857" s="16"/>
      <c r="S857" s="60">
        <f t="shared" ref="S857" si="4152">+(Q857-Q850)/Q850</f>
        <v>0.31802877975306326</v>
      </c>
      <c r="T857" s="16"/>
      <c r="U857" s="41"/>
      <c r="V857" s="10">
        <f t="shared" si="558"/>
        <v>749</v>
      </c>
      <c r="W857" s="34">
        <v>207</v>
      </c>
      <c r="X857" s="33">
        <v>4256</v>
      </c>
      <c r="Y857" s="33"/>
      <c r="Z857" s="33">
        <f t="shared" ref="Z857" si="4153">SUM(W852:W857)</f>
        <v>1231</v>
      </c>
      <c r="AA857" s="33">
        <f t="shared" ref="AA857" si="4154">+AA856+W857</f>
        <v>905953</v>
      </c>
      <c r="AB857" s="33"/>
      <c r="AC857" s="46">
        <f t="shared" ref="AC857" si="4155">+AA857/H857</f>
        <v>1.1671196876213437E-2</v>
      </c>
      <c r="AD857" s="33"/>
      <c r="AE857" s="33">
        <f t="shared" ref="AE857" si="4156">+AA857/BW857</f>
        <v>1068.3408018867924</v>
      </c>
      <c r="AF857" s="50"/>
      <c r="AG857" s="33"/>
      <c r="AH857" s="33"/>
      <c r="AI857" s="213"/>
      <c r="AJ857" s="50"/>
      <c r="AL857" s="23">
        <f t="shared" ref="AL857" si="4157">+AP857-AP856</f>
        <v>96077</v>
      </c>
      <c r="AM857" s="24"/>
      <c r="AN857" s="24"/>
      <c r="AO857" s="24">
        <v>178263</v>
      </c>
      <c r="AP857" s="24">
        <v>86468018</v>
      </c>
      <c r="AQ857" s="24">
        <v>20336656</v>
      </c>
      <c r="AR857" s="461">
        <f t="shared" ref="AR857" si="4158">+AL857/AP856</f>
        <v>1.1123635626065183E-3</v>
      </c>
      <c r="AS857" s="25"/>
      <c r="AT857" s="25"/>
      <c r="AU857" s="24"/>
      <c r="AV857" s="298">
        <f t="shared" ref="AV857" si="4159">+AP857/H857</f>
        <v>1.1139488048209645</v>
      </c>
      <c r="AW857" s="298"/>
      <c r="AX857" s="24">
        <f t="shared" ref="AX857" si="4160">+AP857/BW857</f>
        <v>101967.00235849057</v>
      </c>
      <c r="AY857" s="308"/>
      <c r="BA857" s="65">
        <f t="shared" ref="BA857" si="4161">+BC857-BC856</f>
        <v>447988</v>
      </c>
      <c r="BB857" s="66"/>
      <c r="BC857" s="66">
        <v>1060068660</v>
      </c>
      <c r="BD857" s="66"/>
      <c r="BE857" s="66">
        <f t="shared" ref="BE857" si="4162">+D857</f>
        <v>94037</v>
      </c>
      <c r="BF857" s="66"/>
      <c r="BG857" s="144">
        <f t="shared" ref="BG857" si="4163">+BE857/BA857</f>
        <v>0.20990964043679741</v>
      </c>
      <c r="BH857" s="66"/>
      <c r="BI857" s="170"/>
      <c r="BJ857" s="66"/>
      <c r="BK857" s="66"/>
      <c r="BL857" s="66"/>
      <c r="BM857" s="144"/>
      <c r="BN857" s="65">
        <f t="shared" ref="BN857" si="4164">+BC857/BW857</f>
        <v>1250080.966981132</v>
      </c>
      <c r="BO857" s="66"/>
      <c r="BP857" s="66">
        <f t="shared" ref="BP857" si="4165">+BP856+BE857</f>
        <v>76715995</v>
      </c>
      <c r="BQ857" s="66"/>
      <c r="BR857" s="435">
        <f t="shared" ref="BR857" si="4166">+BP857/BC857</f>
        <v>7.2368892596070142E-2</v>
      </c>
      <c r="BS857" s="66"/>
      <c r="BT857" s="75"/>
      <c r="BU857" s="170"/>
      <c r="BV857" s="1"/>
      <c r="BW857" s="61">
        <f t="shared" si="1544"/>
        <v>848</v>
      </c>
      <c r="BY857" s="59"/>
    </row>
    <row r="858" spans="2:85" x14ac:dyDescent="0.75">
      <c r="B858" s="158">
        <f t="shared" si="3706"/>
        <v>44758</v>
      </c>
      <c r="C858" s="61"/>
      <c r="D858" s="17">
        <v>27003</v>
      </c>
      <c r="E858" s="16"/>
      <c r="F858" s="16"/>
      <c r="G858" s="16"/>
      <c r="H858" s="16">
        <f t="shared" ref="H858" si="4167">+H857+D858</f>
        <v>77649976</v>
      </c>
      <c r="I858" s="16"/>
      <c r="J858" s="436">
        <f t="shared" ref="J858" si="4168">+D858/H857</f>
        <v>3.478738182316207E-4</v>
      </c>
      <c r="K858" s="16"/>
      <c r="L858" s="16"/>
      <c r="M858" s="16"/>
      <c r="N858" s="16">
        <f t="shared" ref="N858" si="4169">SUM(D852:D858)</f>
        <v>501672</v>
      </c>
      <c r="O858" s="16">
        <f t="shared" ref="O858" si="4170">+H858/BW858</f>
        <v>91460.513545347465</v>
      </c>
      <c r="P858" s="41"/>
      <c r="Q858" s="17">
        <f t="shared" ref="Q858" si="4171">SUM(D852:D858)</f>
        <v>501672</v>
      </c>
      <c r="R858" s="16"/>
      <c r="S858" s="60">
        <f t="shared" ref="S858" si="4172">+(Q858-Q851)/Q851</f>
        <v>0.25540087735322603</v>
      </c>
      <c r="T858" s="16"/>
      <c r="U858" s="41"/>
      <c r="V858" s="10">
        <f t="shared" si="558"/>
        <v>750</v>
      </c>
      <c r="W858" s="34">
        <v>54</v>
      </c>
      <c r="X858" s="33">
        <v>4256</v>
      </c>
      <c r="Y858" s="33"/>
      <c r="Z858" s="33">
        <f t="shared" ref="Z858" si="4173">SUM(W853:W858)</f>
        <v>1275</v>
      </c>
      <c r="AA858" s="33">
        <f t="shared" ref="AA858" si="4174">+AA857+W858</f>
        <v>906007</v>
      </c>
      <c r="AB858" s="33"/>
      <c r="AC858" s="46">
        <f t="shared" ref="AC858" si="4175">+AA858/H858</f>
        <v>1.1667833612723846E-2</v>
      </c>
      <c r="AD858" s="33"/>
      <c r="AE858" s="33">
        <f t="shared" ref="AE858" si="4176">+AA858/BW858</f>
        <v>1067.1460541813899</v>
      </c>
      <c r="AF858" s="50"/>
      <c r="AG858" s="33"/>
      <c r="AH858" s="33"/>
      <c r="AI858" s="213"/>
      <c r="AJ858" s="50"/>
      <c r="AL858" s="23">
        <f t="shared" ref="AL858" si="4177">+AP858-AP857</f>
        <v>93756</v>
      </c>
      <c r="AM858" s="24"/>
      <c r="AN858" s="24"/>
      <c r="AO858" s="24">
        <v>178263</v>
      </c>
      <c r="AP858" s="24">
        <v>86561774</v>
      </c>
      <c r="AQ858" s="24">
        <v>20336656</v>
      </c>
      <c r="AR858" s="461">
        <f t="shared" ref="AR858" si="4178">+AL858/AP857</f>
        <v>1.0842852903139286E-3</v>
      </c>
      <c r="AS858" s="25"/>
      <c r="AT858" s="25"/>
      <c r="AU858" s="24"/>
      <c r="AV858" s="298">
        <f t="shared" ref="AV858" si="4179">+AP858/H858</f>
        <v>1.1147688442299069</v>
      </c>
      <c r="AW858" s="298"/>
      <c r="AX858" s="24">
        <f t="shared" ref="AX858" si="4180">+AP858/BW858</f>
        <v>101957.33097762073</v>
      </c>
      <c r="AY858" s="308"/>
      <c r="BA858" s="65">
        <f t="shared" ref="BA858" si="4181">+BC858-BC857</f>
        <v>181482</v>
      </c>
      <c r="BB858" s="66"/>
      <c r="BC858" s="66">
        <v>1060250142</v>
      </c>
      <c r="BD858" s="66"/>
      <c r="BE858" s="66">
        <f t="shared" ref="BE858" si="4182">+D858</f>
        <v>27003</v>
      </c>
      <c r="BF858" s="66"/>
      <c r="BG858" s="144">
        <f t="shared" ref="BG858" si="4183">+BE858/BA858</f>
        <v>0.14879161569742455</v>
      </c>
      <c r="BH858" s="66"/>
      <c r="BI858" s="170"/>
      <c r="BJ858" s="66"/>
      <c r="BK858" s="66"/>
      <c r="BL858" s="66"/>
      <c r="BM858" s="144"/>
      <c r="BN858" s="65">
        <f t="shared" ref="BN858" si="4184">+BC858/BW858</f>
        <v>1248822.3109540637</v>
      </c>
      <c r="BO858" s="66"/>
      <c r="BP858" s="66">
        <f t="shared" ref="BP858" si="4185">+BP857+BE858</f>
        <v>76742998</v>
      </c>
      <c r="BQ858" s="66"/>
      <c r="BR858" s="435">
        <f t="shared" ref="BR858" si="4186">+BP858/BC858</f>
        <v>7.2381973800292126E-2</v>
      </c>
      <c r="BS858" s="66"/>
      <c r="BT858" s="75"/>
      <c r="BU858" s="170"/>
      <c r="BV858" s="1"/>
      <c r="BW858" s="61">
        <f t="shared" si="1544"/>
        <v>849</v>
      </c>
      <c r="BY858" s="59"/>
    </row>
    <row r="859" spans="2:85" x14ac:dyDescent="0.75">
      <c r="B859" s="347">
        <f t="shared" si="3706"/>
        <v>44759</v>
      </c>
      <c r="C859" s="61"/>
      <c r="D859" s="17">
        <v>24757</v>
      </c>
      <c r="E859" s="16"/>
      <c r="F859" s="16"/>
      <c r="G859" s="16"/>
      <c r="H859" s="16">
        <f t="shared" ref="H859" si="4187">+H858+D859</f>
        <v>77674733</v>
      </c>
      <c r="I859" s="16"/>
      <c r="J859" s="436">
        <f t="shared" ref="J859" si="4188">+D859/H858</f>
        <v>3.1882817323729761E-4</v>
      </c>
      <c r="K859" s="16"/>
      <c r="L859" s="16"/>
      <c r="M859" s="16"/>
      <c r="N859" s="16">
        <f t="shared" ref="N859" si="4189">SUM(D853:D859)</f>
        <v>502490</v>
      </c>
      <c r="O859" s="16">
        <f t="shared" ref="O859" si="4190">+H859/BW859</f>
        <v>91382.038823529409</v>
      </c>
      <c r="P859" s="41"/>
      <c r="Q859" s="17">
        <f t="shared" ref="Q859" si="4191">SUM(D853:D859)</f>
        <v>502490</v>
      </c>
      <c r="R859" s="16"/>
      <c r="S859" s="60">
        <f t="shared" ref="S859" si="4192">+(Q859-Q852)/Q852</f>
        <v>0.21534093107851862</v>
      </c>
      <c r="T859" s="16"/>
      <c r="U859" s="41"/>
      <c r="V859" s="10">
        <f t="shared" si="558"/>
        <v>751</v>
      </c>
      <c r="W859" s="34">
        <v>21</v>
      </c>
      <c r="X859" s="33">
        <v>4256</v>
      </c>
      <c r="Y859" s="33"/>
      <c r="Z859" s="33">
        <f t="shared" ref="Z859" si="4193">SUM(W854:W859)</f>
        <v>1174</v>
      </c>
      <c r="AA859" s="33">
        <f t="shared" ref="AA859" si="4194">+AA858+W859</f>
        <v>906028</v>
      </c>
      <c r="AB859" s="33"/>
      <c r="AC859" s="46">
        <f t="shared" ref="AC859" si="4195">+AA859/H859</f>
        <v>1.1664385122508242E-2</v>
      </c>
      <c r="AD859" s="33"/>
      <c r="AE859" s="33">
        <f t="shared" ref="AE859" si="4196">+AA859/BW859</f>
        <v>1065.9152941176471</v>
      </c>
      <c r="AF859" s="50"/>
      <c r="AG859" s="33"/>
      <c r="AH859" s="33"/>
      <c r="AI859" s="213"/>
      <c r="AJ859" s="50"/>
      <c r="AL859" s="23">
        <f t="shared" ref="AL859" si="4197">+AP859-AP858</f>
        <v>84446</v>
      </c>
      <c r="AM859" s="24"/>
      <c r="AN859" s="24"/>
      <c r="AO859" s="24">
        <v>178263</v>
      </c>
      <c r="AP859" s="24">
        <v>86646220</v>
      </c>
      <c r="AQ859" s="24">
        <v>20336656</v>
      </c>
      <c r="AR859" s="461">
        <f t="shared" ref="AR859" si="4198">+AL859/AP858</f>
        <v>9.7555764048920719E-4</v>
      </c>
      <c r="AS859" s="25"/>
      <c r="AT859" s="25"/>
      <c r="AU859" s="24"/>
      <c r="AV859" s="298">
        <f t="shared" ref="AV859" si="4199">+AP859/H859</f>
        <v>1.1155007124388827</v>
      </c>
      <c r="AW859" s="298"/>
      <c r="AX859" s="24">
        <f t="shared" ref="AX859" si="4200">+AP859/BW859</f>
        <v>101936.72941176471</v>
      </c>
      <c r="AY859" s="308"/>
      <c r="BA859" s="65">
        <f t="shared" ref="BA859" si="4201">+BC859-BC858</f>
        <v>139898</v>
      </c>
      <c r="BB859" s="66"/>
      <c r="BC859" s="66">
        <v>1060390040</v>
      </c>
      <c r="BD859" s="66"/>
      <c r="BE859" s="66">
        <f t="shared" ref="BE859" si="4202">+D859</f>
        <v>24757</v>
      </c>
      <c r="BF859" s="66"/>
      <c r="BG859" s="144">
        <f t="shared" ref="BG859" si="4203">+BE859/BA859</f>
        <v>0.17696464567041703</v>
      </c>
      <c r="BH859" s="66"/>
      <c r="BI859" s="170"/>
      <c r="BJ859" s="66"/>
      <c r="BK859" s="66"/>
      <c r="BL859" s="66"/>
      <c r="BM859" s="144"/>
      <c r="BN859" s="65">
        <f t="shared" ref="BN859" si="4204">+BC859/BW859</f>
        <v>1247517.6941176471</v>
      </c>
      <c r="BO859" s="66"/>
      <c r="BP859" s="66">
        <f t="shared" ref="BP859" si="4205">+BP858+BE859</f>
        <v>76767755</v>
      </c>
      <c r="BQ859" s="66"/>
      <c r="BR859" s="435">
        <f t="shared" ref="BR859" si="4206">+BP859/BC859</f>
        <v>7.2395771465375139E-2</v>
      </c>
      <c r="BS859" s="66"/>
      <c r="BT859" s="75"/>
      <c r="BU859" s="170"/>
      <c r="BV859" s="1"/>
      <c r="BW859" s="61">
        <f t="shared" si="1544"/>
        <v>850</v>
      </c>
      <c r="BY859" s="59"/>
    </row>
    <row r="860" spans="2:85" x14ac:dyDescent="0.75">
      <c r="B860" s="158">
        <f t="shared" si="3706"/>
        <v>44760</v>
      </c>
      <c r="C860" s="61"/>
      <c r="D860" s="17"/>
      <c r="E860" s="16"/>
      <c r="F860" s="16"/>
      <c r="G860" s="16"/>
      <c r="H860" s="16"/>
      <c r="I860" s="16"/>
      <c r="J860" s="436"/>
      <c r="K860" s="16"/>
      <c r="L860" s="16"/>
      <c r="M860" s="16"/>
      <c r="N860" s="16"/>
      <c r="O860" s="16"/>
      <c r="P860" s="41"/>
      <c r="Q860" s="410"/>
      <c r="R860" s="16"/>
      <c r="S860" s="60"/>
      <c r="T860" s="16"/>
      <c r="U860" s="41"/>
      <c r="V860" s="10"/>
      <c r="W860" s="34"/>
      <c r="X860" s="33"/>
      <c r="Y860" s="33"/>
      <c r="Z860" s="33"/>
      <c r="AA860" s="33"/>
      <c r="AB860" s="33"/>
      <c r="AC860" s="46"/>
      <c r="AD860" s="33"/>
      <c r="AE860" s="33"/>
      <c r="AF860" s="50"/>
      <c r="AG860" s="33"/>
      <c r="AH860" s="33"/>
      <c r="AI860" s="213"/>
      <c r="AJ860" s="50"/>
      <c r="AK860" s="10"/>
      <c r="AL860" s="23"/>
      <c r="AM860" s="24"/>
      <c r="AN860" s="24"/>
      <c r="AO860" s="24"/>
      <c r="AP860" s="24"/>
      <c r="AQ860" s="24"/>
      <c r="AR860" s="461"/>
      <c r="AS860" s="25"/>
      <c r="AT860" s="25"/>
      <c r="AU860" s="24"/>
      <c r="AV860" s="298"/>
      <c r="AW860" s="298"/>
      <c r="AX860" s="24"/>
      <c r="AY860" s="308"/>
      <c r="AZ860" s="10"/>
      <c r="BA860" s="65"/>
      <c r="BB860" s="66"/>
      <c r="BC860" s="66"/>
      <c r="BD860" s="66"/>
      <c r="BE860" s="66"/>
      <c r="BF860" s="66"/>
      <c r="BG860" s="144"/>
      <c r="BH860" s="66"/>
      <c r="BI860" s="170"/>
      <c r="BJ860" s="66"/>
      <c r="BK860" s="66"/>
      <c r="BL860" s="66"/>
      <c r="BM860" s="144"/>
      <c r="BN860" s="65"/>
      <c r="BO860" s="66"/>
      <c r="BP860" s="66"/>
      <c r="BQ860" s="66"/>
      <c r="BR860" s="435"/>
      <c r="BS860" s="66"/>
      <c r="BT860" s="75"/>
      <c r="BU860" s="170"/>
      <c r="BV860" s="1"/>
      <c r="BW860" s="61">
        <f t="shared" ref="BW859:BW861" si="4207">+BW859+1</f>
        <v>851</v>
      </c>
      <c r="BY860" s="59"/>
    </row>
    <row r="861" spans="2:85" x14ac:dyDescent="0.75">
      <c r="B861" s="158">
        <f t="shared" si="3706"/>
        <v>44761</v>
      </c>
      <c r="C861" s="61"/>
      <c r="D861" s="17"/>
      <c r="E861" s="16"/>
      <c r="F861" s="16"/>
      <c r="G861" s="16"/>
      <c r="H861" s="16"/>
      <c r="I861" s="16"/>
      <c r="J861" s="436"/>
      <c r="K861" s="16"/>
      <c r="L861" s="16"/>
      <c r="M861" s="16"/>
      <c r="N861" s="16"/>
      <c r="O861" s="16"/>
      <c r="P861" s="41"/>
      <c r="Q861" s="410"/>
      <c r="R861" s="16"/>
      <c r="S861" s="60"/>
      <c r="T861" s="16"/>
      <c r="U861" s="41"/>
      <c r="V861" s="10"/>
      <c r="W861" s="34"/>
      <c r="X861" s="33"/>
      <c r="Y861" s="33"/>
      <c r="Z861" s="33"/>
      <c r="AA861" s="33"/>
      <c r="AB861" s="33"/>
      <c r="AC861" s="46"/>
      <c r="AD861" s="33"/>
      <c r="AE861" s="33"/>
      <c r="AF861" s="50"/>
      <c r="AG861" s="33"/>
      <c r="AH861" s="33"/>
      <c r="AI861" s="213"/>
      <c r="AJ861" s="50"/>
      <c r="AK861" s="10"/>
      <c r="AL861" s="23"/>
      <c r="AM861" s="24"/>
      <c r="AN861" s="24"/>
      <c r="AO861" s="24"/>
      <c r="AP861" s="24"/>
      <c r="AQ861" s="24"/>
      <c r="AR861" s="461"/>
      <c r="AS861" s="25"/>
      <c r="AT861" s="25"/>
      <c r="AU861" s="24"/>
      <c r="AV861" s="298"/>
      <c r="AW861" s="298"/>
      <c r="AX861" s="24"/>
      <c r="AY861" s="308"/>
      <c r="AZ861" s="10"/>
      <c r="BA861" s="65"/>
      <c r="BB861" s="66"/>
      <c r="BC861" s="66"/>
      <c r="BD861" s="66"/>
      <c r="BE861" s="66"/>
      <c r="BF861" s="66"/>
      <c r="BG861" s="144"/>
      <c r="BH861" s="66"/>
      <c r="BI861" s="170"/>
      <c r="BJ861" s="66"/>
      <c r="BK861" s="66"/>
      <c r="BL861" s="66"/>
      <c r="BM861" s="144"/>
      <c r="BN861" s="65"/>
      <c r="BO861" s="66"/>
      <c r="BP861" s="66"/>
      <c r="BQ861" s="66"/>
      <c r="BR861" s="435"/>
      <c r="BS861" s="66"/>
      <c r="BT861" s="75"/>
      <c r="BU861" s="170"/>
      <c r="BV861" s="1"/>
      <c r="BW861" s="61">
        <f t="shared" si="4207"/>
        <v>852</v>
      </c>
      <c r="BY861" s="59"/>
    </row>
    <row r="862" spans="2:85" x14ac:dyDescent="0.75">
      <c r="B862" s="158">
        <f t="shared" si="3706"/>
        <v>44762</v>
      </c>
      <c r="D862" s="559"/>
      <c r="E862" s="19"/>
      <c r="F862" s="19"/>
      <c r="G862" s="19"/>
      <c r="H862" s="19"/>
      <c r="I862" s="19"/>
      <c r="J862" s="39"/>
      <c r="K862" s="19"/>
      <c r="L862" s="19"/>
      <c r="M862" s="19"/>
      <c r="N862" s="19"/>
      <c r="O862" s="19"/>
      <c r="P862" s="43"/>
      <c r="Q862" s="18"/>
      <c r="R862" s="19"/>
      <c r="S862" s="19"/>
      <c r="T862" s="19"/>
      <c r="U862" s="43"/>
      <c r="V862" s="1"/>
      <c r="W862" s="35"/>
      <c r="X862" s="36"/>
      <c r="Y862" s="36"/>
      <c r="Z862" s="36"/>
      <c r="AA862" s="36"/>
      <c r="AB862" s="36"/>
      <c r="AC862" s="47"/>
      <c r="AD862" s="36"/>
      <c r="AE862" s="36"/>
      <c r="AF862" s="51"/>
      <c r="AG862" s="36"/>
      <c r="AH862" s="36"/>
      <c r="AI862" s="36"/>
      <c r="AJ862" s="51"/>
      <c r="AK862" s="1"/>
      <c r="AL862" s="26"/>
      <c r="AM862" s="27"/>
      <c r="AN862" s="27"/>
      <c r="AO862" s="27"/>
      <c r="AP862" s="27"/>
      <c r="AQ862" s="27"/>
      <c r="AR862" s="27"/>
      <c r="AS862" s="27"/>
      <c r="AT862" s="27"/>
      <c r="AU862" s="27"/>
      <c r="AV862" s="300"/>
      <c r="AW862" s="300"/>
      <c r="AX862" s="27"/>
      <c r="AY862" s="307"/>
      <c r="AZ862" s="1"/>
      <c r="BA862" s="67"/>
      <c r="BB862" s="68"/>
      <c r="BC862" s="68"/>
      <c r="BD862" s="68"/>
      <c r="BE862" s="68"/>
      <c r="BF862" s="68"/>
      <c r="BG862" s="68"/>
      <c r="BH862" s="68"/>
      <c r="BI862" s="171"/>
      <c r="BJ862" s="68"/>
      <c r="BK862" s="68"/>
      <c r="BL862" s="68"/>
      <c r="BM862" s="68"/>
      <c r="BN862" s="67"/>
      <c r="BO862" s="68"/>
      <c r="BP862" s="68"/>
      <c r="BQ862" s="68"/>
      <c r="BR862" s="70"/>
      <c r="BS862" s="68"/>
      <c r="BT862" s="68"/>
      <c r="BU862" s="171"/>
      <c r="BV862" s="1"/>
      <c r="BW862" s="61">
        <f>+BW832+1</f>
        <v>824</v>
      </c>
    </row>
    <row r="863" spans="2:85" x14ac:dyDescent="0.75">
      <c r="B863" s="56"/>
      <c r="D863" s="1"/>
      <c r="E863" s="1"/>
      <c r="F863" s="1"/>
      <c r="G863" s="1"/>
      <c r="H863" s="59"/>
      <c r="I863" s="1"/>
      <c r="J863" s="59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59"/>
      <c r="X863" s="1"/>
      <c r="Y863" s="1"/>
      <c r="Z863" s="1"/>
      <c r="AA863" s="1"/>
      <c r="AB863" s="1"/>
      <c r="AC863" s="59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59"/>
      <c r="BD863" s="1"/>
      <c r="BE863" s="59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</row>
    <row r="864" spans="2:85" x14ac:dyDescent="0.75">
      <c r="B864" s="166" t="s">
        <v>74</v>
      </c>
      <c r="D864" s="56">
        <f>+D859</f>
        <v>24757</v>
      </c>
      <c r="E864" s="56">
        <f>+E238</f>
        <v>0</v>
      </c>
      <c r="F864" s="56">
        <f>+F238</f>
        <v>0</v>
      </c>
      <c r="G864" s="56">
        <f>+G238</f>
        <v>0</v>
      </c>
      <c r="H864" s="56">
        <f t="shared" ref="H864:BP864" si="4208">+H859</f>
        <v>77674733</v>
      </c>
      <c r="I864" s="56">
        <f t="shared" si="4208"/>
        <v>0</v>
      </c>
      <c r="J864" s="56">
        <f t="shared" si="4208"/>
        <v>3.1882817323729761E-4</v>
      </c>
      <c r="K864" s="56">
        <f t="shared" si="4208"/>
        <v>0</v>
      </c>
      <c r="L864" s="56">
        <f t="shared" si="4208"/>
        <v>0</v>
      </c>
      <c r="M864" s="56">
        <f t="shared" si="4208"/>
        <v>0</v>
      </c>
      <c r="N864" s="56">
        <f t="shared" si="4208"/>
        <v>502490</v>
      </c>
      <c r="O864" s="56">
        <f t="shared" si="4208"/>
        <v>91382.038823529409</v>
      </c>
      <c r="P864" s="56">
        <f t="shared" si="4208"/>
        <v>0</v>
      </c>
      <c r="Q864" s="56">
        <f t="shared" si="4208"/>
        <v>502490</v>
      </c>
      <c r="R864" s="56">
        <f t="shared" si="4208"/>
        <v>0</v>
      </c>
      <c r="S864" s="56">
        <f t="shared" si="4208"/>
        <v>0.21534093107851862</v>
      </c>
      <c r="T864" s="56">
        <f t="shared" si="4208"/>
        <v>0</v>
      </c>
      <c r="U864" s="56">
        <f t="shared" si="4208"/>
        <v>0</v>
      </c>
      <c r="V864" s="56">
        <f t="shared" si="4208"/>
        <v>751</v>
      </c>
      <c r="W864" s="56">
        <f t="shared" si="4208"/>
        <v>21</v>
      </c>
      <c r="X864" s="56">
        <f t="shared" si="4208"/>
        <v>4256</v>
      </c>
      <c r="Y864" s="56">
        <f t="shared" si="4208"/>
        <v>0</v>
      </c>
      <c r="Z864" s="56">
        <f t="shared" si="4208"/>
        <v>1174</v>
      </c>
      <c r="AA864" s="56">
        <f t="shared" si="4208"/>
        <v>906028</v>
      </c>
      <c r="AB864" s="56">
        <f t="shared" si="4208"/>
        <v>0</v>
      </c>
      <c r="AC864" s="56">
        <f t="shared" si="4208"/>
        <v>1.1664385122508242E-2</v>
      </c>
      <c r="AD864" s="56">
        <f t="shared" si="4208"/>
        <v>0</v>
      </c>
      <c r="AE864" s="56">
        <f t="shared" si="4208"/>
        <v>1065.9152941176471</v>
      </c>
      <c r="AF864" s="56">
        <f t="shared" si="4208"/>
        <v>0</v>
      </c>
      <c r="AG864" s="56">
        <f t="shared" si="4208"/>
        <v>0</v>
      </c>
      <c r="AH864" s="56">
        <f t="shared" si="4208"/>
        <v>0</v>
      </c>
      <c r="AI864" s="56">
        <f t="shared" si="4208"/>
        <v>0</v>
      </c>
      <c r="AJ864" s="56">
        <f t="shared" si="4208"/>
        <v>0</v>
      </c>
      <c r="AK864" s="56">
        <f t="shared" si="4208"/>
        <v>0</v>
      </c>
      <c r="AL864" s="56">
        <f t="shared" si="4208"/>
        <v>84446</v>
      </c>
      <c r="AM864" s="56">
        <f t="shared" si="4208"/>
        <v>0</v>
      </c>
      <c r="AN864" s="56">
        <f t="shared" si="4208"/>
        <v>0</v>
      </c>
      <c r="AO864" s="56">
        <f t="shared" si="4208"/>
        <v>178263</v>
      </c>
      <c r="AP864" s="56">
        <f t="shared" si="4208"/>
        <v>86646220</v>
      </c>
      <c r="AQ864" s="56">
        <f t="shared" si="4208"/>
        <v>20336656</v>
      </c>
      <c r="AR864" s="56">
        <f t="shared" si="4208"/>
        <v>9.7555764048920719E-4</v>
      </c>
      <c r="AS864" s="56">
        <f t="shared" si="4208"/>
        <v>0</v>
      </c>
      <c r="AT864" s="56">
        <f t="shared" si="4208"/>
        <v>0</v>
      </c>
      <c r="AU864" s="56">
        <f t="shared" si="4208"/>
        <v>0</v>
      </c>
      <c r="AV864" s="56">
        <f t="shared" si="4208"/>
        <v>1.1155007124388827</v>
      </c>
      <c r="AW864" s="56">
        <f t="shared" si="4208"/>
        <v>0</v>
      </c>
      <c r="AX864" s="56">
        <f t="shared" si="4208"/>
        <v>101936.72941176471</v>
      </c>
      <c r="AY864" s="56">
        <f t="shared" si="4208"/>
        <v>0</v>
      </c>
      <c r="AZ864" s="56">
        <f t="shared" si="4208"/>
        <v>0</v>
      </c>
      <c r="BA864" s="56">
        <f t="shared" si="4208"/>
        <v>139898</v>
      </c>
      <c r="BB864" s="56">
        <f t="shared" si="4208"/>
        <v>0</v>
      </c>
      <c r="BC864" s="56">
        <f t="shared" si="4208"/>
        <v>1060390040</v>
      </c>
      <c r="BD864" s="56">
        <f t="shared" si="4208"/>
        <v>0</v>
      </c>
      <c r="BE864" s="56">
        <f t="shared" si="4208"/>
        <v>24757</v>
      </c>
      <c r="BF864" s="56">
        <f t="shared" si="4208"/>
        <v>0</v>
      </c>
      <c r="BG864" s="56">
        <f t="shared" si="4208"/>
        <v>0.17696464567041703</v>
      </c>
      <c r="BH864" s="56">
        <f t="shared" si="4208"/>
        <v>0</v>
      </c>
      <c r="BI864" s="56">
        <f t="shared" si="4208"/>
        <v>0</v>
      </c>
      <c r="BJ864" s="56">
        <f t="shared" si="4208"/>
        <v>0</v>
      </c>
      <c r="BK864" s="56">
        <f t="shared" si="4208"/>
        <v>0</v>
      </c>
      <c r="BL864" s="56">
        <f t="shared" si="4208"/>
        <v>0</v>
      </c>
      <c r="BM864" s="56">
        <f t="shared" si="4208"/>
        <v>0</v>
      </c>
      <c r="BN864" s="56">
        <f t="shared" si="4208"/>
        <v>1247517.6941176471</v>
      </c>
      <c r="BO864" s="56">
        <f t="shared" si="4208"/>
        <v>0</v>
      </c>
      <c r="BP864" s="56">
        <f t="shared" si="4208"/>
        <v>76767755</v>
      </c>
      <c r="BQ864" s="56">
        <f t="shared" ref="BQ864" si="4209">+BQ731</f>
        <v>0</v>
      </c>
      <c r="BR864" s="56"/>
      <c r="BS864" s="56"/>
      <c r="BT864" s="56"/>
      <c r="BU864" s="56">
        <f>+BU509</f>
        <v>0</v>
      </c>
      <c r="BV864" s="56">
        <f>+BV505</f>
        <v>0</v>
      </c>
      <c r="BW864" s="56"/>
      <c r="BX864" s="56"/>
      <c r="BY864" s="56"/>
      <c r="BZ864" s="56"/>
      <c r="CA864" s="56"/>
      <c r="CB864" s="56"/>
      <c r="CC864" s="56"/>
      <c r="CD864" s="56"/>
      <c r="CE864" s="61"/>
      <c r="CF864" s="61"/>
      <c r="CG864" s="145"/>
    </row>
    <row r="865" spans="2:85" x14ac:dyDescent="0.75">
      <c r="B865" t="s">
        <v>105</v>
      </c>
      <c r="D865" s="56">
        <f>+D858-D864</f>
        <v>2246</v>
      </c>
      <c r="E865" s="56">
        <f>+E237-E864</f>
        <v>0</v>
      </c>
      <c r="F865" s="56">
        <f>+F237-F864</f>
        <v>0</v>
      </c>
      <c r="G865" s="56">
        <f>+G237-G864</f>
        <v>0</v>
      </c>
      <c r="H865" s="56">
        <f t="shared" ref="H865:BP865" si="4210">+H858-H864</f>
        <v>-24757</v>
      </c>
      <c r="I865" s="56">
        <f t="shared" si="4210"/>
        <v>0</v>
      </c>
      <c r="J865" s="56">
        <f t="shared" si="4210"/>
        <v>2.9045644994323092E-5</v>
      </c>
      <c r="K865" s="56">
        <f t="shared" si="4210"/>
        <v>0</v>
      </c>
      <c r="L865" s="56">
        <f t="shared" si="4210"/>
        <v>0</v>
      </c>
      <c r="M865" s="56">
        <f t="shared" si="4210"/>
        <v>0</v>
      </c>
      <c r="N865" s="56">
        <f t="shared" si="4210"/>
        <v>-818</v>
      </c>
      <c r="O865" s="56">
        <f t="shared" si="4210"/>
        <v>78.474721818056423</v>
      </c>
      <c r="P865" s="56">
        <f t="shared" si="4210"/>
        <v>0</v>
      </c>
      <c r="Q865" s="56">
        <f t="shared" si="4210"/>
        <v>-818</v>
      </c>
      <c r="R865" s="56">
        <f t="shared" si="4210"/>
        <v>0</v>
      </c>
      <c r="S865" s="56">
        <f t="shared" si="4210"/>
        <v>4.0059946274707409E-2</v>
      </c>
      <c r="T865" s="56">
        <f t="shared" si="4210"/>
        <v>0</v>
      </c>
      <c r="U865" s="56">
        <f t="shared" si="4210"/>
        <v>0</v>
      </c>
      <c r="V865" s="56">
        <f t="shared" si="4210"/>
        <v>-1</v>
      </c>
      <c r="W865" s="56">
        <f t="shared" si="4210"/>
        <v>33</v>
      </c>
      <c r="X865" s="56">
        <f t="shared" si="4210"/>
        <v>0</v>
      </c>
      <c r="Y865" s="56">
        <f t="shared" si="4210"/>
        <v>0</v>
      </c>
      <c r="Z865" s="56">
        <f t="shared" si="4210"/>
        <v>101</v>
      </c>
      <c r="AA865" s="56">
        <f t="shared" si="4210"/>
        <v>-21</v>
      </c>
      <c r="AB865" s="56">
        <f t="shared" si="4210"/>
        <v>0</v>
      </c>
      <c r="AC865" s="56">
        <f t="shared" si="4210"/>
        <v>3.4484902156038666E-6</v>
      </c>
      <c r="AD865" s="56">
        <f t="shared" si="4210"/>
        <v>0</v>
      </c>
      <c r="AE865" s="56">
        <f t="shared" si="4210"/>
        <v>1.230760063742764</v>
      </c>
      <c r="AF865" s="56">
        <f t="shared" si="4210"/>
        <v>0</v>
      </c>
      <c r="AG865" s="56">
        <f t="shared" si="4210"/>
        <v>0</v>
      </c>
      <c r="AH865" s="56">
        <f t="shared" si="4210"/>
        <v>0</v>
      </c>
      <c r="AI865" s="56">
        <f t="shared" si="4210"/>
        <v>0</v>
      </c>
      <c r="AJ865" s="56">
        <f t="shared" si="4210"/>
        <v>0</v>
      </c>
      <c r="AK865" s="56">
        <f t="shared" si="4210"/>
        <v>0</v>
      </c>
      <c r="AL865" s="56">
        <f t="shared" si="4210"/>
        <v>9310</v>
      </c>
      <c r="AM865" s="56">
        <f t="shared" si="4210"/>
        <v>0</v>
      </c>
      <c r="AN865" s="56">
        <f t="shared" si="4210"/>
        <v>0</v>
      </c>
      <c r="AO865" s="56">
        <f t="shared" si="4210"/>
        <v>0</v>
      </c>
      <c r="AP865" s="56">
        <f t="shared" si="4210"/>
        <v>-84446</v>
      </c>
      <c r="AQ865" s="56">
        <f t="shared" si="4210"/>
        <v>0</v>
      </c>
      <c r="AR865" s="56">
        <f t="shared" si="4210"/>
        <v>1.0872764982472146E-4</v>
      </c>
      <c r="AS865" s="56">
        <f t="shared" si="4210"/>
        <v>0</v>
      </c>
      <c r="AT865" s="56">
        <f t="shared" si="4210"/>
        <v>0</v>
      </c>
      <c r="AU865" s="56">
        <f t="shared" si="4210"/>
        <v>0</v>
      </c>
      <c r="AV865" s="56">
        <f t="shared" si="4210"/>
        <v>-7.3186820897586102E-4</v>
      </c>
      <c r="AW865" s="56">
        <f t="shared" si="4210"/>
        <v>0</v>
      </c>
      <c r="AX865" s="56">
        <f t="shared" si="4210"/>
        <v>20.601565856020898</v>
      </c>
      <c r="AY865" s="56">
        <f t="shared" si="4210"/>
        <v>0</v>
      </c>
      <c r="AZ865" s="56">
        <f t="shared" si="4210"/>
        <v>0</v>
      </c>
      <c r="BA865" s="56">
        <f t="shared" si="4210"/>
        <v>41584</v>
      </c>
      <c r="BB865" s="56">
        <f t="shared" si="4210"/>
        <v>0</v>
      </c>
      <c r="BC865" s="56">
        <f t="shared" si="4210"/>
        <v>-139898</v>
      </c>
      <c r="BD865" s="56">
        <f t="shared" si="4210"/>
        <v>0</v>
      </c>
      <c r="BE865" s="56">
        <f t="shared" si="4210"/>
        <v>2246</v>
      </c>
      <c r="BF865" s="56">
        <f t="shared" si="4210"/>
        <v>0</v>
      </c>
      <c r="BG865" s="56">
        <f t="shared" si="4210"/>
        <v>-2.817302997299248E-2</v>
      </c>
      <c r="BH865" s="56">
        <f t="shared" si="4210"/>
        <v>0</v>
      </c>
      <c r="BI865" s="56">
        <f t="shared" si="4210"/>
        <v>0</v>
      </c>
      <c r="BJ865" s="56">
        <f t="shared" si="4210"/>
        <v>0</v>
      </c>
      <c r="BK865" s="56">
        <f t="shared" si="4210"/>
        <v>0</v>
      </c>
      <c r="BL865" s="56">
        <f t="shared" si="4210"/>
        <v>0</v>
      </c>
      <c r="BM865" s="56">
        <f t="shared" si="4210"/>
        <v>0</v>
      </c>
      <c r="BN865" s="56">
        <f t="shared" si="4210"/>
        <v>1304.6168364165351</v>
      </c>
      <c r="BO865" s="56">
        <f t="shared" si="4210"/>
        <v>0</v>
      </c>
      <c r="BP865" s="56">
        <f t="shared" si="4210"/>
        <v>-24757</v>
      </c>
      <c r="BQ865" s="56">
        <f t="shared" ref="BQ865" si="4211">+BQ730-BQ864</f>
        <v>0</v>
      </c>
      <c r="BR865" s="56"/>
      <c r="BS865" s="56"/>
      <c r="BT865" s="56"/>
      <c r="BU865" s="56">
        <f>+BU508-BU864</f>
        <v>0</v>
      </c>
      <c r="BV865" s="56">
        <f>+BV504-BV864</f>
        <v>0</v>
      </c>
      <c r="BW865" s="56"/>
      <c r="BX865" s="56"/>
      <c r="BY865" s="56"/>
      <c r="BZ865" s="56"/>
      <c r="CA865" s="56"/>
      <c r="CB865" s="56"/>
      <c r="CC865" s="56"/>
      <c r="CD865" s="56"/>
      <c r="CE865" s="61"/>
      <c r="CF865" s="61"/>
      <c r="CG865" s="105"/>
    </row>
    <row r="866" spans="2:85" x14ac:dyDescent="0.75">
      <c r="B866" s="56"/>
      <c r="D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10"/>
      <c r="BT866" s="10"/>
      <c r="BU866" s="10"/>
      <c r="BV866" s="10"/>
      <c r="BW866" s="10"/>
      <c r="BX866" s="10"/>
      <c r="BY866" s="10"/>
      <c r="BZ866" s="10"/>
      <c r="CA866" s="10"/>
      <c r="CB866" s="61"/>
      <c r="CC866" s="105"/>
      <c r="CD866" s="105"/>
      <c r="CE866" s="105"/>
      <c r="CF866" s="105"/>
    </row>
    <row r="867" spans="2:85" x14ac:dyDescent="0.75">
      <c r="B867" s="56"/>
      <c r="D867" s="56"/>
      <c r="H867" s="1"/>
      <c r="N867" s="145"/>
      <c r="O867" s="1"/>
      <c r="W867" s="56"/>
      <c r="AA867" s="59"/>
      <c r="BA867" s="59"/>
      <c r="BC867" s="56"/>
      <c r="BE867" s="59"/>
      <c r="BJ867" s="61"/>
      <c r="BK867" s="10">
        <f>+BK187</f>
        <v>4928581</v>
      </c>
      <c r="BL867" s="61"/>
      <c r="BM867" s="61"/>
      <c r="BN867" s="61"/>
      <c r="BO867" s="61"/>
      <c r="BP867" s="61"/>
      <c r="BQ867" s="61"/>
      <c r="BR867" s="61"/>
      <c r="BS867" s="10"/>
      <c r="BT867" s="10"/>
    </row>
    <row r="868" spans="2:85" x14ac:dyDescent="0.75">
      <c r="B868" s="56"/>
      <c r="D868" s="56"/>
      <c r="H868" s="56"/>
      <c r="N868" s="59"/>
      <c r="W868" s="56"/>
      <c r="AA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56"/>
      <c r="AU868" t="s">
        <v>161</v>
      </c>
      <c r="BC868" s="56"/>
      <c r="BE868" s="59"/>
      <c r="BH868" s="96"/>
      <c r="BI868" s="96"/>
      <c r="BJ868" s="96"/>
      <c r="BK868" s="493"/>
      <c r="BL868" s="96"/>
      <c r="BM868" s="96"/>
      <c r="BN868" s="96"/>
      <c r="BO868" s="96"/>
      <c r="BP868" s="96"/>
      <c r="BQ868" s="96"/>
      <c r="BR868" s="78"/>
      <c r="BS868" s="1"/>
      <c r="BT868" s="1"/>
    </row>
    <row r="869" spans="2:85" x14ac:dyDescent="0.75">
      <c r="D869" s="1"/>
      <c r="E869" s="111" t="s">
        <v>26</v>
      </c>
      <c r="F869" s="112"/>
      <c r="H869" s="112" t="s">
        <v>59</v>
      </c>
      <c r="I869" s="104"/>
      <c r="J869" s="104"/>
      <c r="K869" s="61"/>
      <c r="L869" s="10"/>
      <c r="W869" s="56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BA869" s="56">
        <f>SUM(BA853:BA859)</f>
        <v>3280069</v>
      </c>
      <c r="BC869" s="56">
        <f>+BA869/7</f>
        <v>468581.28571428574</v>
      </c>
      <c r="BE869" s="56"/>
      <c r="BG869" s="231"/>
      <c r="BH869" s="96"/>
      <c r="BI869" s="96"/>
      <c r="BJ869" s="96"/>
      <c r="BK869" s="493">
        <f>+BK194-BK864</f>
        <v>5763109</v>
      </c>
      <c r="BL869" s="96"/>
      <c r="BM869" s="96"/>
      <c r="BN869" s="96"/>
      <c r="BO869" s="96"/>
      <c r="BP869" s="96"/>
      <c r="BQ869" s="96"/>
      <c r="BR869" s="78"/>
      <c r="BS869" s="1"/>
      <c r="BT869" s="1"/>
    </row>
    <row r="870" spans="2:85" x14ac:dyDescent="0.75">
      <c r="B870" s="56"/>
      <c r="D870" s="1"/>
      <c r="E870" s="111" t="s">
        <v>38</v>
      </c>
      <c r="F870" s="112"/>
      <c r="H870" s="112" t="s">
        <v>40</v>
      </c>
      <c r="I870" s="10"/>
      <c r="J870" s="10"/>
      <c r="K870" s="61"/>
      <c r="L870" s="10"/>
      <c r="AD870" s="1"/>
      <c r="AE870" s="1"/>
      <c r="AF870" s="1"/>
      <c r="AG870" s="1"/>
      <c r="AH870" s="1"/>
      <c r="AI870" s="1">
        <f>SUM(W213:W243)</f>
        <v>25465</v>
      </c>
      <c r="AJ870" s="1"/>
      <c r="AK870" s="1"/>
      <c r="AL870" s="1" t="s">
        <v>17</v>
      </c>
      <c r="AM870" s="1"/>
      <c r="AN870" s="1"/>
      <c r="AO870" s="1"/>
      <c r="BC870" s="56"/>
      <c r="BE870" s="59"/>
      <c r="BH870" s="97"/>
      <c r="BI870" s="97"/>
      <c r="BJ870" s="97"/>
      <c r="BK870" s="493">
        <f>+BK187-BK864</f>
        <v>4928581</v>
      </c>
      <c r="BL870" s="97"/>
      <c r="BM870" s="97"/>
      <c r="BN870" s="97"/>
      <c r="BO870" s="97"/>
      <c r="BP870" s="97"/>
      <c r="BQ870" s="97"/>
      <c r="BR870" s="78"/>
      <c r="BS870" s="1"/>
      <c r="BT870" s="1"/>
    </row>
    <row r="871" spans="2:85" x14ac:dyDescent="0.75">
      <c r="B871" s="231"/>
      <c r="D871" s="1"/>
      <c r="E871" s="111" t="s">
        <v>45</v>
      </c>
      <c r="F871" s="112"/>
      <c r="H871" s="112" t="s">
        <v>55</v>
      </c>
      <c r="I871" s="10"/>
      <c r="J871" s="10"/>
      <c r="K871" s="61"/>
      <c r="L871" s="10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BC871" s="56"/>
      <c r="BE871" s="59"/>
      <c r="BH871" s="97"/>
      <c r="BI871" s="97"/>
      <c r="BJ871" s="97"/>
      <c r="BK871" s="493"/>
      <c r="BL871" s="97"/>
      <c r="BM871" s="97"/>
      <c r="BN871" s="97"/>
      <c r="BO871" s="97"/>
      <c r="BP871" s="97"/>
      <c r="BQ871" s="97"/>
      <c r="BR871" s="78"/>
      <c r="BS871" s="1"/>
      <c r="BT871" s="1"/>
    </row>
    <row r="872" spans="2:85" x14ac:dyDescent="0.75">
      <c r="D872" s="1"/>
      <c r="E872" s="111" t="s">
        <v>60</v>
      </c>
      <c r="F872" s="61"/>
      <c r="H872" s="81" t="s">
        <v>135</v>
      </c>
      <c r="I872" s="61"/>
      <c r="J872" s="61"/>
      <c r="K872" s="61"/>
      <c r="L872" s="6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BH872" s="97"/>
      <c r="BI872" s="97"/>
      <c r="BJ872" s="97"/>
      <c r="BK872" s="496"/>
      <c r="BL872" s="97"/>
      <c r="BM872" s="97"/>
      <c r="BN872" s="97"/>
      <c r="BO872" s="97"/>
      <c r="BP872" s="97"/>
      <c r="BQ872" s="97"/>
      <c r="BR872" s="78"/>
      <c r="BS872" s="1"/>
      <c r="BT872" s="1"/>
    </row>
    <row r="873" spans="2:85" x14ac:dyDescent="0.75">
      <c r="E873" s="111" t="s">
        <v>136</v>
      </c>
      <c r="H873" s="81" t="s">
        <v>137</v>
      </c>
      <c r="AD873" s="1"/>
      <c r="AE873" s="1"/>
      <c r="AF873" s="1"/>
      <c r="AG873" s="1"/>
      <c r="AH873" s="1"/>
      <c r="AI873" s="1"/>
      <c r="BD873" s="78"/>
      <c r="BE873" s="78"/>
      <c r="BF873" s="78"/>
      <c r="BG873" s="78"/>
      <c r="BH873" s="78"/>
      <c r="BI873" s="78"/>
      <c r="BJ873" s="78"/>
      <c r="BK873" s="494"/>
      <c r="BL873" s="78"/>
      <c r="BM873" s="78"/>
      <c r="BN873" s="78"/>
      <c r="BO873" s="78"/>
      <c r="BP873" s="78"/>
      <c r="BQ873" s="78"/>
      <c r="BR873" s="78"/>
      <c r="BS873" s="1"/>
      <c r="BT873" s="1"/>
    </row>
    <row r="874" spans="2:85" x14ac:dyDescent="0.75">
      <c r="B874" s="56"/>
      <c r="AD874" s="1"/>
      <c r="AE874" s="1"/>
      <c r="AF874" s="1"/>
      <c r="AG874" s="1"/>
      <c r="AH874" s="1"/>
      <c r="AI874" s="1"/>
      <c r="BA874" s="545"/>
      <c r="BK874" s="495"/>
    </row>
    <row r="875" spans="2:85" ht="15.5" thickBot="1" x14ac:dyDescent="0.9">
      <c r="D875" s="56"/>
      <c r="AD875" s="1"/>
      <c r="AE875" s="507"/>
      <c r="AF875" s="547"/>
      <c r="AG875" s="507"/>
      <c r="AH875" s="507"/>
      <c r="AI875" s="507"/>
      <c r="AJ875" s="500"/>
      <c r="AK875" s="500"/>
      <c r="AL875" s="500"/>
      <c r="AM875" s="500"/>
      <c r="AN875" s="500"/>
      <c r="AO875" s="500"/>
      <c r="AP875" s="500"/>
      <c r="AQ875" s="500"/>
      <c r="AR875" s="500"/>
      <c r="AS875" s="500"/>
      <c r="AT875" s="500"/>
      <c r="AU875" s="500"/>
      <c r="AV875" s="500"/>
      <c r="AW875" s="500"/>
      <c r="AX875" s="500"/>
      <c r="AZ875" s="106"/>
      <c r="BA875" s="106"/>
      <c r="BB875" s="106"/>
      <c r="BC875" s="106"/>
      <c r="BK875" s="1"/>
    </row>
    <row r="876" spans="2:85" x14ac:dyDescent="0.75">
      <c r="D876" s="531"/>
      <c r="J876" s="486"/>
      <c r="N876" s="56"/>
      <c r="V876" s="106"/>
      <c r="AA876" s="56"/>
      <c r="AD876" s="1"/>
      <c r="AE876" s="507"/>
      <c r="AF876" s="546"/>
      <c r="AG876" s="1"/>
      <c r="AH876" s="1"/>
      <c r="AI876" s="485"/>
      <c r="AJ876" s="464"/>
      <c r="AK876" s="465"/>
      <c r="AL876" s="465"/>
      <c r="AM876" s="465"/>
      <c r="AN876" s="465"/>
      <c r="AO876" s="465"/>
      <c r="AP876" s="465"/>
      <c r="AQ876" s="465"/>
      <c r="AR876" s="465"/>
      <c r="AS876" s="465"/>
      <c r="AT876" s="465"/>
      <c r="AU876" s="465"/>
      <c r="AV876" s="465"/>
      <c r="AW876" s="466"/>
      <c r="AX876" s="500"/>
      <c r="AZ876" s="106"/>
      <c r="BA876" s="77"/>
      <c r="BB876" s="106"/>
      <c r="BC876" s="106"/>
      <c r="BK876" s="56"/>
    </row>
    <row r="877" spans="2:85" x14ac:dyDescent="0.75">
      <c r="D877" s="1"/>
      <c r="J877" s="214"/>
      <c r="N877" s="231"/>
      <c r="AD877" s="1"/>
      <c r="AE877" s="507"/>
      <c r="AF877" s="546"/>
      <c r="AG877" s="1"/>
      <c r="AH877" s="1"/>
      <c r="AI877" s="485"/>
      <c r="AJ877" s="467"/>
      <c r="AK877" s="609" t="s">
        <v>142</v>
      </c>
      <c r="AL877" s="609"/>
      <c r="AM877" s="609"/>
      <c r="AN877" s="609"/>
      <c r="AO877" s="609"/>
      <c r="AP877" s="609"/>
      <c r="AQ877" s="609"/>
      <c r="AR877" s="609"/>
      <c r="AS877" s="609"/>
      <c r="AT877" s="609"/>
      <c r="AU877" s="609"/>
      <c r="AV877" s="609"/>
      <c r="AW877" s="468"/>
      <c r="AX877" s="500"/>
      <c r="AZ877" s="106"/>
      <c r="BA877" s="106"/>
      <c r="BB877" s="106"/>
      <c r="BC877" s="106"/>
    </row>
    <row r="878" spans="2:85" ht="16" x14ac:dyDescent="0.8">
      <c r="D878" s="1"/>
      <c r="H878" s="235"/>
      <c r="J878" s="57"/>
      <c r="N878" s="56"/>
      <c r="AD878" s="1"/>
      <c r="AE878" s="507"/>
      <c r="AF878" s="546"/>
      <c r="AG878" s="1"/>
      <c r="AH878" s="1"/>
      <c r="AI878" s="485"/>
      <c r="AJ878" s="467"/>
      <c r="AK878" s="609" t="s">
        <v>141</v>
      </c>
      <c r="AL878" s="609"/>
      <c r="AM878" s="609"/>
      <c r="AN878" s="609"/>
      <c r="AO878" s="473"/>
      <c r="AP878" s="474" t="s">
        <v>20</v>
      </c>
      <c r="AQ878" s="473"/>
      <c r="AR878" s="474" t="s">
        <v>4</v>
      </c>
      <c r="AS878" s="475"/>
      <c r="AT878" s="475"/>
      <c r="AU878" s="475"/>
      <c r="AV878" s="479" t="s">
        <v>10</v>
      </c>
      <c r="AW878" s="468"/>
      <c r="AX878" s="500"/>
      <c r="AZ878" s="106"/>
      <c r="BA878" s="106"/>
      <c r="BB878" s="106"/>
      <c r="BC878" s="106"/>
    </row>
    <row r="879" spans="2:85" ht="16" x14ac:dyDescent="0.8">
      <c r="H879" s="235"/>
      <c r="N879" s="231"/>
      <c r="AD879" s="1"/>
      <c r="AE879" s="507"/>
      <c r="AF879" s="546"/>
      <c r="AG879" s="1"/>
      <c r="AH879" s="1"/>
      <c r="AI879" s="485"/>
      <c r="AJ879" s="467"/>
      <c r="AK879" s="624" t="s">
        <v>138</v>
      </c>
      <c r="AL879" s="624"/>
      <c r="AM879" s="624"/>
      <c r="AN879" s="624"/>
      <c r="AO879" s="473"/>
      <c r="AP879" s="476">
        <f>+AH50</f>
        <v>898992</v>
      </c>
      <c r="AQ879" s="477"/>
      <c r="AR879" s="476">
        <f>+AH51</f>
        <v>55687</v>
      </c>
      <c r="AS879" s="478"/>
      <c r="AT879" s="478"/>
      <c r="AU879" s="478"/>
      <c r="AV879" s="491">
        <f t="shared" ref="AV879:AV885" si="4212">+AR879/AP879</f>
        <v>6.194382152455194E-2</v>
      </c>
      <c r="AW879" s="468"/>
      <c r="AX879" s="500"/>
      <c r="AZ879" s="106"/>
      <c r="BA879" s="77"/>
      <c r="BB879" s="106"/>
      <c r="BC879" s="106"/>
    </row>
    <row r="880" spans="2:85" ht="16" x14ac:dyDescent="0.8">
      <c r="D880" s="235"/>
      <c r="AD880" s="1"/>
      <c r="AE880" s="507"/>
      <c r="AF880" s="546"/>
      <c r="AG880" s="1"/>
      <c r="AH880" s="1"/>
      <c r="AI880" s="485"/>
      <c r="AJ880" s="467"/>
      <c r="AK880" s="625" t="s">
        <v>139</v>
      </c>
      <c r="AL880" s="626"/>
      <c r="AM880" s="626"/>
      <c r="AN880" s="626"/>
      <c r="AO880" s="64"/>
      <c r="AP880" s="469">
        <f>+AG83</f>
        <v>742147</v>
      </c>
      <c r="AQ880" s="64"/>
      <c r="AR880" s="469">
        <f>+AG84</f>
        <v>42339</v>
      </c>
      <c r="AS880" s="64"/>
      <c r="AT880" s="64"/>
      <c r="AU880" s="64"/>
      <c r="AV880" s="489">
        <f t="shared" si="4212"/>
        <v>5.7049344671608188E-2</v>
      </c>
      <c r="AW880" s="468"/>
      <c r="AX880" s="500"/>
      <c r="AZ880" s="106"/>
      <c r="BA880" s="77"/>
      <c r="BB880" s="106"/>
      <c r="BC880" s="106"/>
    </row>
    <row r="881" spans="2:87" ht="16" x14ac:dyDescent="0.8">
      <c r="AD881" s="1"/>
      <c r="AE881" s="507"/>
      <c r="AF881" s="546"/>
      <c r="AG881" s="1"/>
      <c r="AH881" s="1"/>
      <c r="AI881" s="485"/>
      <c r="AJ881" s="467"/>
      <c r="AK881" s="626" t="s">
        <v>140</v>
      </c>
      <c r="AL881" s="626"/>
      <c r="AM881" s="626"/>
      <c r="AN881" s="626"/>
      <c r="AO881" s="64"/>
      <c r="AP881" s="469">
        <f>+AH113</f>
        <v>869627</v>
      </c>
      <c r="AQ881" s="64"/>
      <c r="AR881" s="469">
        <f>+AH114</f>
        <v>21252</v>
      </c>
      <c r="AS881" s="64"/>
      <c r="AT881" s="64"/>
      <c r="AU881" s="64"/>
      <c r="AV881" s="489">
        <f t="shared" si="4212"/>
        <v>2.4438063675575852E-2</v>
      </c>
      <c r="AW881" s="468"/>
      <c r="AX881" s="500"/>
      <c r="AZ881" s="106"/>
      <c r="BA881" s="106"/>
      <c r="BB881" s="106"/>
      <c r="BC881" s="106"/>
    </row>
    <row r="882" spans="2:87" ht="16" x14ac:dyDescent="0.8">
      <c r="D882" s="428"/>
      <c r="AD882" s="1"/>
      <c r="AE882" s="507"/>
      <c r="AF882" s="546"/>
      <c r="AG882" s="1"/>
      <c r="AH882" s="1"/>
      <c r="AI882" s="485"/>
      <c r="AJ882" s="467"/>
      <c r="AK882" s="626" t="s">
        <v>143</v>
      </c>
      <c r="AL882" s="626"/>
      <c r="AM882" s="626"/>
      <c r="AN882" s="626"/>
      <c r="AO882" s="64"/>
      <c r="AP882" s="469">
        <f>+AG888</f>
        <v>1970617</v>
      </c>
      <c r="AQ882" s="64"/>
      <c r="AR882" s="469">
        <f>+AG890</f>
        <v>25901</v>
      </c>
      <c r="AS882" s="64"/>
      <c r="AT882" s="64"/>
      <c r="AU882" s="64"/>
      <c r="AV882" s="489">
        <f t="shared" si="4212"/>
        <v>1.3143599187462607E-2</v>
      </c>
      <c r="AW882" s="468"/>
      <c r="AX882" s="500"/>
    </row>
    <row r="883" spans="2:87" ht="16" x14ac:dyDescent="0.8">
      <c r="D883" s="428"/>
      <c r="AD883" s="1"/>
      <c r="AE883" s="507"/>
      <c r="AF883" s="546"/>
      <c r="AG883" s="1"/>
      <c r="AH883" s="1"/>
      <c r="AI883" s="485"/>
      <c r="AJ883" s="467"/>
      <c r="AK883" s="543"/>
      <c r="AL883" s="543" t="s">
        <v>151</v>
      </c>
      <c r="AM883" s="543"/>
      <c r="AN883" s="543"/>
      <c r="AO883" s="64"/>
      <c r="AP883" s="469">
        <f>SUM(D144:D174)</f>
        <v>1493931</v>
      </c>
      <c r="AQ883" s="64"/>
      <c r="AR883" s="469">
        <f>SUM(W144:W174)</f>
        <v>30354</v>
      </c>
      <c r="AS883" s="64"/>
      <c r="AT883" s="64"/>
      <c r="AU883" s="64"/>
      <c r="AV883" s="489">
        <f t="shared" si="4212"/>
        <v>2.0318207467413155E-2</v>
      </c>
      <c r="AW883" s="468"/>
      <c r="AX883" s="500"/>
    </row>
    <row r="884" spans="2:87" ht="16" x14ac:dyDescent="0.8">
      <c r="D884" s="428"/>
      <c r="AD884" s="1"/>
      <c r="AE884" s="507"/>
      <c r="AF884" s="546"/>
      <c r="AG884" s="1"/>
      <c r="AH884" s="1"/>
      <c r="AI884" s="485"/>
      <c r="AJ884" s="467"/>
      <c r="AK884" s="543"/>
      <c r="AL884" s="543" t="s">
        <v>152</v>
      </c>
      <c r="AM884" s="543"/>
      <c r="AN884" s="543"/>
      <c r="AO884" s="64"/>
      <c r="AP884" s="469">
        <f>SUM(D175:D204)</f>
        <v>1202331</v>
      </c>
      <c r="AQ884" s="64"/>
      <c r="AR884" s="544">
        <f>SUM(W175:W204)</f>
        <v>24042</v>
      </c>
      <c r="AS884" s="64"/>
      <c r="AT884" s="64"/>
      <c r="AU884" s="64"/>
      <c r="AV884" s="489">
        <f t="shared" si="4212"/>
        <v>1.9996157464125936E-2</v>
      </c>
      <c r="AW884" s="468"/>
      <c r="AX884" s="500"/>
    </row>
    <row r="885" spans="2:87" ht="16" x14ac:dyDescent="0.8">
      <c r="D885" s="428"/>
      <c r="AD885" s="1"/>
      <c r="AE885" s="507"/>
      <c r="AF885" s="546"/>
      <c r="AG885" s="1"/>
      <c r="AH885" s="1"/>
      <c r="AI885" s="485"/>
      <c r="AJ885" s="467"/>
      <c r="AK885" s="543"/>
      <c r="AL885" s="543" t="s">
        <v>153</v>
      </c>
      <c r="AM885" s="543"/>
      <c r="AN885" s="543"/>
      <c r="AO885" s="64"/>
      <c r="AP885" s="469">
        <f>SUM(D205:D230)</f>
        <v>1470960</v>
      </c>
      <c r="AQ885" s="64"/>
      <c r="AR885" s="469">
        <f>SUM(W205:W235)</f>
        <v>24156</v>
      </c>
      <c r="AS885" s="64"/>
      <c r="AT885" s="64"/>
      <c r="AU885" s="64"/>
      <c r="AV885" s="489">
        <f t="shared" si="4212"/>
        <v>1.6421928536465982E-2</v>
      </c>
      <c r="AW885" s="468"/>
      <c r="AX885" s="500"/>
      <c r="BA885" s="486">
        <f>+AV879-AV885</f>
        <v>4.5521892988085955E-2</v>
      </c>
    </row>
    <row r="886" spans="2:87" ht="15.5" thickBot="1" x14ac:dyDescent="0.9">
      <c r="B886" s="427"/>
      <c r="D886" s="235"/>
      <c r="AD886" s="1"/>
      <c r="AE886" s="507"/>
      <c r="AF886" s="546"/>
      <c r="AG886" s="1"/>
      <c r="AH886" s="1"/>
      <c r="AI886" s="485"/>
      <c r="AJ886" s="467"/>
      <c r="AK886" s="480"/>
      <c r="AL886" s="480"/>
      <c r="AM886" s="480"/>
      <c r="AN886" s="480"/>
      <c r="AO886" s="481"/>
      <c r="AP886" s="482"/>
      <c r="AQ886" s="481"/>
      <c r="AR886" s="482"/>
      <c r="AS886" s="481"/>
      <c r="AT886" s="481"/>
      <c r="AU886" s="481"/>
      <c r="AV886" s="483"/>
      <c r="AW886" s="468"/>
      <c r="AX886" s="500"/>
      <c r="BA886">
        <f>+BA885/AV879</f>
        <v>0.73488996751747038</v>
      </c>
    </row>
    <row r="887" spans="2:87" ht="16" x14ac:dyDescent="0.8">
      <c r="B887" s="427"/>
      <c r="D887" s="235"/>
      <c r="AD887" s="1"/>
      <c r="AE887" s="507"/>
      <c r="AF887" s="546"/>
      <c r="AG887" s="1"/>
      <c r="AH887" s="1"/>
      <c r="AI887" s="485"/>
      <c r="AJ887" s="467"/>
      <c r="AK887" s="624" t="s">
        <v>138</v>
      </c>
      <c r="AL887" s="624"/>
      <c r="AM887" s="624"/>
      <c r="AN887" s="624"/>
      <c r="AO887" s="64"/>
      <c r="AP887" s="469"/>
      <c r="AQ887" s="64"/>
      <c r="AR887" s="469">
        <f>+AR879</f>
        <v>55687</v>
      </c>
      <c r="AS887" s="64"/>
      <c r="AT887" s="64"/>
      <c r="AU887" s="64"/>
      <c r="AV887" s="144"/>
      <c r="AW887" s="468"/>
      <c r="AX887" s="500"/>
    </row>
    <row r="888" spans="2:87" ht="16" x14ac:dyDescent="0.8">
      <c r="B888" s="427"/>
      <c r="D888" s="235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10"/>
      <c r="AE888" s="507"/>
      <c r="AF888" s="546"/>
      <c r="AG888" s="33">
        <f>SUM(D113:D143)</f>
        <v>1970617</v>
      </c>
      <c r="AH888" s="1"/>
      <c r="AI888" s="485"/>
      <c r="AJ888" s="467"/>
      <c r="AK888" s="610" t="s">
        <v>153</v>
      </c>
      <c r="AL888" s="610"/>
      <c r="AM888" s="610"/>
      <c r="AN888" s="610"/>
      <c r="AO888" s="64"/>
      <c r="AP888" s="469"/>
      <c r="AQ888" s="64"/>
      <c r="AR888" s="469">
        <f>+AR885</f>
        <v>24156</v>
      </c>
      <c r="AS888" s="64"/>
      <c r="AT888" s="64"/>
      <c r="AU888" s="64"/>
      <c r="AV888" s="144"/>
      <c r="AW888" s="468"/>
      <c r="AX888" s="500"/>
    </row>
    <row r="889" spans="2:87" ht="16" x14ac:dyDescent="0.8">
      <c r="B889" s="427"/>
      <c r="D889" s="235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10"/>
      <c r="AE889" s="507"/>
      <c r="AF889" s="546"/>
      <c r="AG889" s="33">
        <f>SUM(W125:W138)</f>
        <v>12117</v>
      </c>
      <c r="AH889" s="1"/>
      <c r="AI889" s="485"/>
      <c r="AJ889" s="467"/>
      <c r="AK889" s="63"/>
      <c r="AL889" s="497" t="s">
        <v>3</v>
      </c>
      <c r="AM889" s="63"/>
      <c r="AN889" s="63"/>
      <c r="AO889" s="64"/>
      <c r="AP889" s="469"/>
      <c r="AQ889" s="64"/>
      <c r="AR889" s="469">
        <f>+AR887-AR888</f>
        <v>31531</v>
      </c>
      <c r="AS889" s="64"/>
      <c r="AT889" s="64"/>
      <c r="AU889" s="64"/>
      <c r="AV889" s="484">
        <f>+AR889/AR887</f>
        <v>0.5662183274372834</v>
      </c>
      <c r="AW889" s="468"/>
      <c r="AX889" s="500"/>
    </row>
    <row r="890" spans="2:87" ht="15.5" thickBot="1" x14ac:dyDescent="0.9">
      <c r="D890" s="427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10"/>
      <c r="AE890" s="507"/>
      <c r="AF890" s="548"/>
      <c r="AG890" s="33">
        <f>SUM(W113:W143)</f>
        <v>25901</v>
      </c>
      <c r="AH890" s="1"/>
      <c r="AI890" s="485"/>
      <c r="AJ890" s="470"/>
      <c r="AK890" s="471"/>
      <c r="AL890" s="471"/>
      <c r="AM890" s="471"/>
      <c r="AN890" s="471"/>
      <c r="AO890" s="471"/>
      <c r="AP890" s="471"/>
      <c r="AQ890" s="471"/>
      <c r="AR890" s="471"/>
      <c r="AS890" s="471"/>
      <c r="AT890" s="471"/>
      <c r="AU890" s="471"/>
      <c r="AV890" s="471"/>
      <c r="AW890" s="472"/>
      <c r="AX890" s="500"/>
      <c r="BD890" s="78"/>
      <c r="BE890" s="78"/>
      <c r="BF890" s="78"/>
      <c r="BG890" s="78"/>
      <c r="BH890" s="78"/>
      <c r="BI890" s="78"/>
      <c r="BJ890" s="78"/>
      <c r="BK890" s="78"/>
      <c r="BL890" s="78"/>
      <c r="BM890" s="78"/>
      <c r="BN890" s="78"/>
      <c r="BO890" s="78"/>
      <c r="BP890" s="78"/>
      <c r="BQ890" s="78"/>
      <c r="BR890" s="78"/>
      <c r="BS890" s="1"/>
      <c r="BT890" s="1"/>
      <c r="BU890" s="1"/>
      <c r="BV890" s="1"/>
      <c r="BW890" s="78"/>
      <c r="BX890" s="78"/>
      <c r="BY890" s="78"/>
      <c r="BZ890" s="78"/>
      <c r="CA890" s="78"/>
      <c r="CB890" s="78"/>
      <c r="CC890" s="78"/>
      <c r="CD890" s="78"/>
      <c r="CE890" s="78"/>
      <c r="CF890" s="78"/>
      <c r="CG890" s="78"/>
      <c r="CH890" s="78"/>
      <c r="CI890" s="78"/>
    </row>
    <row r="891" spans="2:87" x14ac:dyDescent="0.75"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10"/>
      <c r="AE891" s="507"/>
      <c r="AF891" s="507"/>
      <c r="AG891" s="507"/>
      <c r="AH891" s="507"/>
      <c r="AI891" s="507"/>
      <c r="AJ891" s="500"/>
      <c r="AK891" s="500"/>
      <c r="AL891" s="500"/>
      <c r="AM891" s="500"/>
      <c r="AN891" s="500"/>
      <c r="AO891" s="500"/>
      <c r="AP891" s="500"/>
      <c r="AQ891" s="500"/>
      <c r="AR891" s="500"/>
      <c r="AS891" s="500"/>
      <c r="AT891" s="500"/>
      <c r="AU891" s="500"/>
      <c r="AV891" s="500"/>
      <c r="AW891" s="500"/>
      <c r="AX891" s="500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77"/>
      <c r="BX891" s="77"/>
      <c r="BY891" s="77"/>
      <c r="BZ891" s="77"/>
      <c r="CA891" s="109"/>
      <c r="CB891" s="1"/>
      <c r="CC891" s="1"/>
      <c r="CD891" s="1"/>
      <c r="CE891" s="1"/>
      <c r="CF891" s="1"/>
      <c r="CG891" s="1"/>
      <c r="CH891" s="1"/>
      <c r="CI891" s="1"/>
    </row>
    <row r="892" spans="2:87" x14ac:dyDescent="0.75">
      <c r="D892">
        <v>10</v>
      </c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10"/>
      <c r="AE892" s="10"/>
      <c r="AF892" s="10"/>
      <c r="AG892" s="10"/>
      <c r="AH892" s="10"/>
      <c r="AI892" s="10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77"/>
      <c r="BX892" s="77"/>
      <c r="BY892" s="77"/>
      <c r="BZ892" s="77"/>
      <c r="CA892" s="77"/>
      <c r="CB892" s="1"/>
      <c r="CC892" s="1"/>
      <c r="CD892" s="1"/>
      <c r="CE892" s="1"/>
      <c r="CF892" s="1"/>
      <c r="CG892" s="1"/>
      <c r="CH892" s="1"/>
      <c r="CI892" s="1"/>
    </row>
    <row r="893" spans="2:87" x14ac:dyDescent="0.75">
      <c r="D893" s="1">
        <v>77000000</v>
      </c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10"/>
      <c r="AE893" s="10"/>
      <c r="AF893" s="10"/>
      <c r="AG893" s="10"/>
      <c r="AH893" s="10"/>
      <c r="AI893" s="10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77"/>
      <c r="BX893" s="77"/>
      <c r="BY893" s="77"/>
      <c r="BZ893" s="77"/>
      <c r="CA893" s="77"/>
      <c r="CB893" s="1"/>
      <c r="CC893" s="1"/>
      <c r="CD893" s="1"/>
      <c r="CE893" s="1"/>
      <c r="CF893" s="1"/>
      <c r="CG893" s="1"/>
    </row>
    <row r="894" spans="2:87" x14ac:dyDescent="0.75">
      <c r="D894" s="57">
        <f>+D893/D896</f>
        <v>0.23262839879154079</v>
      </c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10"/>
      <c r="AE894" s="10"/>
      <c r="AF894" s="10"/>
      <c r="AG894" s="501"/>
      <c r="AH894" s="10"/>
      <c r="AI894" s="10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77"/>
      <c r="BX894" s="77"/>
      <c r="BY894" s="77"/>
      <c r="BZ894" s="77"/>
      <c r="CA894" s="77"/>
      <c r="CB894" s="1"/>
      <c r="CC894" s="1"/>
      <c r="CD894" s="1"/>
      <c r="CE894" s="1"/>
      <c r="CF894" s="1"/>
      <c r="CG894" s="1"/>
    </row>
    <row r="895" spans="2:87" x14ac:dyDescent="0.75"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10"/>
      <c r="AE895" s="10"/>
      <c r="AF895" s="507"/>
      <c r="AG895" s="526"/>
      <c r="AH895" s="507"/>
      <c r="AI895" s="507"/>
      <c r="AJ895" s="500"/>
      <c r="AK895" s="500"/>
      <c r="AL895" s="500"/>
      <c r="AM895" s="500"/>
      <c r="AN895" s="500"/>
      <c r="AO895" s="500"/>
      <c r="AP895" s="500"/>
      <c r="AQ895" s="500"/>
      <c r="AR895" s="500"/>
      <c r="AS895" s="500"/>
      <c r="AT895" s="500"/>
      <c r="AU895" s="500"/>
      <c r="AV895" s="500"/>
      <c r="AW895" s="500"/>
      <c r="AX895" s="500"/>
      <c r="AY895" s="500"/>
      <c r="AZ895" s="500"/>
      <c r="BA895" s="500"/>
      <c r="BB895" s="500"/>
      <c r="BC895" s="500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77"/>
      <c r="BX895" s="77"/>
      <c r="BY895" s="110"/>
      <c r="BZ895" s="77"/>
      <c r="CA895" s="77"/>
    </row>
    <row r="896" spans="2:87" x14ac:dyDescent="0.75">
      <c r="D896" s="1">
        <v>331000000</v>
      </c>
      <c r="H896">
        <v>0.13400000000000001</v>
      </c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10"/>
      <c r="AE896" s="10"/>
      <c r="AF896" s="507"/>
      <c r="AG896" s="527"/>
      <c r="AH896" s="507"/>
      <c r="AI896" s="507"/>
      <c r="AJ896" s="524"/>
      <c r="AK896" s="524"/>
      <c r="AL896" s="525"/>
      <c r="AM896" s="525"/>
      <c r="AN896" s="525"/>
      <c r="AO896" s="525"/>
      <c r="AP896" s="525"/>
      <c r="AQ896" s="525"/>
      <c r="AR896" s="525"/>
      <c r="AS896" s="525"/>
      <c r="AT896" s="525"/>
      <c r="AU896" s="525"/>
      <c r="AV896" s="525"/>
      <c r="AW896" s="525"/>
      <c r="AX896" s="525"/>
      <c r="AY896" s="525"/>
      <c r="AZ896" s="525"/>
      <c r="BA896" s="525"/>
      <c r="BB896" s="524"/>
      <c r="BC896" s="524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77"/>
      <c r="BX896" s="77"/>
      <c r="BY896" s="77"/>
      <c r="BZ896" s="77"/>
      <c r="CA896" s="77"/>
    </row>
    <row r="897" spans="2:79" x14ac:dyDescent="0.75">
      <c r="D897" s="1">
        <f>+D896*H896</f>
        <v>44354000</v>
      </c>
      <c r="H897" s="1">
        <f>+D897*0.001</f>
        <v>44354</v>
      </c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10"/>
      <c r="AE897" s="10"/>
      <c r="AF897" s="507"/>
      <c r="AG897" s="526"/>
      <c r="AH897" s="507"/>
      <c r="AI897" s="507"/>
      <c r="AJ897" s="524"/>
      <c r="AK897" s="524"/>
      <c r="AL897" s="138"/>
      <c r="AM897" s="138"/>
      <c r="AN897" s="138"/>
      <c r="AO897" s="138"/>
      <c r="AP897" s="138"/>
      <c r="AQ897" s="138"/>
      <c r="AR897" s="138"/>
      <c r="AS897" s="78"/>
      <c r="AT897" s="78"/>
      <c r="AU897" s="78"/>
      <c r="AV897" s="98"/>
      <c r="AW897" s="98"/>
      <c r="AX897" s="98"/>
      <c r="AY897" s="98"/>
      <c r="AZ897" s="524"/>
      <c r="BA897" s="524"/>
      <c r="BB897" s="530"/>
      <c r="BC897" s="524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77"/>
      <c r="BX897" s="77"/>
      <c r="BY897" s="77"/>
      <c r="BZ897" s="77"/>
      <c r="CA897" s="77"/>
    </row>
    <row r="898" spans="2:79" x14ac:dyDescent="0.75">
      <c r="D898" s="425">
        <v>7.1999999999999995E-2</v>
      </c>
      <c r="H898" s="1">
        <f>+AA204*H896</f>
        <v>28746.886000000002</v>
      </c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10"/>
      <c r="AE898" s="10"/>
      <c r="AF898" s="507"/>
      <c r="AG898" s="526">
        <v>44031</v>
      </c>
      <c r="AH898" s="507"/>
      <c r="AI898" s="507"/>
      <c r="AJ898" s="524"/>
      <c r="AK898" s="524"/>
      <c r="AL898" s="138"/>
      <c r="AM898" s="138"/>
      <c r="AN898" s="138"/>
      <c r="AO898" s="138"/>
      <c r="AP898" s="138"/>
      <c r="AQ898" s="138"/>
      <c r="AR898" s="138"/>
      <c r="AS898" s="138"/>
      <c r="AT898" s="98"/>
      <c r="AU898" s="78"/>
      <c r="AV898" s="98"/>
      <c r="AW898" s="98"/>
      <c r="AX898" s="98"/>
      <c r="AY898" s="98"/>
      <c r="AZ898" s="524"/>
      <c r="BA898" s="524"/>
      <c r="BB898" s="530"/>
      <c r="BC898" s="524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77"/>
      <c r="BX898" s="77"/>
      <c r="BY898" s="77"/>
      <c r="BZ898" s="77"/>
      <c r="CA898" s="77"/>
    </row>
    <row r="899" spans="2:79" x14ac:dyDescent="0.75"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10"/>
      <c r="AE899" s="10"/>
      <c r="AF899" s="507"/>
      <c r="AG899" s="526">
        <v>44038</v>
      </c>
      <c r="AH899" s="507"/>
      <c r="AI899" s="507"/>
      <c r="AJ899" s="524"/>
      <c r="AK899" s="524"/>
      <c r="AL899" s="78"/>
      <c r="AM899" s="78"/>
      <c r="AN899" s="139"/>
      <c r="AO899" s="139"/>
      <c r="AP899" s="139"/>
      <c r="AQ899" s="139"/>
      <c r="AR899" s="139"/>
      <c r="AS899" s="78"/>
      <c r="AT899" s="78"/>
      <c r="AU899" s="78"/>
      <c r="AV899" s="98"/>
      <c r="AW899" s="98"/>
      <c r="AX899" s="98"/>
      <c r="AY899" s="98"/>
      <c r="AZ899" s="524"/>
      <c r="BA899" s="524"/>
      <c r="BB899" s="530"/>
      <c r="BC899" s="524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77"/>
      <c r="BX899" s="77"/>
      <c r="BY899" s="77"/>
      <c r="BZ899" s="77"/>
      <c r="CA899" s="77"/>
    </row>
    <row r="900" spans="2:79" x14ac:dyDescent="0.75">
      <c r="D900" s="235">
        <v>4.2000000000000003E-2</v>
      </c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10"/>
      <c r="AE900" s="10"/>
      <c r="AF900" s="507"/>
      <c r="AG900" s="526">
        <v>44045</v>
      </c>
      <c r="AH900" s="507"/>
      <c r="AI900" s="507"/>
      <c r="AJ900" s="524"/>
      <c r="AK900" s="524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98"/>
      <c r="AW900" s="98"/>
      <c r="AX900" s="98"/>
      <c r="AY900" s="98"/>
      <c r="AZ900" s="524"/>
      <c r="BA900" s="524"/>
      <c r="BB900" s="530"/>
      <c r="BC900" s="524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2:79" x14ac:dyDescent="0.75">
      <c r="D901" s="531">
        <f>+D896*D898*D900</f>
        <v>1000944.0000000001</v>
      </c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10"/>
      <c r="AE901" s="10"/>
      <c r="AF901" s="507"/>
      <c r="AG901" s="526">
        <v>44052</v>
      </c>
      <c r="AH901" s="507"/>
      <c r="AI901" s="507"/>
      <c r="AJ901" s="524"/>
      <c r="AK901" s="524"/>
      <c r="AL901" s="78"/>
      <c r="AM901" s="78"/>
      <c r="AN901" s="139"/>
      <c r="AO901" s="139"/>
      <c r="AP901" s="139"/>
      <c r="AQ901" s="139"/>
      <c r="AR901" s="139"/>
      <c r="AS901" s="139"/>
      <c r="AT901" s="139"/>
      <c r="AU901" s="78"/>
      <c r="AV901" s="98"/>
      <c r="AW901" s="98"/>
      <c r="AX901" s="98"/>
      <c r="AY901" s="98"/>
      <c r="AZ901" s="524"/>
      <c r="BA901" s="524"/>
      <c r="BB901" s="530"/>
      <c r="BC901" s="524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2:79" x14ac:dyDescent="0.75"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10"/>
      <c r="AE902" s="10"/>
      <c r="AF902" s="507"/>
      <c r="AG902" s="526"/>
      <c r="AH902" s="507"/>
      <c r="AI902" s="507"/>
      <c r="AJ902" s="524"/>
      <c r="AK902" s="524"/>
      <c r="AL902" s="78"/>
      <c r="AM902" s="78"/>
      <c r="AN902" s="139"/>
      <c r="AO902" s="139"/>
      <c r="AP902" s="139"/>
      <c r="AQ902" s="139"/>
      <c r="AR902" s="139"/>
      <c r="AS902" s="139"/>
      <c r="AT902" s="139"/>
      <c r="AU902" s="78"/>
      <c r="AV902" s="98"/>
      <c r="AW902" s="98"/>
      <c r="AX902" s="98"/>
      <c r="AY902" s="98"/>
      <c r="AZ902" s="524"/>
      <c r="BA902" s="524"/>
      <c r="BB902" s="530"/>
      <c r="BC902" s="524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2:79" x14ac:dyDescent="0.75"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10"/>
      <c r="AE903" s="10"/>
      <c r="AF903" s="507"/>
      <c r="AG903" s="526"/>
      <c r="AH903" s="507"/>
      <c r="AI903" s="507"/>
      <c r="AJ903" s="524"/>
      <c r="AK903" s="524"/>
      <c r="AL903" s="78"/>
      <c r="AM903" s="78"/>
      <c r="AN903" s="139"/>
      <c r="AO903" s="139"/>
      <c r="AP903" s="139"/>
      <c r="AQ903" s="139"/>
      <c r="AR903" s="139"/>
      <c r="AS903" s="139"/>
      <c r="AT903" s="139"/>
      <c r="AU903" s="78"/>
      <c r="AV903" s="98"/>
      <c r="AW903" s="98"/>
      <c r="AX903" s="98"/>
      <c r="AY903" s="98"/>
      <c r="AZ903" s="524"/>
      <c r="BA903" s="524"/>
      <c r="BB903" s="530"/>
      <c r="BC903" s="524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2:79" x14ac:dyDescent="0.75"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10"/>
      <c r="AE904" s="10"/>
      <c r="AF904" s="507"/>
      <c r="AG904" s="528"/>
      <c r="AH904" s="507"/>
      <c r="AI904" s="507"/>
      <c r="AJ904" s="524"/>
      <c r="AK904" s="524"/>
      <c r="AL904" s="78"/>
      <c r="AM904" s="78"/>
      <c r="AN904" s="139"/>
      <c r="AO904" s="139"/>
      <c r="AP904" s="139"/>
      <c r="AQ904" s="139"/>
      <c r="AR904" s="139"/>
      <c r="AS904" s="139"/>
      <c r="AT904" s="139"/>
      <c r="AU904" s="78"/>
      <c r="AV904" s="98"/>
      <c r="AW904" s="98"/>
      <c r="AX904" s="98"/>
      <c r="AY904" s="98"/>
      <c r="AZ904" s="524"/>
      <c r="BA904" s="524"/>
      <c r="BB904" s="530"/>
      <c r="BC904" s="524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2:79" x14ac:dyDescent="0.75"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10"/>
      <c r="AE905" s="10"/>
      <c r="AF905" s="507"/>
      <c r="AG905" s="507"/>
      <c r="AH905" s="507"/>
      <c r="AI905" s="507"/>
      <c r="AJ905" s="524"/>
      <c r="AK905" s="524"/>
      <c r="AL905" s="78"/>
      <c r="AM905" s="78"/>
      <c r="AN905" s="139"/>
      <c r="AO905" s="139"/>
      <c r="AP905" s="139"/>
      <c r="AQ905" s="139"/>
      <c r="AR905" s="139"/>
      <c r="AS905" s="139"/>
      <c r="AT905" s="139"/>
      <c r="AU905" s="78"/>
      <c r="AV905" s="98"/>
      <c r="AW905" s="98"/>
      <c r="AX905" s="98"/>
      <c r="AY905" s="98"/>
      <c r="AZ905" s="524"/>
      <c r="BA905" s="524"/>
      <c r="BB905" s="530"/>
      <c r="BC905" s="524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2:79" x14ac:dyDescent="0.75"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10"/>
      <c r="AE906" s="10"/>
      <c r="AF906" s="507"/>
      <c r="AG906" s="507"/>
      <c r="AH906" s="507"/>
      <c r="AI906" s="507"/>
      <c r="AJ906" s="524"/>
      <c r="AK906" s="524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78"/>
      <c r="AW906" s="78"/>
      <c r="AX906" s="78"/>
      <c r="AY906" s="78"/>
      <c r="AZ906" s="524"/>
      <c r="BA906" s="530"/>
      <c r="BB906" s="530"/>
      <c r="BC906" s="524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2:79" x14ac:dyDescent="0.75">
      <c r="AD907" s="10"/>
      <c r="AE907" s="10"/>
      <c r="AF907" s="507"/>
      <c r="AG907" s="507"/>
      <c r="AH907" s="507"/>
      <c r="AI907" s="507"/>
      <c r="AJ907" s="524"/>
      <c r="AK907" s="524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78"/>
      <c r="AW907" s="78"/>
      <c r="AX907" s="78"/>
      <c r="AY907" s="78"/>
      <c r="AZ907" s="524"/>
      <c r="BA907" s="530"/>
      <c r="BB907" s="530"/>
      <c r="BC907" s="524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2:79" ht="15.5" thickBot="1" x14ac:dyDescent="0.9">
      <c r="B908" s="500"/>
      <c r="C908" s="500"/>
      <c r="D908" s="500"/>
      <c r="E908" s="500"/>
      <c r="F908" s="500"/>
      <c r="G908" s="500"/>
      <c r="H908" s="500"/>
      <c r="I908" s="500"/>
      <c r="J908" s="500"/>
      <c r="K908" s="500"/>
      <c r="L908" s="500"/>
      <c r="M908" s="500"/>
      <c r="N908" s="500"/>
      <c r="O908" s="500"/>
      <c r="P908" s="500"/>
      <c r="Q908" s="500"/>
      <c r="R908" s="500"/>
      <c r="S908" s="500"/>
      <c r="T908" s="500"/>
      <c r="U908" s="500"/>
      <c r="V908" s="500"/>
      <c r="AD908" s="10"/>
      <c r="AE908" s="10"/>
      <c r="AF908" s="507"/>
      <c r="AG908" s="507"/>
      <c r="AH908" s="507"/>
      <c r="AI908" s="507"/>
      <c r="AJ908" s="524"/>
      <c r="AK908" s="524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78"/>
      <c r="AW908" s="78"/>
      <c r="AX908" s="78"/>
      <c r="AY908" s="78"/>
      <c r="AZ908" s="524"/>
      <c r="BA908" s="530"/>
      <c r="BB908" s="530"/>
      <c r="BC908" s="524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2:79" x14ac:dyDescent="0.75">
      <c r="B909" s="500"/>
      <c r="C909" s="510"/>
      <c r="D909" s="357"/>
      <c r="E909" s="357"/>
      <c r="F909" s="357"/>
      <c r="G909" s="357"/>
      <c r="H909" s="357"/>
      <c r="I909" s="357"/>
      <c r="J909" s="357"/>
      <c r="K909" s="357"/>
      <c r="L909" s="357"/>
      <c r="M909" s="357"/>
      <c r="N909" s="357"/>
      <c r="O909" s="357"/>
      <c r="P909" s="511"/>
      <c r="V909" s="500"/>
      <c r="AD909" s="10"/>
      <c r="AE909" s="10"/>
      <c r="AF909" s="507"/>
      <c r="AG909" s="507"/>
      <c r="AH909" s="507"/>
      <c r="AI909" s="507"/>
      <c r="AJ909" s="524"/>
      <c r="AK909" s="524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78"/>
      <c r="AW909" s="78"/>
      <c r="AX909" s="78"/>
      <c r="AY909" s="78"/>
      <c r="AZ909" s="524"/>
      <c r="BA909" s="530"/>
      <c r="BB909" s="530"/>
      <c r="BC909" s="524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2:79" x14ac:dyDescent="0.75">
      <c r="B910" s="500"/>
      <c r="C910" s="512"/>
      <c r="D910" s="502" t="s">
        <v>149</v>
      </c>
      <c r="E910" s="387"/>
      <c r="F910" s="387"/>
      <c r="G910" s="387"/>
      <c r="H910" s="628" t="s">
        <v>20</v>
      </c>
      <c r="I910" s="628"/>
      <c r="J910" s="628"/>
      <c r="K910" s="387"/>
      <c r="L910" s="387"/>
      <c r="M910" s="387"/>
      <c r="N910" s="387"/>
      <c r="O910" s="387"/>
      <c r="P910" s="513"/>
      <c r="V910" s="500"/>
      <c r="AD910" s="10"/>
      <c r="AE910" s="10"/>
      <c r="AF910" s="507"/>
      <c r="AG910" s="507"/>
      <c r="AH910" s="507"/>
      <c r="AI910" s="507"/>
      <c r="AJ910" s="524"/>
      <c r="AK910" s="524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78"/>
      <c r="AW910" s="78"/>
      <c r="AX910" s="78"/>
      <c r="AY910" s="78"/>
      <c r="AZ910" s="524"/>
      <c r="BA910" s="530"/>
      <c r="BB910" s="530"/>
      <c r="BC910" s="524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2:79" x14ac:dyDescent="0.75">
      <c r="B911" s="500"/>
      <c r="C911" s="512"/>
      <c r="D911" s="514" t="s">
        <v>150</v>
      </c>
      <c r="E911" s="387"/>
      <c r="F911" s="387"/>
      <c r="G911" s="387"/>
      <c r="H911" s="515" t="s">
        <v>147</v>
      </c>
      <c r="I911" s="502"/>
      <c r="J911" s="516" t="s">
        <v>148</v>
      </c>
      <c r="K911" s="502"/>
      <c r="L911" s="502"/>
      <c r="M911" s="502"/>
      <c r="N911" s="502"/>
      <c r="O911" s="517" t="s">
        <v>3</v>
      </c>
      <c r="P911" s="513"/>
      <c r="V911" s="500"/>
      <c r="AD911" s="10"/>
      <c r="AE911" s="10"/>
      <c r="AF911" s="507"/>
      <c r="AG911" s="507"/>
      <c r="AH911" s="507"/>
      <c r="AI911" s="507"/>
      <c r="AJ911" s="524"/>
      <c r="AK911" s="524"/>
      <c r="AL911" s="529"/>
      <c r="AM911" s="529"/>
      <c r="AN911" s="529"/>
      <c r="AO911" s="529"/>
      <c r="AP911" s="529"/>
      <c r="AQ911" s="529"/>
      <c r="AR911" s="529"/>
      <c r="AS911" s="529"/>
      <c r="AT911" s="529"/>
      <c r="AU911" s="529"/>
      <c r="AV911" s="524"/>
      <c r="AW911" s="524"/>
      <c r="AX911" s="524"/>
      <c r="AY911" s="524"/>
      <c r="AZ911" s="524"/>
      <c r="BA911" s="530"/>
      <c r="BB911" s="530"/>
      <c r="BC911" s="524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2:79" x14ac:dyDescent="0.75">
      <c r="B912" s="500"/>
      <c r="C912" s="512"/>
      <c r="D912" s="503" t="s">
        <v>146</v>
      </c>
      <c r="E912" s="15"/>
      <c r="F912" s="15"/>
      <c r="G912" s="15"/>
      <c r="H912" s="518">
        <f>SUM(D133:D139)</f>
        <v>471981</v>
      </c>
      <c r="I912" s="15"/>
      <c r="J912" s="16">
        <f>+H912/7</f>
        <v>67425.857142857145</v>
      </c>
      <c r="K912" s="15"/>
      <c r="L912" s="15"/>
      <c r="M912" s="15"/>
      <c r="N912" s="15"/>
      <c r="O912" s="15"/>
      <c r="P912" s="513"/>
      <c r="V912" s="500"/>
      <c r="AD912" s="10"/>
      <c r="AE912" s="10"/>
      <c r="AF912" s="507"/>
      <c r="AG912" s="507"/>
      <c r="AH912" s="507"/>
      <c r="AI912" s="507"/>
      <c r="AJ912" s="524"/>
      <c r="AK912" s="524"/>
      <c r="AL912" s="529"/>
      <c r="AM912" s="529"/>
      <c r="AN912" s="529"/>
      <c r="AO912" s="529"/>
      <c r="AP912" s="529"/>
      <c r="AQ912" s="529"/>
      <c r="AR912" s="529"/>
      <c r="AS912" s="529"/>
      <c r="AT912" s="529"/>
      <c r="AU912" s="529"/>
      <c r="AV912" s="529"/>
      <c r="AW912" s="529"/>
      <c r="AX912" s="529"/>
      <c r="AY912" s="529"/>
      <c r="AZ912" s="524"/>
      <c r="BA912" s="524"/>
      <c r="BB912" s="530"/>
      <c r="BC912" s="524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2:61" x14ac:dyDescent="0.75">
      <c r="B913" s="500"/>
      <c r="C913" s="512"/>
      <c r="D913" s="503" t="s">
        <v>145</v>
      </c>
      <c r="E913" s="15"/>
      <c r="F913" s="15"/>
      <c r="G913" s="15"/>
      <c r="H913" s="16">
        <f>SUM(D140:D146)</f>
        <v>427527</v>
      </c>
      <c r="I913" s="15"/>
      <c r="J913" s="16">
        <f>+H913/7</f>
        <v>61075.285714285717</v>
      </c>
      <c r="K913" s="15"/>
      <c r="L913" s="15"/>
      <c r="M913" s="15"/>
      <c r="N913" s="15"/>
      <c r="O913" s="15"/>
      <c r="P913" s="513"/>
      <c r="V913" s="500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78"/>
      <c r="AU913" s="98"/>
      <c r="AV913" s="140"/>
      <c r="AW913" s="140"/>
      <c r="AX913" s="140"/>
      <c r="AY913" s="140"/>
      <c r="AZ913" s="98"/>
      <c r="BA913" s="98"/>
      <c r="BB913" s="98"/>
      <c r="BC913" s="98"/>
    </row>
    <row r="914" spans="2:61" x14ac:dyDescent="0.75">
      <c r="B914" s="506"/>
      <c r="C914" s="512"/>
      <c r="D914" s="503" t="s">
        <v>144</v>
      </c>
      <c r="E914" s="15"/>
      <c r="F914" s="15"/>
      <c r="G914" s="15"/>
      <c r="H914" s="16">
        <f>SUM(D147:D153)</f>
        <v>383516</v>
      </c>
      <c r="I914" s="15"/>
      <c r="J914" s="16">
        <f>+H914/7</f>
        <v>54788</v>
      </c>
      <c r="K914" s="15"/>
      <c r="L914" s="15"/>
      <c r="M914" s="15"/>
      <c r="N914" s="15"/>
      <c r="O914" s="518">
        <f>+H912-H914</f>
        <v>88465</v>
      </c>
      <c r="P914" s="513"/>
      <c r="V914" s="500"/>
      <c r="AA914">
        <f>+O914/7</f>
        <v>12637.857142857143</v>
      </c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78"/>
      <c r="AW914" s="78"/>
      <c r="AX914" s="78"/>
      <c r="AY914" s="78"/>
      <c r="AZ914" s="98"/>
      <c r="BA914" s="141"/>
      <c r="BB914" s="98"/>
      <c r="BC914" s="98"/>
    </row>
    <row r="915" spans="2:61" x14ac:dyDescent="0.75">
      <c r="B915" s="507"/>
      <c r="C915" s="512"/>
      <c r="D915" s="519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60">
        <f>+O914/H912</f>
        <v>0.18743339244588236</v>
      </c>
      <c r="P915" s="513"/>
      <c r="V915" s="500"/>
      <c r="X915" s="61"/>
      <c r="Y915" s="61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78">
        <v>480454</v>
      </c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</row>
    <row r="916" spans="2:61" ht="15.5" thickBot="1" x14ac:dyDescent="0.9">
      <c r="B916" s="507"/>
      <c r="C916" s="520"/>
      <c r="D916" s="521"/>
      <c r="E916" s="521"/>
      <c r="F916" s="521"/>
      <c r="G916" s="521"/>
      <c r="H916" s="521"/>
      <c r="I916" s="521"/>
      <c r="J916" s="522"/>
      <c r="K916" s="521"/>
      <c r="L916" s="521"/>
      <c r="M916" s="521"/>
      <c r="N916" s="521"/>
      <c r="O916" s="521"/>
      <c r="P916" s="523"/>
      <c r="V916" s="500"/>
      <c r="X916" s="61"/>
      <c r="Y916" s="61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140">
        <f>+N201</f>
        <v>290088</v>
      </c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</row>
    <row r="917" spans="2:61" x14ac:dyDescent="0.75">
      <c r="B917" s="507"/>
      <c r="C917" s="500"/>
      <c r="D917" s="508"/>
      <c r="E917" s="500"/>
      <c r="F917" s="500"/>
      <c r="G917" s="500"/>
      <c r="H917" s="509"/>
      <c r="I917" s="500"/>
      <c r="J917" s="500"/>
      <c r="K917" s="500"/>
      <c r="L917" s="500"/>
      <c r="M917" s="500"/>
      <c r="N917" s="500"/>
      <c r="O917" s="500"/>
      <c r="P917" s="500"/>
      <c r="Q917" s="500"/>
      <c r="R917" s="500"/>
      <c r="S917" s="500"/>
      <c r="T917" s="500"/>
      <c r="U917" s="500"/>
      <c r="V917" s="500"/>
      <c r="X917" s="61"/>
      <c r="Y917" s="61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140">
        <f>+AP915-AP916</f>
        <v>190366</v>
      </c>
      <c r="AQ917" s="98"/>
      <c r="AR917" s="98"/>
    </row>
    <row r="918" spans="2:61" x14ac:dyDescent="0.75">
      <c r="B918" s="1"/>
      <c r="D918" s="55"/>
      <c r="X918" s="61"/>
      <c r="Y918" s="61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84">
        <f>+AP917/AP915</f>
        <v>0.3962210742339537</v>
      </c>
      <c r="AQ918" s="98"/>
      <c r="AR918" s="98"/>
    </row>
    <row r="919" spans="2:61" x14ac:dyDescent="0.75">
      <c r="B919" s="55"/>
      <c r="D919" s="55"/>
      <c r="J919" s="56">
        <f>+J912-J914</f>
        <v>12637.857142857145</v>
      </c>
      <c r="X919" s="61"/>
      <c r="Y919" s="61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</row>
    <row r="920" spans="2:61" x14ac:dyDescent="0.75">
      <c r="B920" s="57"/>
      <c r="D920" s="55"/>
      <c r="X920" s="61"/>
      <c r="Y920" s="61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</row>
    <row r="921" spans="2:61" x14ac:dyDescent="0.75">
      <c r="B921" s="1"/>
      <c r="D921" s="55"/>
      <c r="X921" s="61"/>
      <c r="Y921" s="61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</row>
    <row r="922" spans="2:61" x14ac:dyDescent="0.75">
      <c r="B922" s="1"/>
      <c r="D922" s="55"/>
      <c r="Z922" s="106"/>
      <c r="AA922" s="106"/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  <c r="AL922" s="106"/>
      <c r="AM922" s="106"/>
      <c r="AN922" s="106"/>
      <c r="AO922" s="106"/>
      <c r="AP922" s="106"/>
      <c r="AQ922" s="106"/>
      <c r="AR922" s="106"/>
    </row>
    <row r="923" spans="2:61" x14ac:dyDescent="0.75">
      <c r="B923" s="1"/>
      <c r="D923" s="55"/>
      <c r="AT923" s="500"/>
      <c r="AU923" s="500"/>
      <c r="AV923" s="500"/>
      <c r="AW923" s="500"/>
      <c r="AX923" s="500"/>
      <c r="AY923" s="500"/>
      <c r="AZ923" s="500"/>
      <c r="BA923" s="500"/>
      <c r="BB923" s="500"/>
      <c r="BC923" s="500"/>
      <c r="BD923" s="500"/>
      <c r="BE923" s="500"/>
      <c r="BF923" s="500"/>
      <c r="BG923" s="500"/>
      <c r="BH923" s="500"/>
      <c r="BI923" s="500"/>
    </row>
    <row r="924" spans="2:61" ht="16" x14ac:dyDescent="0.8">
      <c r="B924" s="1"/>
      <c r="D924" s="55"/>
      <c r="AT924" s="500"/>
      <c r="AU924" s="533"/>
      <c r="AV924" s="534"/>
      <c r="AW924" s="534"/>
      <c r="AX924" s="534"/>
      <c r="AY924" s="534"/>
      <c r="AZ924" s="534"/>
      <c r="BA924" s="534"/>
      <c r="BB924" s="534"/>
      <c r="BC924" s="534"/>
      <c r="BD924" s="534"/>
      <c r="BE924" s="534" t="s">
        <v>156</v>
      </c>
      <c r="BF924" s="534"/>
      <c r="BG924" s="534" t="s">
        <v>2</v>
      </c>
      <c r="BH924" s="533"/>
      <c r="BI924" s="500"/>
    </row>
    <row r="925" spans="2:61" ht="16.75" thickBot="1" x14ac:dyDescent="0.95">
      <c r="B925" s="57" t="e">
        <f>+B924/B923</f>
        <v>#DIV/0!</v>
      </c>
      <c r="D925" s="55"/>
      <c r="AT925" s="500"/>
      <c r="AU925" s="533"/>
      <c r="AV925" s="635" t="s">
        <v>155</v>
      </c>
      <c r="AW925" s="635"/>
      <c r="AX925" s="635"/>
      <c r="AY925" s="534"/>
      <c r="AZ925" s="534"/>
      <c r="BA925" s="535" t="s">
        <v>20</v>
      </c>
      <c r="BB925" s="534"/>
      <c r="BC925" s="535" t="s">
        <v>3</v>
      </c>
      <c r="BD925" s="534"/>
      <c r="BE925" s="535" t="s">
        <v>65</v>
      </c>
      <c r="BF925" s="534"/>
      <c r="BG925" s="535" t="s">
        <v>65</v>
      </c>
      <c r="BH925" s="533"/>
      <c r="BI925" s="500"/>
    </row>
    <row r="926" spans="2:61" ht="21" x14ac:dyDescent="1">
      <c r="B926" s="1"/>
      <c r="D926" s="55"/>
      <c r="AT926" s="500"/>
      <c r="AU926" s="533"/>
      <c r="AV926" s="536" t="s">
        <v>143</v>
      </c>
      <c r="AW926" s="533"/>
      <c r="AX926" s="537"/>
      <c r="AY926" s="533"/>
      <c r="AZ926" s="533"/>
      <c r="BA926" s="538">
        <f>+N143</f>
        <v>1970617</v>
      </c>
      <c r="BB926" s="537"/>
      <c r="BC926" s="537"/>
      <c r="BD926" s="537"/>
      <c r="BE926" s="537"/>
      <c r="BF926" s="537"/>
      <c r="BG926" s="537"/>
      <c r="BH926" s="533"/>
      <c r="BI926" s="500"/>
    </row>
    <row r="927" spans="2:61" ht="21" x14ac:dyDescent="1">
      <c r="B927" s="1"/>
      <c r="D927" s="55"/>
      <c r="AT927" s="500"/>
      <c r="AU927" s="533"/>
      <c r="AV927" s="536" t="s">
        <v>151</v>
      </c>
      <c r="AW927" s="533"/>
      <c r="AX927" s="537"/>
      <c r="AY927" s="533"/>
      <c r="AZ927" s="533"/>
      <c r="BA927" s="538">
        <f>+N174</f>
        <v>1493931</v>
      </c>
      <c r="BB927" s="537"/>
      <c r="BC927" s="538">
        <f>+BA927-BA926</f>
        <v>-476686</v>
      </c>
      <c r="BD927" s="537"/>
      <c r="BE927" s="539">
        <f>+BC927/BA926</f>
        <v>-0.24189682723735764</v>
      </c>
      <c r="BF927" s="537"/>
      <c r="BG927" s="537"/>
      <c r="BH927" s="533"/>
      <c r="BI927" s="500"/>
    </row>
    <row r="928" spans="2:61" ht="21" x14ac:dyDescent="1">
      <c r="B928" s="1">
        <f>+B924*50</f>
        <v>0</v>
      </c>
      <c r="D928" s="55"/>
      <c r="AT928" s="500"/>
      <c r="AU928" s="533"/>
      <c r="AV928" s="536" t="s">
        <v>152</v>
      </c>
      <c r="AW928" s="533"/>
      <c r="AX928" s="537"/>
      <c r="AY928" s="533"/>
      <c r="AZ928" s="533"/>
      <c r="BA928" s="538">
        <f>+N204</f>
        <v>1202331</v>
      </c>
      <c r="BB928" s="537"/>
      <c r="BC928" s="538">
        <f>+BA928-BA927</f>
        <v>-291600</v>
      </c>
      <c r="BD928" s="537"/>
      <c r="BE928" s="539">
        <f>+BC928/BA927</f>
        <v>-0.19518973767864781</v>
      </c>
      <c r="BF928" s="537"/>
      <c r="BG928" s="537"/>
      <c r="BH928" s="533"/>
      <c r="BI928" s="500"/>
    </row>
    <row r="929" spans="2:61" ht="21" x14ac:dyDescent="1">
      <c r="B929" s="1"/>
      <c r="D929" s="55"/>
      <c r="AT929" s="500"/>
      <c r="AU929" s="533"/>
      <c r="AV929" s="536" t="s">
        <v>153</v>
      </c>
      <c r="AW929" s="533"/>
      <c r="AX929" s="537"/>
      <c r="AY929" s="533"/>
      <c r="AZ929" s="540" t="s">
        <v>26</v>
      </c>
      <c r="BA929" s="538">
        <f>+N218</f>
        <v>371489</v>
      </c>
      <c r="BB929" s="537"/>
      <c r="BC929" s="538">
        <f>+BA929-BA928</f>
        <v>-830842</v>
      </c>
      <c r="BD929" s="537"/>
      <c r="BE929" s="539">
        <f>+BC929/BA928</f>
        <v>-0.69102601529861574</v>
      </c>
      <c r="BF929" s="537"/>
      <c r="BG929" s="539">
        <f>+(BA929-BA926)/BA926</f>
        <v>-0.81148594577231392</v>
      </c>
      <c r="BH929" s="533"/>
      <c r="BI929" s="500"/>
    </row>
    <row r="930" spans="2:61" x14ac:dyDescent="0.75">
      <c r="B930" s="1"/>
      <c r="D930" s="55"/>
      <c r="AT930" s="500"/>
      <c r="AU930" s="533"/>
      <c r="AV930" s="533"/>
      <c r="AW930" s="533"/>
      <c r="AX930" s="533"/>
      <c r="AY930" s="533"/>
      <c r="AZ930" s="533"/>
      <c r="BA930" s="533"/>
      <c r="BB930" s="533"/>
      <c r="BC930" s="533"/>
      <c r="BD930" s="533"/>
      <c r="BE930" s="533"/>
      <c r="BF930" s="533"/>
      <c r="BG930" s="533"/>
      <c r="BH930" s="533"/>
      <c r="BI930" s="500"/>
    </row>
    <row r="931" spans="2:61" ht="16.75" x14ac:dyDescent="0.75">
      <c r="B931" s="1"/>
      <c r="D931" s="55"/>
      <c r="AT931" s="500"/>
      <c r="AU931" s="533"/>
      <c r="AV931" s="533"/>
      <c r="AW931" s="533"/>
      <c r="AX931" s="541" t="s">
        <v>26</v>
      </c>
      <c r="AY931" s="533"/>
      <c r="AZ931" s="542" t="s">
        <v>154</v>
      </c>
      <c r="BA931" s="533"/>
      <c r="BB931" s="533"/>
      <c r="BC931" s="533"/>
      <c r="BD931" s="533"/>
      <c r="BE931" s="533"/>
      <c r="BF931" s="533"/>
      <c r="BG931" s="533"/>
      <c r="BH931" s="533"/>
      <c r="BI931" s="500"/>
    </row>
    <row r="932" spans="2:61" x14ac:dyDescent="0.75">
      <c r="B932" s="1"/>
      <c r="D932" s="55"/>
      <c r="AT932" s="500"/>
      <c r="AU932" s="533"/>
      <c r="AV932" s="533"/>
      <c r="AW932" s="533"/>
      <c r="AX932" s="533"/>
      <c r="AY932" s="533"/>
      <c r="AZ932" s="533"/>
      <c r="BA932" s="533"/>
      <c r="BB932" s="533"/>
      <c r="BC932" s="533"/>
      <c r="BD932" s="533"/>
      <c r="BE932" s="533"/>
      <c r="BF932" s="533"/>
      <c r="BG932" s="533"/>
      <c r="BH932" s="533"/>
      <c r="BI932" s="500"/>
    </row>
    <row r="933" spans="2:61" x14ac:dyDescent="0.75">
      <c r="B933" s="1"/>
      <c r="D933" s="55"/>
      <c r="AT933" s="532"/>
      <c r="AU933" s="532"/>
      <c r="AV933" s="532"/>
      <c r="AW933" s="532"/>
      <c r="AX933" s="532"/>
      <c r="AY933" s="532"/>
      <c r="AZ933" s="532"/>
      <c r="BA933" s="532"/>
      <c r="BB933" s="532"/>
      <c r="BC933" s="532"/>
      <c r="BD933" s="532"/>
      <c r="BE933" s="532"/>
      <c r="BF933" s="532"/>
      <c r="BG933" s="532"/>
      <c r="BH933" s="532"/>
      <c r="BI933" s="532"/>
    </row>
    <row r="934" spans="2:61" x14ac:dyDescent="0.75">
      <c r="B934" s="1"/>
      <c r="D934" s="55"/>
    </row>
    <row r="935" spans="2:61" x14ac:dyDescent="0.75">
      <c r="B935" s="1"/>
      <c r="D935" s="55"/>
      <c r="AS935" s="61"/>
      <c r="AT935" s="500"/>
      <c r="AU935" s="500"/>
      <c r="AV935" s="500"/>
      <c r="AW935" s="500"/>
      <c r="AX935" s="500"/>
      <c r="AY935" s="500"/>
      <c r="AZ935" s="500"/>
      <c r="BA935" s="500"/>
      <c r="BB935" s="500"/>
      <c r="BC935" s="500"/>
      <c r="BD935" s="500"/>
      <c r="BE935" s="500"/>
      <c r="BF935" s="500"/>
      <c r="BG935" s="500"/>
      <c r="BH935" s="500"/>
      <c r="BI935" s="500"/>
    </row>
    <row r="936" spans="2:61" x14ac:dyDescent="0.75">
      <c r="B936" s="1"/>
      <c r="D936" s="55"/>
      <c r="AT936" s="500"/>
      <c r="AU936" s="550"/>
      <c r="AV936" s="550"/>
      <c r="AW936" s="550"/>
      <c r="AX936" s="550"/>
      <c r="AY936" s="550"/>
      <c r="AZ936" s="550"/>
      <c r="BA936" s="550"/>
      <c r="BB936" s="550"/>
      <c r="BC936" s="550"/>
      <c r="BD936" s="550"/>
      <c r="BE936" s="550"/>
      <c r="BF936" s="550"/>
      <c r="BG936" s="550"/>
      <c r="BH936" s="550"/>
      <c r="BI936" s="500"/>
    </row>
    <row r="937" spans="2:61" ht="15.5" thickBot="1" x14ac:dyDescent="0.9">
      <c r="B937" s="1"/>
      <c r="D937" s="55"/>
      <c r="AT937" s="500"/>
      <c r="AU937" s="550"/>
      <c r="AV937" s="611" t="s">
        <v>160</v>
      </c>
      <c r="AW937" s="611"/>
      <c r="AX937" s="611"/>
      <c r="AY937" s="551"/>
      <c r="AZ937" s="551"/>
      <c r="BA937" s="552" t="s">
        <v>23</v>
      </c>
      <c r="BB937" s="553"/>
      <c r="BC937" s="552" t="s">
        <v>3</v>
      </c>
      <c r="BD937" s="553"/>
      <c r="BE937" s="552" t="s">
        <v>20</v>
      </c>
      <c r="BF937" s="553"/>
      <c r="BG937" s="552" t="s">
        <v>21</v>
      </c>
      <c r="BH937" s="550"/>
      <c r="BI937" s="500"/>
    </row>
    <row r="938" spans="2:61" x14ac:dyDescent="0.75">
      <c r="B938" s="1"/>
      <c r="AT938" s="500"/>
      <c r="AU938" s="550"/>
      <c r="AV938" s="551" t="s">
        <v>143</v>
      </c>
      <c r="AW938" s="551"/>
      <c r="AX938" s="551"/>
      <c r="AY938" s="551"/>
      <c r="AZ938" s="551"/>
      <c r="BA938" s="554">
        <f>+BK275</f>
        <v>13351981</v>
      </c>
      <c r="BB938" s="551"/>
      <c r="BC938" s="551"/>
      <c r="BD938" s="551"/>
      <c r="BE938" s="555">
        <f>+N143</f>
        <v>1970617</v>
      </c>
      <c r="BF938" s="551"/>
      <c r="BG938" s="556">
        <f>+BE938/BA938</f>
        <v>0.14758985951223269</v>
      </c>
      <c r="BH938" s="550"/>
      <c r="BI938" s="500"/>
    </row>
    <row r="939" spans="2:61" x14ac:dyDescent="0.75">
      <c r="B939" s="1"/>
      <c r="AT939" s="500"/>
      <c r="AU939" s="550"/>
      <c r="AV939" s="551"/>
      <c r="AW939" s="551"/>
      <c r="AX939" s="551"/>
      <c r="AY939" s="551"/>
      <c r="AZ939" s="551"/>
      <c r="BA939" s="554"/>
      <c r="BB939" s="551"/>
      <c r="BC939" s="551"/>
      <c r="BD939" s="551"/>
      <c r="BE939" s="551"/>
      <c r="BF939" s="551"/>
      <c r="BG939" s="556"/>
      <c r="BH939" s="550"/>
      <c r="BI939" s="500"/>
    </row>
    <row r="940" spans="2:61" x14ac:dyDescent="0.75">
      <c r="B940" s="1"/>
      <c r="AT940" s="500"/>
      <c r="AU940" s="550"/>
      <c r="AV940" s="551" t="s">
        <v>159</v>
      </c>
      <c r="AW940" s="551"/>
      <c r="AX940" s="551"/>
      <c r="AY940" s="551"/>
      <c r="AZ940" s="551"/>
      <c r="BA940" s="554">
        <v>52440389</v>
      </c>
      <c r="BB940" s="551"/>
      <c r="BC940" s="556">
        <f>+(BA940-BA938)/BA938</f>
        <v>2.9275362210296736</v>
      </c>
      <c r="BD940" s="551"/>
      <c r="BE940" s="555">
        <f>+N273</f>
        <v>1462688</v>
      </c>
      <c r="BF940" s="551"/>
      <c r="BG940" s="556">
        <f>+BE940/BA940</f>
        <v>2.7892394162064665E-2</v>
      </c>
      <c r="BH940" s="550"/>
      <c r="BI940" s="500"/>
    </row>
    <row r="941" spans="2:61" x14ac:dyDescent="0.75">
      <c r="B941" s="1"/>
      <c r="AT941" s="500"/>
      <c r="AU941" s="550"/>
      <c r="AV941" s="551"/>
      <c r="AW941" s="551"/>
      <c r="AX941" s="551"/>
      <c r="AY941" s="551"/>
      <c r="AZ941" s="551"/>
      <c r="BA941" s="554"/>
      <c r="BB941" s="551"/>
      <c r="BC941" s="551"/>
      <c r="BD941" s="551"/>
      <c r="BE941" s="551"/>
      <c r="BF941" s="551"/>
      <c r="BG941" s="551"/>
      <c r="BH941" s="550"/>
      <c r="BI941" s="500"/>
    </row>
    <row r="942" spans="2:61" x14ac:dyDescent="0.75">
      <c r="B942" s="1"/>
      <c r="AT942" s="500"/>
      <c r="AU942" s="550"/>
      <c r="AV942" s="632" t="s">
        <v>105</v>
      </c>
      <c r="AW942" s="632"/>
      <c r="AX942" s="632"/>
      <c r="AY942" s="632"/>
      <c r="AZ942" s="551"/>
      <c r="BA942" s="555">
        <f>+BA940-BA938</f>
        <v>39088408</v>
      </c>
      <c r="BB942" s="551"/>
      <c r="BC942" s="551"/>
      <c r="BD942" s="551"/>
      <c r="BE942" s="555">
        <f>+BE940-BE938</f>
        <v>-507929</v>
      </c>
      <c r="BF942" s="551"/>
      <c r="BG942" s="558"/>
      <c r="BH942" s="550"/>
      <c r="BI942" s="500"/>
    </row>
    <row r="943" spans="2:61" x14ac:dyDescent="0.75">
      <c r="B943" s="1"/>
      <c r="AT943" s="500"/>
      <c r="AU943" s="550"/>
      <c r="AV943" s="550"/>
      <c r="AW943" s="550"/>
      <c r="AX943" s="550"/>
      <c r="AY943" s="550"/>
      <c r="AZ943" s="550"/>
      <c r="BA943" s="550"/>
      <c r="BB943" s="550"/>
      <c r="BC943" s="550"/>
      <c r="BD943" s="550"/>
      <c r="BE943" s="550"/>
      <c r="BF943" s="550"/>
      <c r="BG943" s="550"/>
      <c r="BH943" s="550"/>
      <c r="BI943" s="500"/>
    </row>
    <row r="944" spans="2:61" x14ac:dyDescent="0.75">
      <c r="B944" s="1"/>
      <c r="AT944" s="500"/>
      <c r="AU944" s="500"/>
      <c r="AV944" s="500"/>
      <c r="AW944" s="500"/>
      <c r="AX944" s="500"/>
      <c r="AY944" s="500"/>
      <c r="AZ944" s="500"/>
      <c r="BA944" s="500"/>
      <c r="BB944" s="500"/>
      <c r="BC944" s="500"/>
      <c r="BD944" s="500"/>
      <c r="BE944" s="557"/>
      <c r="BF944" s="500"/>
      <c r="BG944" s="507"/>
      <c r="BH944" s="500"/>
      <c r="BI944" s="500"/>
    </row>
    <row r="945" spans="2:68" x14ac:dyDescent="0.75">
      <c r="B945" s="1"/>
    </row>
    <row r="946" spans="2:68" x14ac:dyDescent="0.75">
      <c r="B946" s="1"/>
    </row>
    <row r="947" spans="2:68" x14ac:dyDescent="0.75">
      <c r="B947" s="1"/>
      <c r="H947" s="1">
        <v>4000000</v>
      </c>
      <c r="AR947" s="500"/>
      <c r="AS947" s="500"/>
      <c r="AT947" s="500"/>
      <c r="AU947" s="500"/>
      <c r="AV947" s="500"/>
      <c r="AW947" s="500"/>
      <c r="AX947" s="500"/>
      <c r="AY947" s="500"/>
      <c r="AZ947" s="500"/>
      <c r="BA947" s="500"/>
      <c r="BB947" s="500"/>
      <c r="BC947" s="500"/>
      <c r="BD947" s="500"/>
      <c r="BE947" s="500"/>
      <c r="BF947" s="500"/>
      <c r="BG947" s="500"/>
      <c r="BH947" s="500"/>
      <c r="BI947" s="500"/>
    </row>
    <row r="948" spans="2:68" ht="16" x14ac:dyDescent="0.8">
      <c r="B948" s="1"/>
      <c r="H948" s="1"/>
      <c r="AR948" s="500"/>
      <c r="AS948" s="627" t="s">
        <v>170</v>
      </c>
      <c r="AT948" s="627"/>
      <c r="AU948" s="627"/>
      <c r="AV948" s="627"/>
      <c r="AW948" s="627"/>
      <c r="AX948" s="627"/>
      <c r="AY948" s="627"/>
      <c r="AZ948" s="627"/>
      <c r="BA948" s="627"/>
      <c r="BB948" s="627"/>
      <c r="BC948" s="627"/>
      <c r="BD948" s="627"/>
      <c r="BE948" s="627"/>
      <c r="BF948" s="627"/>
      <c r="BG948" s="627"/>
      <c r="BH948" s="627"/>
      <c r="BI948" s="500"/>
    </row>
    <row r="949" spans="2:68" x14ac:dyDescent="0.75">
      <c r="H949" s="1">
        <f>+H947/7</f>
        <v>571428.57142857148</v>
      </c>
      <c r="AR949" s="500"/>
      <c r="AS949" s="533"/>
      <c r="AT949" s="561"/>
      <c r="AU949" s="561"/>
      <c r="AV949" s="561"/>
      <c r="AW949" s="561"/>
      <c r="AX949" s="561"/>
      <c r="AY949" s="561"/>
      <c r="AZ949" s="561"/>
      <c r="BA949" s="561"/>
      <c r="BB949" s="561"/>
      <c r="BC949" s="561"/>
      <c r="BD949" s="561"/>
      <c r="BE949" s="633" t="s">
        <v>166</v>
      </c>
      <c r="BF949" s="561"/>
      <c r="BG949" s="639" t="s">
        <v>167</v>
      </c>
      <c r="BH949" s="533"/>
      <c r="BI949" s="500"/>
    </row>
    <row r="950" spans="2:68" x14ac:dyDescent="0.75">
      <c r="AR950" s="500"/>
      <c r="AS950" s="533"/>
      <c r="AT950" s="609" t="s">
        <v>19</v>
      </c>
      <c r="AU950" s="609"/>
      <c r="AV950" s="609"/>
      <c r="AW950" s="609"/>
      <c r="AX950" s="609"/>
      <c r="AY950" s="609"/>
      <c r="AZ950" s="561"/>
      <c r="BA950" s="560" t="s">
        <v>20</v>
      </c>
      <c r="BB950" s="561"/>
      <c r="BC950" s="560" t="s">
        <v>165</v>
      </c>
      <c r="BD950" s="561"/>
      <c r="BE950" s="634"/>
      <c r="BF950" s="561"/>
      <c r="BG950" s="637"/>
      <c r="BH950" s="533"/>
      <c r="BI950" s="500"/>
    </row>
    <row r="951" spans="2:68" x14ac:dyDescent="0.75">
      <c r="H951" t="s">
        <v>168</v>
      </c>
      <c r="J951">
        <v>28</v>
      </c>
      <c r="N951" s="1">
        <f>+H949*J951</f>
        <v>16000000.000000002</v>
      </c>
      <c r="AR951" s="500"/>
      <c r="AS951" s="533"/>
      <c r="AT951" s="629" t="s">
        <v>162</v>
      </c>
      <c r="AU951" s="629"/>
      <c r="AV951" s="629"/>
      <c r="AW951" s="629"/>
      <c r="AX951" s="629"/>
      <c r="AY951" s="561"/>
      <c r="AZ951" s="561"/>
      <c r="BA951" s="562">
        <f>+H174</f>
        <v>6826001</v>
      </c>
      <c r="BB951" s="561"/>
      <c r="BC951" s="561">
        <v>10</v>
      </c>
      <c r="BD951" s="561"/>
      <c r="BE951" s="563">
        <f>+BA951*BC951</f>
        <v>68260010</v>
      </c>
      <c r="BF951" s="561"/>
      <c r="BG951" s="561"/>
      <c r="BH951" s="533"/>
      <c r="BI951" s="500"/>
      <c r="BP951" s="56">
        <f>+BE951-BA951</f>
        <v>61434009</v>
      </c>
    </row>
    <row r="952" spans="2:68" x14ac:dyDescent="0.75">
      <c r="D952" s="56">
        <f>+N951+N952</f>
        <v>33714285.714285716</v>
      </c>
      <c r="H952" t="s">
        <v>169</v>
      </c>
      <c r="J952">
        <v>31</v>
      </c>
      <c r="N952" s="1">
        <f>+J952*H$949</f>
        <v>17714285.714285716</v>
      </c>
      <c r="AR952" s="500"/>
      <c r="AS952" s="533"/>
      <c r="AT952" s="629" t="s">
        <v>171</v>
      </c>
      <c r="AU952" s="629"/>
      <c r="AV952" s="629"/>
      <c r="AW952" s="629"/>
      <c r="AX952" s="629"/>
      <c r="AY952" s="561"/>
      <c r="AZ952" s="561"/>
      <c r="BA952" s="562">
        <f>+BA964-BA951</f>
        <v>3109228</v>
      </c>
      <c r="BB952" s="561"/>
      <c r="BC952" s="561">
        <v>5</v>
      </c>
      <c r="BD952" s="561"/>
      <c r="BE952" s="563">
        <f>+BA952*BC952</f>
        <v>15546140</v>
      </c>
      <c r="BF952" s="561"/>
      <c r="BG952" s="561"/>
      <c r="BH952" s="533"/>
      <c r="BI952" s="500"/>
      <c r="BP952" s="56">
        <f>+BE952-BA952</f>
        <v>12436912</v>
      </c>
    </row>
    <row r="953" spans="2:68" x14ac:dyDescent="0.75">
      <c r="D953" s="56">
        <f>+D952+N953</f>
        <v>50857142.857142866</v>
      </c>
      <c r="H953" t="s">
        <v>138</v>
      </c>
      <c r="J953">
        <v>30</v>
      </c>
      <c r="N953" s="1">
        <f>+J953*H$949</f>
        <v>17142857.142857146</v>
      </c>
      <c r="AR953" s="500"/>
      <c r="AS953" s="533"/>
      <c r="AT953" s="629" t="s">
        <v>163</v>
      </c>
      <c r="AU953" s="629"/>
      <c r="AV953" s="629"/>
      <c r="AW953" s="629"/>
      <c r="AX953" s="629"/>
      <c r="AY953" s="629"/>
      <c r="AZ953" s="629"/>
      <c r="BA953" s="562">
        <f>+BA966-BA964</f>
        <v>16784558</v>
      </c>
      <c r="BB953" s="561"/>
      <c r="BC953" s="561">
        <v>1</v>
      </c>
      <c r="BD953" s="561"/>
      <c r="BE953" s="563">
        <f>+BC953*BA953</f>
        <v>16784558</v>
      </c>
      <c r="BF953" s="561"/>
      <c r="BG953" s="561"/>
      <c r="BH953" s="533"/>
      <c r="BI953" s="500"/>
      <c r="BP953" s="56">
        <f>+BE953-BA953</f>
        <v>0</v>
      </c>
    </row>
    <row r="954" spans="2:68" x14ac:dyDescent="0.75">
      <c r="D954" s="56">
        <f>+D953+N954</f>
        <v>68571428.571428582</v>
      </c>
      <c r="H954" t="s">
        <v>139</v>
      </c>
      <c r="J954">
        <v>31</v>
      </c>
      <c r="N954" s="1">
        <f>+J954*H$949</f>
        <v>17714285.714285716</v>
      </c>
      <c r="AR954" s="500"/>
      <c r="AS954" s="533"/>
      <c r="AT954" s="569" t="s">
        <v>183</v>
      </c>
      <c r="AU954" s="561"/>
      <c r="AV954" s="561"/>
      <c r="AW954" s="561"/>
      <c r="AX954" s="561"/>
      <c r="AY954" s="561"/>
      <c r="AZ954" s="561"/>
      <c r="BA954" s="562">
        <f>SUM(D328:D386)</f>
        <v>4197929</v>
      </c>
      <c r="BB954" s="561"/>
      <c r="BC954" s="561">
        <v>1</v>
      </c>
      <c r="BD954" s="561"/>
      <c r="BE954" s="563">
        <f>+BC954*BA954</f>
        <v>4197929</v>
      </c>
      <c r="BF954" s="561"/>
      <c r="BG954" s="561"/>
      <c r="BH954" s="533"/>
      <c r="BI954" s="500"/>
      <c r="BP954" s="56">
        <f>+BE954-BA954</f>
        <v>0</v>
      </c>
    </row>
    <row r="955" spans="2:68" x14ac:dyDescent="0.75">
      <c r="D955" s="56"/>
      <c r="N955" s="1"/>
      <c r="AR955" s="500"/>
      <c r="AS955" s="533"/>
      <c r="AT955" s="569" t="s">
        <v>188</v>
      </c>
      <c r="AU955" s="561"/>
      <c r="AV955" s="561"/>
      <c r="AW955" s="561"/>
      <c r="AX955" s="561"/>
      <c r="AY955" s="561"/>
      <c r="AZ955" s="561"/>
      <c r="BA955" s="562">
        <f>SUM(D387:D509)</f>
        <v>4225210</v>
      </c>
      <c r="BB955" s="561"/>
      <c r="BC955" s="561">
        <v>1</v>
      </c>
      <c r="BD955" s="561"/>
      <c r="BE955" s="563">
        <f>+BC955*BA955</f>
        <v>4225210</v>
      </c>
      <c r="BF955" s="561"/>
      <c r="BG955" s="561"/>
      <c r="BH955" s="533"/>
      <c r="BI955" s="500"/>
      <c r="BP955" s="56"/>
    </row>
    <row r="956" spans="2:68" x14ac:dyDescent="0.75">
      <c r="AR956" s="500"/>
      <c r="AS956" s="533"/>
      <c r="AT956" s="629" t="s">
        <v>189</v>
      </c>
      <c r="AU956" s="629"/>
      <c r="AV956" s="629"/>
      <c r="AW956" s="629"/>
      <c r="AX956" s="629"/>
      <c r="AY956" s="629"/>
      <c r="AZ956" s="629"/>
      <c r="BA956" s="585">
        <f>SUM(D510:D635)</f>
        <v>11511436</v>
      </c>
      <c r="BB956" s="561"/>
      <c r="BC956" s="561"/>
      <c r="BD956" s="561"/>
      <c r="BE956" s="563"/>
      <c r="BF956" s="561"/>
      <c r="BG956" s="561"/>
      <c r="BH956" s="533"/>
      <c r="BI956" s="500"/>
      <c r="BP956" s="56">
        <f>+BA954-BA955</f>
        <v>-27281</v>
      </c>
    </row>
    <row r="957" spans="2:68" ht="15.5" thickBot="1" x14ac:dyDescent="0.9">
      <c r="D957" s="56">
        <f>+BE957+D954</f>
        <v>177585275.5714286</v>
      </c>
      <c r="H957" s="59">
        <f>+D957/320000000</f>
        <v>0.55495398616071434</v>
      </c>
      <c r="AR957" s="500"/>
      <c r="AS957" s="533"/>
      <c r="AT957" s="561"/>
      <c r="AU957" s="561"/>
      <c r="AV957" s="561"/>
      <c r="AW957" s="561"/>
      <c r="AX957" s="561"/>
      <c r="AY957" s="561"/>
      <c r="AZ957" s="561"/>
      <c r="BA957" s="564">
        <f>SUM(BA951:BA956)</f>
        <v>46654362</v>
      </c>
      <c r="BB957" s="561"/>
      <c r="BC957" s="561"/>
      <c r="BD957" s="561"/>
      <c r="BE957" s="564">
        <f>SUM(BE951:BE956)</f>
        <v>109013847</v>
      </c>
      <c r="BF957" s="561"/>
      <c r="BG957" s="565">
        <f>+BE957/320000000</f>
        <v>0.34066827187499998</v>
      </c>
      <c r="BH957" s="533"/>
      <c r="BI957" s="500"/>
      <c r="BP957" s="59">
        <f>+BP956/BA954</f>
        <v>-6.4986806589630271E-3</v>
      </c>
    </row>
    <row r="958" spans="2:68" ht="15.5" thickTop="1" x14ac:dyDescent="0.75">
      <c r="D958" s="56"/>
      <c r="H958" s="59"/>
      <c r="AR958" s="500"/>
      <c r="AS958" s="533"/>
      <c r="AT958" s="575" t="s">
        <v>185</v>
      </c>
      <c r="AU958" s="561"/>
      <c r="AV958" s="561"/>
      <c r="AW958" s="561"/>
      <c r="AX958" s="561"/>
      <c r="AY958" s="561"/>
      <c r="AZ958" s="561"/>
      <c r="BA958" s="484">
        <f>+BY978</f>
        <v>0.61144144144144141</v>
      </c>
      <c r="BB958" s="561"/>
      <c r="BC958" s="561"/>
      <c r="BD958" s="561"/>
      <c r="BE958" s="574"/>
      <c r="BF958" s="561"/>
      <c r="BG958" s="484"/>
      <c r="BH958" s="533"/>
      <c r="BI958" s="500"/>
      <c r="BP958" s="59"/>
    </row>
    <row r="959" spans="2:68" x14ac:dyDescent="0.75">
      <c r="D959" s="56"/>
      <c r="H959" s="59"/>
      <c r="AR959" s="500"/>
      <c r="AS959" s="533"/>
      <c r="AT959" s="575" t="s">
        <v>187</v>
      </c>
      <c r="AU959" s="561"/>
      <c r="AV959" s="561"/>
      <c r="AW959" s="561"/>
      <c r="AX959" s="561"/>
      <c r="AY959" s="561"/>
      <c r="AZ959" s="561"/>
      <c r="BA959" s="576">
        <f>+BA957*BA958</f>
        <v>28526410.350810811</v>
      </c>
      <c r="BB959" s="561"/>
      <c r="BC959" s="561"/>
      <c r="BD959" s="561"/>
      <c r="BE959" s="574"/>
      <c r="BF959" s="561"/>
      <c r="BG959" s="484"/>
      <c r="BH959" s="533"/>
      <c r="BI959" s="500"/>
      <c r="BP959" s="59"/>
    </row>
    <row r="960" spans="2:68" ht="15.5" thickBot="1" x14ac:dyDescent="0.9">
      <c r="D960" s="56"/>
      <c r="H960" s="59"/>
      <c r="AR960" s="500"/>
      <c r="AS960" s="533"/>
      <c r="AT960" s="575" t="s">
        <v>186</v>
      </c>
      <c r="AU960" s="561"/>
      <c r="AV960" s="561"/>
      <c r="AW960" s="561"/>
      <c r="AX960" s="561"/>
      <c r="AY960" s="561"/>
      <c r="AZ960" s="561"/>
      <c r="BA960" s="564">
        <f>+BA957-BA959</f>
        <v>18127951.649189189</v>
      </c>
      <c r="BB960" s="561"/>
      <c r="BC960" s="561"/>
      <c r="BD960" s="561"/>
      <c r="BE960" s="574"/>
      <c r="BF960" s="561"/>
      <c r="BG960" s="484"/>
      <c r="BH960" s="533"/>
      <c r="BI960" s="500"/>
      <c r="BP960" s="59"/>
    </row>
    <row r="961" spans="44:79" ht="15.5" thickTop="1" x14ac:dyDescent="0.75">
      <c r="AR961" s="500"/>
      <c r="AS961" s="533"/>
      <c r="AT961" s="561"/>
      <c r="AU961" s="561"/>
      <c r="AV961" s="561"/>
      <c r="AW961" s="561"/>
      <c r="AX961" s="561"/>
      <c r="AY961" s="561"/>
      <c r="AZ961" s="561"/>
      <c r="BA961" s="561"/>
      <c r="BB961" s="561"/>
      <c r="BC961" s="561"/>
      <c r="BD961" s="561"/>
      <c r="BE961" s="561"/>
      <c r="BF961" s="561"/>
      <c r="BG961" s="561"/>
      <c r="BH961" s="533"/>
      <c r="BI961" s="500"/>
      <c r="BP961">
        <v>35761323</v>
      </c>
      <c r="BR961" s="56">
        <f>+BA957-BP961</f>
        <v>10893039</v>
      </c>
    </row>
    <row r="962" spans="44:79" x14ac:dyDescent="0.75">
      <c r="AR962" s="500"/>
      <c r="AS962" s="500"/>
      <c r="AT962" s="500"/>
      <c r="AU962" s="500"/>
      <c r="AV962" s="500"/>
      <c r="AW962" s="500"/>
      <c r="AX962" s="500"/>
      <c r="AY962" s="500"/>
      <c r="AZ962" s="500"/>
      <c r="BA962" s="500"/>
      <c r="BB962" s="500"/>
      <c r="BC962" s="500"/>
      <c r="BD962" s="500"/>
      <c r="BE962" s="500"/>
      <c r="BF962" s="500"/>
      <c r="BG962" s="500"/>
      <c r="BH962" s="500"/>
      <c r="BI962" s="500"/>
    </row>
    <row r="963" spans="44:79" x14ac:dyDescent="0.75">
      <c r="BP963" s="587">
        <v>221538504.58886749</v>
      </c>
      <c r="BQ963" s="588"/>
      <c r="BR963" s="588"/>
      <c r="BS963" s="588"/>
      <c r="BT963" s="588"/>
    </row>
    <row r="964" spans="44:79" x14ac:dyDescent="0.75">
      <c r="AV964" t="s">
        <v>153</v>
      </c>
      <c r="BA964" s="56">
        <f>+H235</f>
        <v>9935229</v>
      </c>
    </row>
    <row r="966" spans="44:79" x14ac:dyDescent="0.75">
      <c r="AV966" t="s">
        <v>164</v>
      </c>
      <c r="BA966" s="56">
        <f>+H327</f>
        <v>26719787</v>
      </c>
    </row>
    <row r="967" spans="44:79" x14ac:dyDescent="0.75">
      <c r="BA967" s="56"/>
    </row>
    <row r="968" spans="44:79" x14ac:dyDescent="0.75">
      <c r="AR968" s="500"/>
      <c r="AS968" s="500"/>
      <c r="AT968" s="500"/>
      <c r="AU968" s="500"/>
      <c r="AV968" s="500"/>
      <c r="AW968" s="500"/>
      <c r="AX968" s="500"/>
      <c r="AY968" s="500"/>
      <c r="AZ968" s="500"/>
      <c r="BA968" s="557"/>
      <c r="BB968" s="500"/>
      <c r="BC968" s="500"/>
      <c r="BD968" s="500"/>
      <c r="BE968" s="500"/>
      <c r="BF968" s="500"/>
      <c r="BG968" s="500"/>
      <c r="BH968" s="500"/>
      <c r="BI968" s="500"/>
      <c r="BJ968" s="500"/>
      <c r="BK968" s="500"/>
      <c r="BL968" s="500"/>
      <c r="BM968" s="500"/>
      <c r="BN968" s="500"/>
      <c r="BO968" s="500"/>
      <c r="BP968" s="500"/>
      <c r="BQ968" s="500"/>
      <c r="BR968" s="500"/>
      <c r="BS968" s="500"/>
      <c r="BT968" s="500"/>
      <c r="BU968" s="500"/>
      <c r="BV968" s="500"/>
      <c r="BW968" s="500"/>
    </row>
    <row r="969" spans="44:79" ht="14.4" customHeight="1" x14ac:dyDescent="0.75">
      <c r="AR969" s="500"/>
      <c r="AS969" s="533"/>
      <c r="AT969" s="609" t="s">
        <v>176</v>
      </c>
      <c r="AU969" s="609"/>
      <c r="AV969" s="609"/>
      <c r="AW969" s="609"/>
      <c r="AX969" s="609"/>
      <c r="AY969" s="609"/>
      <c r="AZ969" s="609"/>
      <c r="BA969" s="609"/>
      <c r="BB969" s="609"/>
      <c r="BC969" s="609"/>
      <c r="BD969" s="609"/>
      <c r="BE969" s="609"/>
      <c r="BF969" s="609"/>
      <c r="BG969" s="609"/>
      <c r="BH969" s="609"/>
      <c r="BI969" s="609"/>
      <c r="BJ969" s="609"/>
      <c r="BK969" s="609"/>
      <c r="BL969" s="609"/>
      <c r="BM969" s="609"/>
      <c r="BN969" s="609"/>
      <c r="BO969" s="609"/>
      <c r="BP969" s="609"/>
      <c r="BQ969" s="609"/>
      <c r="BR969" s="609"/>
      <c r="BS969" s="609"/>
      <c r="BT969" s="609"/>
      <c r="BU969" s="609"/>
      <c r="BV969" s="609"/>
      <c r="BW969" s="500"/>
    </row>
    <row r="970" spans="44:79" ht="14.4" customHeight="1" x14ac:dyDescent="0.75">
      <c r="AR970" s="500"/>
      <c r="AS970" s="533"/>
      <c r="AT970" s="533"/>
      <c r="AU970" s="533"/>
      <c r="AV970" s="533"/>
      <c r="AW970" s="533"/>
      <c r="AX970" s="533"/>
      <c r="AY970" s="533"/>
      <c r="AZ970" s="533"/>
      <c r="BA970" s="630" t="s">
        <v>172</v>
      </c>
      <c r="BB970" s="630"/>
      <c r="BC970" s="630"/>
      <c r="BD970" s="630"/>
      <c r="BE970" s="630"/>
      <c r="BF970" s="561"/>
      <c r="BG970" s="609" t="s">
        <v>180</v>
      </c>
      <c r="BH970" s="609"/>
      <c r="BI970" s="609"/>
      <c r="BJ970" s="609"/>
      <c r="BK970" s="609"/>
      <c r="BL970" s="609"/>
      <c r="BM970" s="609"/>
      <c r="BN970" s="609"/>
      <c r="BO970" s="609"/>
      <c r="BP970" s="609"/>
      <c r="BQ970" s="533"/>
      <c r="BR970" s="636" t="s">
        <v>176</v>
      </c>
      <c r="BS970" s="636"/>
      <c r="BT970" s="636"/>
      <c r="BU970" s="636"/>
      <c r="BV970" s="636"/>
      <c r="BW970" s="500"/>
    </row>
    <row r="971" spans="44:79" x14ac:dyDescent="0.75">
      <c r="AR971" s="500"/>
      <c r="AS971" s="533"/>
      <c r="AT971" s="533"/>
      <c r="AU971" s="533"/>
      <c r="AV971" s="533"/>
      <c r="AW971" s="533"/>
      <c r="AX971" s="533"/>
      <c r="AY971" s="533"/>
      <c r="AZ971" s="533"/>
      <c r="BA971" s="570" t="s">
        <v>177</v>
      </c>
      <c r="BB971" s="571"/>
      <c r="BC971" s="572" t="s">
        <v>182</v>
      </c>
      <c r="BD971" s="571"/>
      <c r="BE971" s="572" t="s">
        <v>178</v>
      </c>
      <c r="BF971" s="561"/>
      <c r="BG971" s="570"/>
      <c r="BH971" s="571"/>
      <c r="BI971" s="631"/>
      <c r="BJ971" s="631"/>
      <c r="BK971" s="631"/>
      <c r="BL971" s="631"/>
      <c r="BM971" s="631"/>
      <c r="BN971" s="631"/>
      <c r="BO971" s="473"/>
      <c r="BP971" s="572"/>
      <c r="BQ971" s="533"/>
      <c r="BR971" s="637"/>
      <c r="BS971" s="637"/>
      <c r="BT971" s="637"/>
      <c r="BU971" s="637"/>
      <c r="BV971" s="637"/>
      <c r="BW971" s="500"/>
    </row>
    <row r="972" spans="44:79" x14ac:dyDescent="0.75">
      <c r="AR972" s="500"/>
      <c r="AS972" s="533"/>
      <c r="AT972" s="533"/>
      <c r="AU972" s="533"/>
      <c r="AV972" s="533"/>
      <c r="AW972" s="533"/>
      <c r="AX972" s="533"/>
      <c r="AY972" s="533"/>
      <c r="AZ972" s="533"/>
      <c r="BA972" s="568" t="s">
        <v>173</v>
      </c>
      <c r="BB972" s="566"/>
      <c r="BC972" s="568" t="s">
        <v>175</v>
      </c>
      <c r="BD972" s="566"/>
      <c r="BE972" s="568" t="s">
        <v>174</v>
      </c>
      <c r="BF972" s="561"/>
      <c r="BG972" s="567" t="s">
        <v>180</v>
      </c>
      <c r="BH972" s="561"/>
      <c r="BI972" s="596" t="s">
        <v>184</v>
      </c>
      <c r="BJ972" s="596"/>
      <c r="BK972" s="596"/>
      <c r="BL972" s="596"/>
      <c r="BM972" s="596"/>
      <c r="BN972" s="596"/>
      <c r="BO972" s="561"/>
      <c r="BP972" s="568" t="s">
        <v>181</v>
      </c>
      <c r="BQ972" s="533"/>
      <c r="BR972" s="638" t="s">
        <v>179</v>
      </c>
      <c r="BS972" s="638"/>
      <c r="BT972" s="638"/>
      <c r="BU972" s="638"/>
      <c r="BV972" s="638"/>
      <c r="BW972" s="500"/>
    </row>
    <row r="973" spans="44:79" x14ac:dyDescent="0.75">
      <c r="AR973" s="500"/>
      <c r="AS973" s="533"/>
      <c r="AT973" s="629" t="s">
        <v>162</v>
      </c>
      <c r="AU973" s="629"/>
      <c r="AV973" s="629"/>
      <c r="AW973" s="629"/>
      <c r="AX973" s="629"/>
      <c r="AY973" s="561"/>
      <c r="AZ973" s="561"/>
      <c r="BA973" s="562">
        <f>+BA951</f>
        <v>6826001</v>
      </c>
      <c r="BB973" s="561"/>
      <c r="BC973" s="562">
        <f>+BE973-BA973</f>
        <v>61434009</v>
      </c>
      <c r="BD973" s="561"/>
      <c r="BE973" s="562">
        <f>+BE951</f>
        <v>68260010</v>
      </c>
      <c r="BF973" s="533"/>
      <c r="BG973" s="563">
        <v>0</v>
      </c>
      <c r="BH973" s="563"/>
      <c r="BI973" s="563"/>
      <c r="BJ973" s="563"/>
      <c r="BK973" s="563"/>
      <c r="BL973" s="563"/>
      <c r="BM973" s="563"/>
      <c r="BN973" s="563">
        <f>+BG973</f>
        <v>0</v>
      </c>
      <c r="BO973" s="563"/>
      <c r="BP973" s="563">
        <f>+BN973*0.5</f>
        <v>0</v>
      </c>
      <c r="BQ973" s="561"/>
      <c r="BR973" s="587">
        <f t="shared" ref="BR973:BR978" si="4213">+BE973+BP973</f>
        <v>68260010</v>
      </c>
      <c r="BS973" s="588"/>
      <c r="BT973" s="588"/>
      <c r="BU973" s="588"/>
      <c r="BV973" s="588"/>
      <c r="BW973" s="500"/>
      <c r="CA973" s="56">
        <f>+BR973</f>
        <v>68260010</v>
      </c>
    </row>
    <row r="974" spans="44:79" x14ac:dyDescent="0.75">
      <c r="AR974" s="500"/>
      <c r="AS974" s="533"/>
      <c r="AT974" s="629" t="s">
        <v>171</v>
      </c>
      <c r="AU974" s="629"/>
      <c r="AV974" s="629"/>
      <c r="AW974" s="629"/>
      <c r="AX974" s="629"/>
      <c r="AY974" s="561"/>
      <c r="AZ974" s="561"/>
      <c r="BA974" s="562">
        <f>+BA973+BA952</f>
        <v>9935229</v>
      </c>
      <c r="BB974" s="561"/>
      <c r="BC974" s="562">
        <f>+BE974-BA974</f>
        <v>73870921</v>
      </c>
      <c r="BD974" s="561"/>
      <c r="BE974" s="562">
        <f>+BE973+BE952</f>
        <v>83806150</v>
      </c>
      <c r="BF974" s="533"/>
      <c r="BG974" s="563">
        <v>0</v>
      </c>
      <c r="BH974" s="563"/>
      <c r="BI974" s="563"/>
      <c r="BJ974" s="563"/>
      <c r="BK974" s="563"/>
      <c r="BL974" s="563"/>
      <c r="BM974" s="563"/>
      <c r="BN974" s="563">
        <f>+BN973+BG974</f>
        <v>0</v>
      </c>
      <c r="BO974" s="563"/>
      <c r="BP974" s="563">
        <f>+BN974*0.5</f>
        <v>0</v>
      </c>
      <c r="BQ974" s="561"/>
      <c r="BR974" s="587">
        <f t="shared" si="4213"/>
        <v>83806150</v>
      </c>
      <c r="BS974" s="588"/>
      <c r="BT974" s="588"/>
      <c r="BU974" s="588"/>
      <c r="BV974" s="588"/>
      <c r="BW974" s="500"/>
    </row>
    <row r="975" spans="44:79" x14ac:dyDescent="0.75">
      <c r="AR975" s="500"/>
      <c r="AS975" s="533"/>
      <c r="AT975" s="629" t="s">
        <v>163</v>
      </c>
      <c r="AU975" s="629"/>
      <c r="AV975" s="629"/>
      <c r="AW975" s="629"/>
      <c r="AX975" s="629"/>
      <c r="AY975" s="629"/>
      <c r="AZ975" s="629"/>
      <c r="BA975" s="562">
        <f>+BA974+BA953</f>
        <v>26719787</v>
      </c>
      <c r="BB975" s="561"/>
      <c r="BC975" s="562">
        <f>(+BE975-BA975)*(1-0.2)</f>
        <v>59096736.800000004</v>
      </c>
      <c r="BD975" s="561"/>
      <c r="BE975" s="562">
        <f>+BE974+BE953</f>
        <v>100590708</v>
      </c>
      <c r="BF975" s="533"/>
      <c r="BG975" s="563">
        <f>13400000+5660000</f>
        <v>19060000</v>
      </c>
      <c r="BH975" s="563"/>
      <c r="BI975" s="589"/>
      <c r="BJ975" s="589"/>
      <c r="BK975" s="589"/>
      <c r="BL975" s="589"/>
      <c r="BM975" s="589"/>
      <c r="BN975" s="589"/>
      <c r="BO975" s="563"/>
      <c r="BP975" s="563">
        <f>+BG975</f>
        <v>19060000</v>
      </c>
      <c r="BQ975" s="561"/>
      <c r="BR975" s="587">
        <f t="shared" si="4213"/>
        <v>119650708</v>
      </c>
      <c r="BS975" s="588"/>
      <c r="BT975" s="588"/>
      <c r="BU975" s="588"/>
      <c r="BV975" s="588"/>
      <c r="BW975" s="500"/>
    </row>
    <row r="976" spans="44:79" x14ac:dyDescent="0.75">
      <c r="AR976" s="500"/>
      <c r="AS976" s="533"/>
      <c r="AT976" s="569" t="s">
        <v>183</v>
      </c>
      <c r="AU976" s="561"/>
      <c r="AV976" s="561"/>
      <c r="AW976" s="561"/>
      <c r="AX976" s="561"/>
      <c r="AY976" s="561"/>
      <c r="AZ976" s="561"/>
      <c r="BA976" s="562">
        <f>+BA975+BA954</f>
        <v>30917716</v>
      </c>
      <c r="BB976" s="561"/>
      <c r="BC976" s="562">
        <f>(+BE976-BA976)*(1-0.34)</f>
        <v>48754807.859999992</v>
      </c>
      <c r="BD976" s="561"/>
      <c r="BE976" s="562">
        <f>+BE975+BE954</f>
        <v>104788637</v>
      </c>
      <c r="BF976" s="533"/>
      <c r="BG976" s="563">
        <f>53420000-BG975</f>
        <v>34360000</v>
      </c>
      <c r="BH976" s="563"/>
      <c r="BI976" s="589"/>
      <c r="BJ976" s="589"/>
      <c r="BK976" s="589"/>
      <c r="BL976" s="589"/>
      <c r="BM976" s="589"/>
      <c r="BN976" s="589"/>
      <c r="BO976" s="563"/>
      <c r="BP976" s="563">
        <f>+BP975+BG976</f>
        <v>53420000</v>
      </c>
      <c r="BQ976" s="561"/>
      <c r="BR976" s="587">
        <f t="shared" si="4213"/>
        <v>158208637</v>
      </c>
      <c r="BS976" s="588"/>
      <c r="BT976" s="588"/>
      <c r="BU976" s="588"/>
      <c r="BV976" s="588"/>
      <c r="BW976" s="500"/>
    </row>
    <row r="977" spans="42:90" x14ac:dyDescent="0.75">
      <c r="AR977" s="500"/>
      <c r="AS977" s="533"/>
      <c r="AT977" s="569" t="s">
        <v>188</v>
      </c>
      <c r="AU977" s="561"/>
      <c r="AV977" s="561"/>
      <c r="AW977" s="561"/>
      <c r="AX977" s="561"/>
      <c r="AY977" s="561"/>
      <c r="AZ977" s="561"/>
      <c r="BA977" s="562">
        <v>17702720</v>
      </c>
      <c r="BB977" s="561"/>
      <c r="BC977" s="562">
        <v>36659557</v>
      </c>
      <c r="BD977" s="561"/>
      <c r="BE977" s="562">
        <f>+BA977+BC977</f>
        <v>54362277</v>
      </c>
      <c r="BF977" s="533"/>
      <c r="BG977" s="563">
        <f>164760000-BP976</f>
        <v>111340000</v>
      </c>
      <c r="BH977" s="563"/>
      <c r="BI977" s="589"/>
      <c r="BJ977" s="589"/>
      <c r="BK977" s="589"/>
      <c r="BL977" s="589"/>
      <c r="BM977" s="589"/>
      <c r="BN977" s="589"/>
      <c r="BO977" s="563"/>
      <c r="BP977" s="563">
        <f>+BP976+BG977</f>
        <v>164760000</v>
      </c>
      <c r="BQ977" s="561"/>
      <c r="BR977" s="587">
        <f t="shared" si="4213"/>
        <v>219122277</v>
      </c>
      <c r="BS977" s="588"/>
      <c r="BT977" s="588"/>
      <c r="BU977" s="588"/>
      <c r="BV977" s="588"/>
      <c r="BW977" s="500"/>
      <c r="CL977" s="1">
        <v>333000000</v>
      </c>
    </row>
    <row r="978" spans="42:90" x14ac:dyDescent="0.75">
      <c r="AR978" s="500"/>
      <c r="AS978" s="533"/>
      <c r="AT978" s="569" t="s">
        <v>189</v>
      </c>
      <c r="AU978" s="561"/>
      <c r="AV978" s="561"/>
      <c r="AW978" s="561"/>
      <c r="AX978" s="561"/>
      <c r="AY978" s="561"/>
      <c r="AZ978" s="561"/>
      <c r="BA978" s="562">
        <f>+BA960</f>
        <v>18127951.649189189</v>
      </c>
      <c r="BB978" s="561"/>
      <c r="BC978" s="562">
        <f>+BC974*BY978</f>
        <v>45167742.416846842</v>
      </c>
      <c r="BD978" s="561"/>
      <c r="BE978" s="562">
        <f>+BA978+BC978</f>
        <v>63295694.066036031</v>
      </c>
      <c r="BF978" s="533"/>
      <c r="BG978" s="563">
        <f>203610000-BP977</f>
        <v>38850000</v>
      </c>
      <c r="BH978" s="563"/>
      <c r="BI978" s="589"/>
      <c r="BJ978" s="589"/>
      <c r="BK978" s="589"/>
      <c r="BL978" s="589"/>
      <c r="BM978" s="589"/>
      <c r="BN978" s="589"/>
      <c r="BO978" s="563"/>
      <c r="BP978" s="563">
        <f>+BP977+BG978</f>
        <v>203610000</v>
      </c>
      <c r="BQ978" s="561"/>
      <c r="BR978" s="587">
        <f t="shared" si="4213"/>
        <v>266905694.06603605</v>
      </c>
      <c r="BS978" s="587"/>
      <c r="BT978" s="587"/>
      <c r="BU978" s="587"/>
      <c r="BV978" s="587"/>
      <c r="BW978" s="500"/>
      <c r="BY978" s="59">
        <f>+BP978/CL977</f>
        <v>0.61144144144144141</v>
      </c>
      <c r="CL978" s="1"/>
    </row>
    <row r="979" spans="42:90" x14ac:dyDescent="0.75">
      <c r="AR979" s="500"/>
      <c r="AS979" s="500"/>
      <c r="AT979" s="500"/>
      <c r="AU979" s="500"/>
      <c r="AV979" s="500"/>
      <c r="AW979" s="500"/>
      <c r="AX979" s="500"/>
      <c r="AY979" s="500"/>
      <c r="AZ979" s="500"/>
      <c r="BA979" s="500"/>
      <c r="BB979" s="500"/>
      <c r="BC979" s="500"/>
      <c r="BD979" s="500"/>
      <c r="BE979" s="500"/>
      <c r="BF979" s="500"/>
      <c r="BG979" s="500"/>
      <c r="BH979" s="500"/>
      <c r="BI979" s="500"/>
      <c r="BJ979" s="500"/>
      <c r="BK979" s="500"/>
      <c r="BL979" s="500"/>
      <c r="BM979" s="500"/>
      <c r="BN979" s="500"/>
      <c r="BO979" s="500"/>
      <c r="BP979" s="500"/>
      <c r="BQ979" s="500"/>
      <c r="BR979" s="500"/>
      <c r="BS979" s="500"/>
      <c r="BT979" s="500"/>
      <c r="BU979" s="500"/>
      <c r="BV979" s="500"/>
      <c r="BW979" s="500"/>
      <c r="CL979" s="59">
        <f>+BR978/CL977</f>
        <v>0.80151860079890702</v>
      </c>
    </row>
    <row r="981" spans="42:90" x14ac:dyDescent="0.75">
      <c r="BA981" s="56">
        <f>+BR977+BA959</f>
        <v>247648687.35081083</v>
      </c>
      <c r="BC981" s="59">
        <f>+BA981/CL977</f>
        <v>0.74368975180423669</v>
      </c>
      <c r="BE981" s="56"/>
      <c r="BG981" s="1">
        <v>202530000</v>
      </c>
      <c r="BP981" s="1">
        <f>+(BP978-BP977)/2</f>
        <v>19425000</v>
      </c>
      <c r="CL981" s="56">
        <f>+CL977-BR977</f>
        <v>113877723</v>
      </c>
    </row>
    <row r="982" spans="42:90" x14ac:dyDescent="0.75">
      <c r="BG982" s="56">
        <f>+BP978-BG981</f>
        <v>1080000</v>
      </c>
      <c r="BP982" s="56">
        <v>1800000</v>
      </c>
    </row>
    <row r="983" spans="42:90" ht="15.5" thickBot="1" x14ac:dyDescent="0.9">
      <c r="BP983" s="578">
        <f>+BP981-BP982</f>
        <v>17625000</v>
      </c>
    </row>
    <row r="984" spans="42:90" ht="15.5" thickTop="1" x14ac:dyDescent="0.75">
      <c r="CL984" s="59">
        <f>+BP977/CL977</f>
        <v>0.49477477477477477</v>
      </c>
    </row>
    <row r="986" spans="42:90" x14ac:dyDescent="0.75">
      <c r="BE986" s="500"/>
      <c r="BF986" s="500"/>
      <c r="BG986" s="500"/>
      <c r="BH986" s="500"/>
      <c r="BI986" s="500"/>
      <c r="BJ986" s="500"/>
      <c r="BK986" s="500"/>
      <c r="BL986" s="500"/>
      <c r="BM986" s="500"/>
      <c r="BN986" s="500"/>
      <c r="BO986" s="500"/>
      <c r="BP986" s="500"/>
      <c r="BQ986" s="500"/>
      <c r="BR986" s="500"/>
      <c r="BS986" s="500"/>
      <c r="BT986" s="500"/>
      <c r="BU986" s="500"/>
      <c r="BV986" s="500"/>
      <c r="BW986" s="500"/>
      <c r="BX986" s="500"/>
      <c r="BY986" s="500"/>
    </row>
    <row r="987" spans="42:90" x14ac:dyDescent="0.75">
      <c r="BE987" s="500"/>
      <c r="BF987" s="500"/>
      <c r="BG987" s="500"/>
      <c r="BH987" s="500"/>
      <c r="BI987" s="500"/>
      <c r="BJ987" s="500"/>
      <c r="BK987" s="500"/>
      <c r="BL987" s="500"/>
      <c r="BM987" s="500"/>
      <c r="BN987" s="500"/>
      <c r="BO987" s="500"/>
      <c r="BP987" s="500"/>
      <c r="BQ987" s="500"/>
      <c r="BR987" s="500"/>
      <c r="BS987" s="500"/>
      <c r="BT987" s="500"/>
      <c r="BU987" s="500"/>
      <c r="BV987" s="500"/>
      <c r="BW987" s="500"/>
      <c r="BX987" s="500"/>
      <c r="BY987" s="500"/>
    </row>
    <row r="988" spans="42:90" x14ac:dyDescent="0.75">
      <c r="AP988" s="1">
        <v>1500000</v>
      </c>
      <c r="BE988" s="500"/>
      <c r="BF988" s="500"/>
      <c r="BG988" s="500"/>
      <c r="BH988" s="500"/>
      <c r="BI988" s="500"/>
      <c r="BJ988" s="500"/>
      <c r="BK988" s="500"/>
      <c r="BL988" s="500"/>
      <c r="BM988" s="500"/>
      <c r="BN988" s="500"/>
      <c r="BO988" s="500"/>
      <c r="BP988" s="500"/>
      <c r="BQ988" s="500"/>
      <c r="BR988" s="500"/>
      <c r="BS988" s="500"/>
      <c r="BT988" s="500"/>
      <c r="BU988" s="500"/>
      <c r="BV988" s="500"/>
      <c r="BW988" s="500"/>
      <c r="BX988" s="500"/>
      <c r="BY988" s="500"/>
    </row>
    <row r="989" spans="42:90" x14ac:dyDescent="0.75">
      <c r="AP989">
        <v>7</v>
      </c>
      <c r="BE989" s="500"/>
      <c r="BY989" s="500"/>
      <c r="CL989">
        <v>177090000</v>
      </c>
    </row>
    <row r="990" spans="42:90" x14ac:dyDescent="0.75">
      <c r="AP990" s="1">
        <f>+AP988*AP989</f>
        <v>10500000</v>
      </c>
      <c r="BE990" s="500"/>
      <c r="BY990" s="500"/>
      <c r="CL990" s="231">
        <f>+CL989/CL977</f>
        <v>0.53180180180180181</v>
      </c>
    </row>
    <row r="991" spans="42:90" x14ac:dyDescent="0.75">
      <c r="BE991" s="500"/>
      <c r="BY991" s="500"/>
    </row>
    <row r="992" spans="42:90" x14ac:dyDescent="0.75">
      <c r="BE992" s="500"/>
      <c r="BY992" s="500"/>
    </row>
    <row r="993" spans="57:90" x14ac:dyDescent="0.75">
      <c r="BE993" s="500"/>
      <c r="BY993" s="500"/>
      <c r="CL993" s="56">
        <f>+BR977+27420000</f>
        <v>246542277</v>
      </c>
    </row>
    <row r="994" spans="57:90" x14ac:dyDescent="0.75">
      <c r="BE994" s="500"/>
      <c r="BY994" s="500"/>
    </row>
    <row r="995" spans="57:90" x14ac:dyDescent="0.75">
      <c r="BE995" s="500"/>
      <c r="BY995" s="500"/>
      <c r="CL995" s="59">
        <f>+CL993/CL977</f>
        <v>0.74036719819819818</v>
      </c>
    </row>
    <row r="996" spans="57:90" x14ac:dyDescent="0.75">
      <c r="BE996" s="500"/>
      <c r="BY996" s="500"/>
    </row>
    <row r="997" spans="57:90" x14ac:dyDescent="0.75">
      <c r="BE997" s="500"/>
      <c r="BY997" s="500"/>
    </row>
    <row r="998" spans="57:90" x14ac:dyDescent="0.75">
      <c r="BE998" s="500"/>
      <c r="BY998" s="500"/>
    </row>
    <row r="999" spans="57:90" x14ac:dyDescent="0.75">
      <c r="BE999" s="500"/>
      <c r="BY999" s="500"/>
    </row>
    <row r="1000" spans="57:90" x14ac:dyDescent="0.75">
      <c r="BE1000" s="500"/>
      <c r="BY1000" s="500"/>
    </row>
    <row r="1001" spans="57:90" x14ac:dyDescent="0.75">
      <c r="BE1001" s="500"/>
      <c r="BY1001" s="500"/>
    </row>
    <row r="1002" spans="57:90" x14ac:dyDescent="0.75">
      <c r="BE1002" s="500"/>
      <c r="BF1002" s="500"/>
      <c r="BG1002" s="500"/>
      <c r="BH1002" s="500"/>
      <c r="BI1002" s="500"/>
      <c r="BJ1002" s="500"/>
      <c r="BK1002" s="500"/>
      <c r="BL1002" s="500"/>
      <c r="BM1002" s="500"/>
      <c r="BN1002" s="500"/>
      <c r="BO1002" s="500"/>
      <c r="BP1002" s="500"/>
      <c r="BQ1002" s="500"/>
      <c r="BR1002" s="500"/>
      <c r="BS1002" s="500"/>
      <c r="BT1002" s="500"/>
      <c r="BU1002" s="500"/>
      <c r="BV1002" s="500"/>
      <c r="BW1002" s="500"/>
      <c r="BX1002" s="500"/>
      <c r="BY1002" s="500"/>
    </row>
    <row r="1003" spans="57:90" x14ac:dyDescent="0.75">
      <c r="BE1003" s="500"/>
      <c r="BF1003" s="500"/>
      <c r="BG1003" s="500"/>
      <c r="BH1003" s="500"/>
      <c r="BI1003" s="500"/>
      <c r="BJ1003" s="500"/>
      <c r="BK1003" s="500"/>
      <c r="BL1003" s="500"/>
      <c r="BM1003" s="500"/>
      <c r="BN1003" s="500"/>
      <c r="BO1003" s="500"/>
      <c r="BP1003" s="500"/>
      <c r="BQ1003" s="500"/>
      <c r="BR1003" s="500"/>
      <c r="BS1003" s="500"/>
      <c r="BT1003" s="500"/>
      <c r="BU1003" s="500"/>
      <c r="BV1003" s="500"/>
      <c r="BW1003" s="500"/>
      <c r="BX1003" s="500"/>
      <c r="BY1003" s="500"/>
    </row>
    <row r="1004" spans="57:90" x14ac:dyDescent="0.75">
      <c r="BE1004" s="500"/>
      <c r="BF1004" s="500"/>
      <c r="BG1004" s="500"/>
      <c r="BH1004" s="500"/>
      <c r="BI1004" s="500"/>
      <c r="BJ1004" s="500"/>
      <c r="BK1004" s="500"/>
      <c r="BL1004" s="500"/>
      <c r="BM1004" s="500"/>
      <c r="BN1004" s="500"/>
      <c r="BO1004" s="500"/>
      <c r="BP1004" s="500"/>
      <c r="BQ1004" s="500"/>
      <c r="BR1004" s="500"/>
      <c r="BS1004" s="500"/>
      <c r="BT1004" s="500"/>
      <c r="BU1004" s="500"/>
      <c r="BV1004" s="500"/>
      <c r="BW1004" s="500"/>
      <c r="BX1004" s="500"/>
      <c r="BY1004" s="500"/>
    </row>
    <row r="1005" spans="57:90" x14ac:dyDescent="0.75">
      <c r="BE1005" s="500"/>
      <c r="BF1005" s="500"/>
      <c r="BG1005" s="500"/>
      <c r="BH1005" s="500"/>
      <c r="BI1005" s="500"/>
      <c r="BJ1005" s="500"/>
      <c r="BK1005" s="500"/>
      <c r="BL1005" s="500"/>
      <c r="BM1005" s="500"/>
      <c r="BN1005" s="500"/>
      <c r="BO1005" s="500"/>
      <c r="BP1005" s="500"/>
      <c r="BQ1005" s="500"/>
      <c r="BR1005" s="500"/>
      <c r="BS1005" s="500"/>
      <c r="BT1005" s="500"/>
      <c r="BU1005" s="500"/>
      <c r="BV1005" s="500"/>
      <c r="BW1005" s="500"/>
      <c r="BX1005" s="500"/>
      <c r="BY1005" s="500"/>
    </row>
    <row r="1006" spans="57:90" x14ac:dyDescent="0.75">
      <c r="BE1006" s="500"/>
      <c r="BF1006" s="500"/>
      <c r="BG1006" s="500"/>
      <c r="BH1006" s="500"/>
      <c r="BI1006" s="500"/>
      <c r="BJ1006" s="500"/>
      <c r="BK1006" s="500"/>
      <c r="BL1006" s="500"/>
      <c r="BM1006" s="500"/>
      <c r="BN1006" s="500"/>
      <c r="BO1006" s="500"/>
      <c r="BP1006" s="500"/>
      <c r="BQ1006" s="500"/>
      <c r="BR1006" s="500"/>
      <c r="BS1006" s="500"/>
      <c r="BT1006" s="500"/>
      <c r="BU1006" s="500"/>
      <c r="BV1006" s="500"/>
      <c r="BW1006" s="500"/>
      <c r="BX1006" s="500"/>
      <c r="BY1006" s="500"/>
    </row>
    <row r="1007" spans="57:90" x14ac:dyDescent="0.75">
      <c r="BE1007" s="500"/>
      <c r="BF1007" s="500"/>
      <c r="BG1007" s="500"/>
      <c r="BH1007" s="500"/>
      <c r="BI1007" s="500"/>
      <c r="BJ1007" s="500"/>
      <c r="BK1007" s="500"/>
      <c r="BL1007" s="500"/>
      <c r="BM1007" s="500"/>
      <c r="BN1007" s="500"/>
      <c r="BO1007" s="500"/>
      <c r="BP1007" s="500"/>
      <c r="BQ1007" s="500"/>
      <c r="BR1007" s="500"/>
      <c r="BS1007" s="500"/>
      <c r="BT1007" s="500"/>
      <c r="BU1007" s="500"/>
      <c r="BV1007" s="500"/>
      <c r="BW1007" s="500"/>
      <c r="BX1007" s="500"/>
      <c r="BY1007" s="500"/>
    </row>
    <row r="1008" spans="57:90" x14ac:dyDescent="0.75">
      <c r="BE1008" s="500"/>
      <c r="BF1008" s="500"/>
      <c r="BG1008" s="500"/>
      <c r="BH1008" s="500"/>
      <c r="BI1008" s="500"/>
      <c r="BJ1008" s="500"/>
      <c r="BK1008" s="500"/>
      <c r="BL1008" s="500"/>
      <c r="BM1008" s="500"/>
      <c r="BN1008" s="500"/>
      <c r="BO1008" s="500"/>
      <c r="BP1008" s="500"/>
      <c r="BQ1008" s="500"/>
      <c r="BR1008" s="500"/>
      <c r="BS1008" s="500"/>
      <c r="BT1008" s="500"/>
      <c r="BU1008" s="500"/>
      <c r="BV1008" s="500"/>
      <c r="BW1008" s="500"/>
      <c r="BX1008" s="500"/>
      <c r="BY1008" s="500"/>
    </row>
    <row r="1009" spans="57:77" x14ac:dyDescent="0.75">
      <c r="BE1009" s="500"/>
      <c r="BF1009" s="500"/>
      <c r="BG1009" s="500"/>
      <c r="BH1009" s="500"/>
      <c r="BI1009" s="500"/>
      <c r="BJ1009" s="500"/>
      <c r="BK1009" s="500"/>
      <c r="BL1009" s="500"/>
      <c r="BM1009" s="500"/>
      <c r="BN1009" s="500"/>
      <c r="BO1009" s="500"/>
      <c r="BP1009" s="500"/>
      <c r="BQ1009" s="500"/>
      <c r="BR1009" s="500"/>
      <c r="BS1009" s="500"/>
      <c r="BT1009" s="500"/>
      <c r="BU1009" s="500"/>
      <c r="BV1009" s="500"/>
      <c r="BW1009" s="500"/>
      <c r="BX1009" s="500"/>
      <c r="BY1009" s="500"/>
    </row>
  </sheetData>
  <mergeCells count="60">
    <mergeCell ref="BR978:BV978"/>
    <mergeCell ref="AV942:AY942"/>
    <mergeCell ref="BE949:BE950"/>
    <mergeCell ref="AV925:AX925"/>
    <mergeCell ref="BR970:BV971"/>
    <mergeCell ref="BR972:BV972"/>
    <mergeCell ref="AT952:AX952"/>
    <mergeCell ref="AT956:AZ956"/>
    <mergeCell ref="AT950:AY950"/>
    <mergeCell ref="AT953:AZ953"/>
    <mergeCell ref="AT969:BV969"/>
    <mergeCell ref="BG949:BG950"/>
    <mergeCell ref="AT951:AX951"/>
    <mergeCell ref="BP963:BT963"/>
    <mergeCell ref="BI977:BN977"/>
    <mergeCell ref="BR973:BV973"/>
    <mergeCell ref="AK882:AN882"/>
    <mergeCell ref="AS948:BH948"/>
    <mergeCell ref="H910:J910"/>
    <mergeCell ref="AK887:AN887"/>
    <mergeCell ref="BI978:BN978"/>
    <mergeCell ref="AT973:AX973"/>
    <mergeCell ref="AT974:AX974"/>
    <mergeCell ref="AT975:AZ975"/>
    <mergeCell ref="BA970:BE970"/>
    <mergeCell ref="BG970:BP970"/>
    <mergeCell ref="BI972:BN972"/>
    <mergeCell ref="BI971:BN971"/>
    <mergeCell ref="AK878:AN878"/>
    <mergeCell ref="AK888:AN888"/>
    <mergeCell ref="AV937:AX937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77:AV877"/>
    <mergeCell ref="AK879:AN879"/>
    <mergeCell ref="AK880:AN880"/>
    <mergeCell ref="AK881:AN881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974:BV974"/>
    <mergeCell ref="BR975:BV975"/>
    <mergeCell ref="BR977:BV977"/>
    <mergeCell ref="BI976:BN976"/>
    <mergeCell ref="BR976:BV976"/>
    <mergeCell ref="BI975:BN975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83:AP885 AR883:AR88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79"/>
  <sheetViews>
    <sheetView topLeftCell="A841" workbookViewId="0">
      <selection activeCell="AF30" sqref="AF30"/>
    </sheetView>
  </sheetViews>
  <sheetFormatPr defaultRowHeight="14.75" outlineLevelRow="1" x14ac:dyDescent="0.75"/>
  <cols>
    <col min="1" max="2" width="2.08984375" customWidth="1"/>
    <col min="3" max="3" width="10.86328125" customWidth="1"/>
    <col min="4" max="4" width="2.76953125" customWidth="1"/>
    <col min="5" max="5" width="11" bestFit="1" customWidth="1"/>
    <col min="6" max="6" width="2.08984375" customWidth="1"/>
    <col min="7" max="7" width="11" bestFit="1" customWidth="1"/>
    <col min="8" max="8" width="1.86328125" customWidth="1"/>
    <col min="9" max="9" width="10" bestFit="1" customWidth="1"/>
    <col min="10" max="10" width="1.86328125" customWidth="1"/>
    <col min="11" max="11" width="10.76953125" customWidth="1"/>
    <col min="12" max="12" width="1.54296875" customWidth="1"/>
    <col min="14" max="14" width="2.08984375" customWidth="1"/>
    <col min="15" max="15" width="3.31640625" customWidth="1"/>
    <col min="16" max="16" width="1" customWidth="1"/>
    <col min="17" max="17" width="9.2265625" customWidth="1"/>
    <col min="18" max="18" width="2.31640625" customWidth="1"/>
    <col min="20" max="20" width="2.453125" customWidth="1"/>
    <col min="22" max="22" width="2.31640625" customWidth="1"/>
    <col min="23" max="23" width="5.6796875" customWidth="1"/>
    <col min="24" max="24" width="12.54296875" customWidth="1"/>
    <col min="26" max="26" width="1.86328125" customWidth="1"/>
    <col min="27" max="27" width="2.54296875" customWidth="1"/>
    <col min="28" max="28" width="7.6796875" customWidth="1"/>
    <col min="29" max="29" width="2.453125" customWidth="1"/>
    <col min="30" max="30" width="12" customWidth="1"/>
    <col min="31" max="31" width="1.6796875" customWidth="1"/>
    <col min="32" max="32" width="11" customWidth="1"/>
    <col min="33" max="33" width="1.86328125" customWidth="1"/>
    <col min="35" max="35" width="1.54296875" customWidth="1"/>
    <col min="37" max="37" width="1.86328125" customWidth="1"/>
    <col min="38" max="38" width="8.86328125" customWidth="1"/>
    <col min="40" max="40" width="8.86328125" customWidth="1"/>
    <col min="41" max="41" width="14.6796875" customWidth="1"/>
  </cols>
  <sheetData>
    <row r="1" spans="3:40" ht="16" x14ac:dyDescent="0.8">
      <c r="C1" s="153" t="s">
        <v>5</v>
      </c>
      <c r="D1" s="153"/>
      <c r="E1" s="153"/>
    </row>
    <row r="2" spans="3:40" ht="16" x14ac:dyDescent="0.8">
      <c r="C2" s="153" t="s">
        <v>6</v>
      </c>
      <c r="D2" s="153"/>
      <c r="E2" s="153"/>
    </row>
    <row r="3" spans="3:40" x14ac:dyDescent="0.75">
      <c r="C3" s="154" t="s">
        <v>13</v>
      </c>
      <c r="D3" s="154"/>
    </row>
    <row r="4" spans="3:40" x14ac:dyDescent="0.75">
      <c r="D4" s="154"/>
      <c r="E4" s="154"/>
    </row>
    <row r="5" spans="3:40" x14ac:dyDescent="0.75">
      <c r="C5" s="111" t="s">
        <v>38</v>
      </c>
      <c r="D5" s="112"/>
      <c r="E5" s="112" t="s">
        <v>40</v>
      </c>
    </row>
    <row r="6" spans="3:40" ht="15.5" thickBot="1" x14ac:dyDescent="0.9"/>
    <row r="7" spans="3:40" x14ac:dyDescent="0.75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75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75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75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75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.5" thickBot="1" x14ac:dyDescent="0.9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.5" thickBot="1" x14ac:dyDescent="0.9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.5" thickBot="1" x14ac:dyDescent="0.9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5.5" thickBot="1" x14ac:dyDescent="0.9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75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+K867</f>
        <v>9103538</v>
      </c>
      <c r="AG16" s="187"/>
      <c r="AH16" s="201">
        <f>+AJ31</f>
        <v>28587.688639887358</v>
      </c>
      <c r="AI16" s="201"/>
      <c r="AJ16" s="202">
        <f>+S867</f>
        <v>115178</v>
      </c>
      <c r="AK16" s="203"/>
      <c r="AL16" s="98"/>
      <c r="AM16" s="98"/>
      <c r="AN16" s="98"/>
    </row>
    <row r="17" spans="3:41" x14ac:dyDescent="0.75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1944319</v>
      </c>
      <c r="AG17" s="188"/>
      <c r="AH17" s="149">
        <v>28209</v>
      </c>
      <c r="AI17" s="201"/>
      <c r="AJ17" s="148">
        <v>21068</v>
      </c>
      <c r="AK17" s="205"/>
      <c r="AL17" s="98"/>
      <c r="AM17" s="78"/>
      <c r="AN17" s="78"/>
    </row>
    <row r="18" spans="3:41" x14ac:dyDescent="0.75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3038076</v>
      </c>
      <c r="AG18" s="188"/>
      <c r="AH18" s="149">
        <v>23731</v>
      </c>
      <c r="AI18" s="201"/>
      <c r="AJ18" s="148">
        <v>45949</v>
      </c>
      <c r="AK18" s="205"/>
      <c r="AL18" s="98"/>
      <c r="AM18" s="78"/>
      <c r="AN18" s="78"/>
    </row>
    <row r="19" spans="3:41" ht="15.5" thickBot="1" x14ac:dyDescent="0.9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14085933</v>
      </c>
      <c r="AG19" s="188"/>
      <c r="AH19" s="188"/>
      <c r="AI19" s="188"/>
      <c r="AJ19" s="206">
        <f>SUM(AJ16:AJ18)</f>
        <v>182195</v>
      </c>
      <c r="AK19" s="205"/>
      <c r="AL19" s="98"/>
      <c r="AM19" s="78"/>
      <c r="AN19" s="78"/>
    </row>
    <row r="20" spans="3:41" ht="15.5" thickTop="1" x14ac:dyDescent="0.75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.5" thickBot="1" x14ac:dyDescent="0.9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Table'!H864</f>
        <v>0.18134510999864009</v>
      </c>
      <c r="AG21" s="188"/>
      <c r="AH21" s="188"/>
      <c r="AI21" s="188"/>
      <c r="AJ21" s="208">
        <f>+AJ19/'Main Table'!AA864</f>
        <v>0.20109201923119374</v>
      </c>
      <c r="AK21" s="205"/>
      <c r="AL21" s="98"/>
      <c r="AM21" s="84"/>
      <c r="AN21" s="78"/>
    </row>
    <row r="22" spans="3:41" ht="16.25" thickTop="1" thickBot="1" x14ac:dyDescent="0.9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75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.5" thickBot="1" x14ac:dyDescent="0.9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.5" thickBot="1" x14ac:dyDescent="0.9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75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75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+E867</f>
        <v>5718145</v>
      </c>
      <c r="AE27" s="155"/>
      <c r="AF27" s="186">
        <v>29412</v>
      </c>
      <c r="AG27" s="155"/>
      <c r="AH27" s="177">
        <f>+AD27/AD$31</f>
        <v>0.51757956316777087</v>
      </c>
      <c r="AI27" s="177"/>
      <c r="AJ27" s="155">
        <f>+AF27*AH27</f>
        <v>15223.050111890478</v>
      </c>
      <c r="AK27" s="178"/>
      <c r="AL27" s="106"/>
      <c r="AM27" s="78"/>
      <c r="AN27" s="78"/>
      <c r="AO27" s="106"/>
    </row>
    <row r="28" spans="3:41" x14ac:dyDescent="0.75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+G867</f>
        <v>2542826</v>
      </c>
      <c r="AE28" s="155"/>
      <c r="AF28" s="186">
        <v>28664</v>
      </c>
      <c r="AG28" s="155"/>
      <c r="AH28" s="177">
        <f>+AD28/AD$31</f>
        <v>0.23016463735908241</v>
      </c>
      <c r="AI28" s="177"/>
      <c r="AJ28" s="155">
        <f>+AF28*AH28</f>
        <v>6597.4391652607383</v>
      </c>
      <c r="AK28" s="178"/>
      <c r="AL28" s="106"/>
      <c r="AM28" s="78"/>
      <c r="AN28" s="78"/>
      <c r="AO28" s="106"/>
    </row>
    <row r="29" spans="3:41" x14ac:dyDescent="0.75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+I867</f>
        <v>842567</v>
      </c>
      <c r="AE29" s="155"/>
      <c r="AF29" s="186">
        <v>23637</v>
      </c>
      <c r="AG29" s="155"/>
      <c r="AH29" s="177">
        <f>+AD29/AD$31</f>
        <v>7.6265197856923747E-2</v>
      </c>
      <c r="AI29" s="177"/>
      <c r="AJ29" s="155">
        <f>+AF29*AH29</f>
        <v>1802.6804817441066</v>
      </c>
      <c r="AK29" s="178"/>
      <c r="AL29" s="106"/>
      <c r="AM29" s="78"/>
      <c r="AN29" s="78"/>
      <c r="AO29" s="106"/>
    </row>
    <row r="30" spans="3:41" x14ac:dyDescent="0.75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1944319</v>
      </c>
      <c r="AE30" s="237"/>
      <c r="AF30" s="155">
        <f>+AH17</f>
        <v>28209</v>
      </c>
      <c r="AG30" s="237"/>
      <c r="AH30" s="177">
        <f>+AD30/AD$31</f>
        <v>0.17599060161622296</v>
      </c>
      <c r="AI30" s="237"/>
      <c r="AJ30" s="155">
        <f>+AF30*AH30</f>
        <v>4964.5188809920337</v>
      </c>
      <c r="AK30" s="178"/>
      <c r="AL30" s="106"/>
      <c r="AM30" s="78"/>
      <c r="AN30" s="78"/>
      <c r="AO30" s="106"/>
    </row>
    <row r="31" spans="3:41" ht="15.5" thickBot="1" x14ac:dyDescent="0.9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11047857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28587.688639887358</v>
      </c>
      <c r="AK31" s="178"/>
      <c r="AL31" s="106"/>
      <c r="AM31" s="78"/>
      <c r="AN31" s="78"/>
      <c r="AO31" s="106"/>
    </row>
    <row r="32" spans="3:41" ht="16.25" thickTop="1" thickBot="1" x14ac:dyDescent="0.9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75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75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.5" thickBot="1" x14ac:dyDescent="0.9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.5" thickBot="1" x14ac:dyDescent="0.9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75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75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75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75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.5" thickBot="1" x14ac:dyDescent="0.9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.5" thickTop="1" x14ac:dyDescent="0.75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.5" thickBot="1" x14ac:dyDescent="0.9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6.25" thickTop="1" thickBot="1" x14ac:dyDescent="0.9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75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75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75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75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75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Table'!AA864</f>
        <v>906028</v>
      </c>
      <c r="AJ49" s="56">
        <f>+AJ19</f>
        <v>182195</v>
      </c>
    </row>
    <row r="50" spans="3:36" x14ac:dyDescent="0.75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182195</v>
      </c>
      <c r="AF50" s="231"/>
    </row>
    <row r="51" spans="3:36" x14ac:dyDescent="0.75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723833</v>
      </c>
    </row>
    <row r="52" spans="3:36" x14ac:dyDescent="0.75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75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304009.86</v>
      </c>
    </row>
    <row r="54" spans="3:36" x14ac:dyDescent="0.75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75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419823.14</v>
      </c>
    </row>
    <row r="56" spans="3:36" x14ac:dyDescent="0.75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75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0.46336662884590762</v>
      </c>
    </row>
    <row r="58" spans="3:36" x14ac:dyDescent="0.75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75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75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75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75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75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75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75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75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75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75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75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75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75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75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75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75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75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75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75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75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75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75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75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75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75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75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75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75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75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75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75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75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75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75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75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75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75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75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75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75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75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75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75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75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75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75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75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75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75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75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75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75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75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75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75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75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75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75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75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75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75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75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75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75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75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75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75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75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75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75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75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75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75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75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75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75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75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75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75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75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75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75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75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75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75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75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75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75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75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75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75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75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75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75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75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75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75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75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75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75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75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75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75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75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75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75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75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75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75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75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75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75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75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75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75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75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75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75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75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75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75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75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75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75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75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75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75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75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75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75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75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75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75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75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75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75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75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75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75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75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75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75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75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75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75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75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75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75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75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75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75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75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75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75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75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75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75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75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75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75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75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75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75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75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75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75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75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75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75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75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75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75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75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75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75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75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75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75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75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75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75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75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75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75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75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75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75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75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75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75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75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75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75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75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75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75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75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75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75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75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75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75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75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75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75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75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75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75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75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75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75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75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75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75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75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75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75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75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75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75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75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75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75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75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75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75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75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75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75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75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75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75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75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75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75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75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75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75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75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75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75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75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75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75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75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75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75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75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75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75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75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75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75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75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75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75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75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75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75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75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75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75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75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75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75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75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75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75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75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75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75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75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75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75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75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75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75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75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75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75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75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75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75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75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75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75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75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75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75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75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75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75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75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75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75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75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75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75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75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75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75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75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75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75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75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75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75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75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75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75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75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75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75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75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75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75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75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75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75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75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75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75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75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75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75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75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75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75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75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75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75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75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75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75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75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75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75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75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75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75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75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75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75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75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75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75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75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75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75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75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75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75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75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75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75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75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75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75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75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75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75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75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75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75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75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75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75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75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75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75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75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75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75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75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75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75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75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75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75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75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75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75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75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75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75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75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75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75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75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75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75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75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75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75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75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75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75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75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75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75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75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75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75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75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75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75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75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75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75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75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75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75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75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75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75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75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75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75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75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75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75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75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75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75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75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75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75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75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75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75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75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75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75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75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75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75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75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75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75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75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75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75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75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75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75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75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75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75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75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75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75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75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75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75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75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75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75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75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75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75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75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75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75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75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75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75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75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75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75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75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75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75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75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75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75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75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75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75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75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75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75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75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75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75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75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75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75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75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75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75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75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75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75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75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75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75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75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75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75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75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75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75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75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75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75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75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75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75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75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75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75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75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75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75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75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75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75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75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75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75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75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75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75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75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75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75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75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75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75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75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75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75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75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75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75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75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75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75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75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75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75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75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75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75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75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75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75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75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75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75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75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75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75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75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75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75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75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75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75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75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75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75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75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75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75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75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75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75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75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75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75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75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75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75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75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75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75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75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75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75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75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75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75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75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75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75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75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75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75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75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75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75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75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75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75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75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75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75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75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75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75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75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75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75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75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75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75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75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75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75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75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75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75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75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75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75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75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75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75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75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75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75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75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75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75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75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75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75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75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75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75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75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75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75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75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75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75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75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75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75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75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75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75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75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75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75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75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75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75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75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75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75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75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75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75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75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75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75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75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75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75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75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75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75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75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75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75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75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75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75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75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75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75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75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75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75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75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75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75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75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75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75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75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75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75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75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75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75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75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75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75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75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75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75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75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75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75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75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75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75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75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75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75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75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75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75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75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75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75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75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75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75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75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75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75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75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75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75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75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75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75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75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75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75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75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75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75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75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75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75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75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75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75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75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75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75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75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75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60" si="467">+W795+1</f>
        <v>786</v>
      </c>
      <c r="Y796" s="56"/>
    </row>
    <row r="797" spans="3:25" x14ac:dyDescent="0.75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75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75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75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75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75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75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75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75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75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75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75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75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75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75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75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75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75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75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75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75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75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75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75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75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75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75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75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75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75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75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75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75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75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75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75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25" x14ac:dyDescent="0.75">
      <c r="C833" s="158">
        <f t="shared" si="244"/>
        <v>44732</v>
      </c>
      <c r="E833" s="241">
        <v>5549360</v>
      </c>
      <c r="F833" s="7"/>
      <c r="G833" s="7">
        <v>2457797</v>
      </c>
      <c r="H833" s="581"/>
      <c r="I833" s="7">
        <v>822319</v>
      </c>
      <c r="J833" s="244"/>
      <c r="K833" s="7">
        <f t="shared" ref="K833" si="573">SUM(E833:I833)</f>
        <v>8829476</v>
      </c>
      <c r="L833" s="6"/>
      <c r="M833" s="438">
        <f t="shared" ref="M833" si="574">+(K833-K832)/K832</f>
        <v>5.8951025319476703E-4</v>
      </c>
      <c r="N833" s="29"/>
      <c r="O833" s="29"/>
      <c r="P833" s="29"/>
      <c r="Q833" s="332">
        <f t="shared" ref="Q833" si="575">+K833-K832</f>
        <v>5202</v>
      </c>
      <c r="R833" s="6"/>
      <c r="S833" s="7">
        <f>69449+33939+11015</f>
        <v>114403</v>
      </c>
      <c r="T833" s="6"/>
      <c r="U833" s="243">
        <v>2.402125115017657E-2</v>
      </c>
      <c r="W833">
        <f t="shared" si="467"/>
        <v>823</v>
      </c>
      <c r="Y833" s="56"/>
    </row>
    <row r="834" spans="3:25" x14ac:dyDescent="0.75">
      <c r="C834" s="158">
        <f t="shared" si="244"/>
        <v>44733</v>
      </c>
      <c r="E834" s="241">
        <v>5560168</v>
      </c>
      <c r="F834" s="7"/>
      <c r="G834" s="7">
        <v>2460655</v>
      </c>
      <c r="H834" s="581"/>
      <c r="I834" s="7">
        <v>822898</v>
      </c>
      <c r="J834" s="244"/>
      <c r="K834" s="7">
        <f t="shared" ref="K834" si="576">SUM(E834:I834)</f>
        <v>8843721</v>
      </c>
      <c r="L834" s="6"/>
      <c r="M834" s="438">
        <f t="shared" ref="M834" si="577">+(K834-K833)/K833</f>
        <v>1.6133460241581721E-3</v>
      </c>
      <c r="N834" s="29"/>
      <c r="O834" s="29"/>
      <c r="P834" s="29"/>
      <c r="Q834" s="332">
        <f t="shared" ref="Q834" si="578">+K834-K833</f>
        <v>14245</v>
      </c>
      <c r="R834" s="6"/>
      <c r="S834" s="7">
        <f>69458+33949+11032</f>
        <v>114439</v>
      </c>
      <c r="T834" s="6"/>
      <c r="U834" s="243">
        <v>2.402125115017657E-2</v>
      </c>
      <c r="W834">
        <f t="shared" si="467"/>
        <v>824</v>
      </c>
      <c r="Y834" s="56"/>
    </row>
    <row r="835" spans="3:25" x14ac:dyDescent="0.75">
      <c r="C835" s="158">
        <f t="shared" ref="C835:C865" si="579">+C834+1</f>
        <v>44734</v>
      </c>
      <c r="E835" s="241">
        <v>5564394</v>
      </c>
      <c r="F835" s="7"/>
      <c r="G835" s="7">
        <v>2464207</v>
      </c>
      <c r="H835" s="581"/>
      <c r="I835" s="7">
        <v>823625</v>
      </c>
      <c r="J835" s="244"/>
      <c r="K835" s="7">
        <f t="shared" ref="K835" si="580">SUM(E835:I835)</f>
        <v>8852226</v>
      </c>
      <c r="L835" s="6"/>
      <c r="M835" s="438">
        <f t="shared" ref="M835" si="581">+(K835-K834)/K834</f>
        <v>9.6169926663222411E-4</v>
      </c>
      <c r="N835" s="29"/>
      <c r="O835" s="29"/>
      <c r="P835" s="29"/>
      <c r="Q835" s="332">
        <f t="shared" ref="Q835" si="582">+K835-K834</f>
        <v>8505</v>
      </c>
      <c r="R835" s="6"/>
      <c r="S835" s="7">
        <f>69507+33966+11033</f>
        <v>114506</v>
      </c>
      <c r="T835" s="6"/>
      <c r="U835" s="243">
        <v>2.402125115017657E-2</v>
      </c>
      <c r="W835">
        <f t="shared" si="467"/>
        <v>825</v>
      </c>
      <c r="Y835" s="56"/>
    </row>
    <row r="836" spans="3:25" x14ac:dyDescent="0.75">
      <c r="C836" s="158">
        <f t="shared" si="579"/>
        <v>44735</v>
      </c>
      <c r="E836" s="241">
        <v>5570347</v>
      </c>
      <c r="F836" s="7"/>
      <c r="G836" s="7">
        <v>2467432</v>
      </c>
      <c r="H836" s="581"/>
      <c r="I836" s="7">
        <v>824295</v>
      </c>
      <c r="J836" s="244"/>
      <c r="K836" s="7">
        <f t="shared" ref="K836" si="583">SUM(E836:I836)</f>
        <v>8862074</v>
      </c>
      <c r="L836" s="6"/>
      <c r="M836" s="438">
        <f t="shared" ref="M836" si="584">+(K836-K835)/K835</f>
        <v>1.1124885424298927E-3</v>
      </c>
      <c r="N836" s="29"/>
      <c r="O836" s="29"/>
      <c r="P836" s="29"/>
      <c r="Q836" s="332">
        <f t="shared" ref="Q836" si="585">+K836-K835</f>
        <v>9848</v>
      </c>
      <c r="R836" s="6"/>
      <c r="S836" s="7">
        <f>69545+33980+11034</f>
        <v>114559</v>
      </c>
      <c r="T836" s="6"/>
      <c r="U836" s="243">
        <v>2.402125115017657E-2</v>
      </c>
      <c r="W836">
        <f t="shared" si="467"/>
        <v>826</v>
      </c>
      <c r="Y836" s="56"/>
    </row>
    <row r="837" spans="3:25" x14ac:dyDescent="0.75">
      <c r="C837" s="158">
        <f t="shared" si="579"/>
        <v>44736</v>
      </c>
      <c r="E837" s="241">
        <v>5577480</v>
      </c>
      <c r="F837" s="7"/>
      <c r="G837" s="7">
        <v>2470738</v>
      </c>
      <c r="H837" s="581"/>
      <c r="I837" s="7">
        <v>825075</v>
      </c>
      <c r="J837" s="244"/>
      <c r="K837" s="7">
        <f t="shared" ref="K837" si="586">SUM(E837:I837)</f>
        <v>8873293</v>
      </c>
      <c r="L837" s="6"/>
      <c r="M837" s="438">
        <f t="shared" ref="M837" si="587">+(K837-K836)/K836</f>
        <v>1.2659564792620779E-3</v>
      </c>
      <c r="N837" s="29"/>
      <c r="O837" s="29"/>
      <c r="P837" s="29"/>
      <c r="Q837" s="332">
        <f t="shared" ref="Q837" si="588">+K837-K836</f>
        <v>11219</v>
      </c>
      <c r="R837" s="6"/>
      <c r="S837" s="7">
        <f>69563+33994+11034</f>
        <v>114591</v>
      </c>
      <c r="T837" s="6"/>
      <c r="U837" s="243">
        <v>2.402125115017657E-2</v>
      </c>
      <c r="W837">
        <f t="shared" si="467"/>
        <v>827</v>
      </c>
      <c r="Y837" s="56"/>
    </row>
    <row r="838" spans="3:25" x14ac:dyDescent="0.75">
      <c r="C838" s="158">
        <f t="shared" si="579"/>
        <v>44737</v>
      </c>
      <c r="E838" s="241">
        <v>5580555</v>
      </c>
      <c r="F838" s="7"/>
      <c r="G838" s="7">
        <v>2473956</v>
      </c>
      <c r="H838" s="581"/>
      <c r="I838" s="7">
        <v>825075</v>
      </c>
      <c r="J838" s="244"/>
      <c r="K838" s="7">
        <f t="shared" ref="K838" si="589">SUM(E838:I838)</f>
        <v>8879586</v>
      </c>
      <c r="L838" s="6"/>
      <c r="M838" s="438">
        <f t="shared" ref="M838" si="590">+(K838-K837)/K837</f>
        <v>7.0920682997845336E-4</v>
      </c>
      <c r="N838" s="29"/>
      <c r="O838" s="29"/>
      <c r="P838" s="29"/>
      <c r="Q838" s="332">
        <f t="shared" ref="Q838" si="591">+K838-K837</f>
        <v>6293</v>
      </c>
      <c r="R838" s="6"/>
      <c r="S838" s="7">
        <f>69571+34001+11034</f>
        <v>114606</v>
      </c>
      <c r="T838" s="6"/>
      <c r="U838" s="243">
        <v>2.402125115017657E-2</v>
      </c>
      <c r="W838">
        <f t="shared" si="467"/>
        <v>828</v>
      </c>
      <c r="Y838" s="56"/>
    </row>
    <row r="839" spans="3:25" x14ac:dyDescent="0.75">
      <c r="C839" s="347">
        <f t="shared" si="579"/>
        <v>44738</v>
      </c>
      <c r="E839" s="241">
        <v>5583362</v>
      </c>
      <c r="F839" s="7"/>
      <c r="G839" s="7">
        <v>2476558</v>
      </c>
      <c r="H839" s="581"/>
      <c r="I839" s="7">
        <v>825075</v>
      </c>
      <c r="J839" s="244"/>
      <c r="K839" s="7">
        <f t="shared" ref="K839" si="592">SUM(E839:I839)</f>
        <v>8884995</v>
      </c>
      <c r="L839" s="6"/>
      <c r="M839" s="438">
        <f t="shared" ref="M839" si="593">+(K839-K838)/K838</f>
        <v>6.0915002118342007E-4</v>
      </c>
      <c r="N839" s="29"/>
      <c r="O839" s="29"/>
      <c r="P839" s="29"/>
      <c r="Q839" s="332">
        <f t="shared" ref="Q839" si="594">+K839-K838</f>
        <v>5409</v>
      </c>
      <c r="R839" s="6"/>
      <c r="S839" s="7">
        <f>69571+34003+11034</f>
        <v>114608</v>
      </c>
      <c r="T839" s="6"/>
      <c r="U839" s="243">
        <v>2.402125115017657E-2</v>
      </c>
      <c r="W839">
        <f t="shared" si="467"/>
        <v>829</v>
      </c>
      <c r="Y839" s="56"/>
    </row>
    <row r="840" spans="3:25" x14ac:dyDescent="0.75">
      <c r="C840" s="158">
        <f t="shared" si="579"/>
        <v>44739</v>
      </c>
      <c r="E840" s="241">
        <v>5594030</v>
      </c>
      <c r="F840" s="7"/>
      <c r="G840" s="7">
        <v>2478067</v>
      </c>
      <c r="H840" s="581"/>
      <c r="I840" s="7">
        <v>825075</v>
      </c>
      <c r="J840" s="244"/>
      <c r="K840" s="7">
        <f t="shared" ref="K840" si="595">SUM(E840:I840)</f>
        <v>8897172</v>
      </c>
      <c r="L840" s="6"/>
      <c r="M840" s="438">
        <f t="shared" ref="M840" si="596">+(K840-K839)/K839</f>
        <v>1.3705128702942433E-3</v>
      </c>
      <c r="N840" s="29"/>
      <c r="O840" s="29"/>
      <c r="P840" s="29"/>
      <c r="Q840" s="332">
        <f t="shared" ref="Q840" si="597">+K840-K839</f>
        <v>12177</v>
      </c>
      <c r="R840" s="6"/>
      <c r="S840" s="7">
        <f>69576+34007+11034</f>
        <v>114617</v>
      </c>
      <c r="T840" s="6"/>
      <c r="U840" s="243">
        <v>2.402125115017657E-2</v>
      </c>
      <c r="W840">
        <f t="shared" si="467"/>
        <v>830</v>
      </c>
      <c r="Y840" s="56"/>
    </row>
    <row r="841" spans="3:25" x14ac:dyDescent="0.75">
      <c r="C841" s="158">
        <f t="shared" si="579"/>
        <v>44740</v>
      </c>
      <c r="E841" s="241">
        <v>5596149</v>
      </c>
      <c r="F841" s="7"/>
      <c r="G841" s="7">
        <v>2481696</v>
      </c>
      <c r="H841" s="581"/>
      <c r="I841" s="7">
        <v>825075</v>
      </c>
      <c r="J841" s="244"/>
      <c r="K841" s="7">
        <f t="shared" ref="K841" si="598">SUM(E841:I841)</f>
        <v>8902920</v>
      </c>
      <c r="L841" s="6"/>
      <c r="M841" s="438">
        <f t="shared" ref="M841" si="599">+(K841-K840)/K840</f>
        <v>6.460479801896603E-4</v>
      </c>
      <c r="N841" s="29"/>
      <c r="O841" s="29"/>
      <c r="P841" s="29"/>
      <c r="Q841" s="332">
        <f t="shared" ref="Q841" si="600">+K841-K840</f>
        <v>5748</v>
      </c>
      <c r="R841" s="6"/>
      <c r="S841" s="7">
        <f>69621+34023+11034</f>
        <v>114678</v>
      </c>
      <c r="T841" s="6"/>
      <c r="U841" s="243">
        <v>2.402125115017657E-2</v>
      </c>
      <c r="W841">
        <f t="shared" si="467"/>
        <v>831</v>
      </c>
      <c r="Y841" s="56"/>
    </row>
    <row r="842" spans="3:25" x14ac:dyDescent="0.75">
      <c r="C842" s="158">
        <f t="shared" si="579"/>
        <v>44741</v>
      </c>
      <c r="E842" s="241">
        <v>5603772</v>
      </c>
      <c r="F842" s="7"/>
      <c r="G842" s="7">
        <v>2484840</v>
      </c>
      <c r="H842" s="581"/>
      <c r="I842" s="7">
        <v>825075</v>
      </c>
      <c r="J842" s="244"/>
      <c r="K842" s="7">
        <f t="shared" ref="K842" si="601">SUM(E842:I842)</f>
        <v>8913687</v>
      </c>
      <c r="L842" s="6"/>
      <c r="M842" s="438">
        <f t="shared" ref="M842" si="602">+(K842-K841)/K841</f>
        <v>1.2093784960439946E-3</v>
      </c>
      <c r="N842" s="29"/>
      <c r="O842" s="29"/>
      <c r="P842" s="29"/>
      <c r="Q842" s="332">
        <f t="shared" ref="Q842" si="603">+K842-K841</f>
        <v>10767</v>
      </c>
      <c r="R842" s="6"/>
      <c r="S842" s="7">
        <f>69645+34036+11034</f>
        <v>114715</v>
      </c>
      <c r="T842" s="6"/>
      <c r="U842" s="243">
        <v>2.402125115017657E-2</v>
      </c>
      <c r="W842">
        <f t="shared" si="467"/>
        <v>832</v>
      </c>
      <c r="Y842" s="56"/>
    </row>
    <row r="843" spans="3:25" x14ac:dyDescent="0.75">
      <c r="C843" s="158">
        <f t="shared" si="579"/>
        <v>44742</v>
      </c>
      <c r="E843" s="241">
        <v>5611093</v>
      </c>
      <c r="F843" s="7"/>
      <c r="G843" s="7">
        <v>2488751</v>
      </c>
      <c r="H843" s="581"/>
      <c r="I843" s="7">
        <v>825075</v>
      </c>
      <c r="J843" s="244"/>
      <c r="K843" s="7">
        <f t="shared" ref="K843" si="604">SUM(E843:I843)</f>
        <v>8924919</v>
      </c>
      <c r="L843" s="6"/>
      <c r="M843" s="438">
        <f t="shared" ref="M843" si="605">+(K843-K842)/K842</f>
        <v>1.2600846316456926E-3</v>
      </c>
      <c r="N843" s="29"/>
      <c r="O843" s="29"/>
      <c r="P843" s="29"/>
      <c r="Q843" s="332">
        <f t="shared" ref="Q843" si="606">+K843-K842</f>
        <v>11232</v>
      </c>
      <c r="R843" s="6"/>
      <c r="S843" s="7">
        <f>69645+34036+11034</f>
        <v>114715</v>
      </c>
      <c r="T843" s="6"/>
      <c r="U843" s="243">
        <v>2.402125115017657E-2</v>
      </c>
      <c r="W843">
        <f t="shared" si="467"/>
        <v>833</v>
      </c>
      <c r="Y843" s="56"/>
    </row>
    <row r="844" spans="3:25" x14ac:dyDescent="0.75">
      <c r="C844" s="158">
        <f t="shared" si="579"/>
        <v>44743</v>
      </c>
      <c r="E844" s="241">
        <v>5614976</v>
      </c>
      <c r="F844" s="7"/>
      <c r="G844" s="7">
        <v>2492366</v>
      </c>
      <c r="H844" s="581"/>
      <c r="I844" s="7">
        <v>831880</v>
      </c>
      <c r="J844" s="244"/>
      <c r="K844" s="7">
        <f t="shared" ref="K844" si="607">SUM(E844:I844)</f>
        <v>8939222</v>
      </c>
      <c r="L844" s="6"/>
      <c r="M844" s="438">
        <f t="shared" ref="M844" si="608">+(K844-K843)/K843</f>
        <v>1.6025915753409079E-3</v>
      </c>
      <c r="N844" s="29"/>
      <c r="O844" s="29"/>
      <c r="P844" s="29"/>
      <c r="Q844" s="332">
        <f t="shared" ref="Q844" si="609">+K844-K843</f>
        <v>14303</v>
      </c>
      <c r="R844" s="6"/>
      <c r="S844" s="7">
        <f>69690+34057+11045</f>
        <v>114792</v>
      </c>
      <c r="T844" s="6"/>
      <c r="U844" s="243">
        <v>2.402125115017657E-2</v>
      </c>
      <c r="W844">
        <f t="shared" si="467"/>
        <v>834</v>
      </c>
      <c r="Y844" s="56"/>
    </row>
    <row r="845" spans="3:25" x14ac:dyDescent="0.75">
      <c r="C845" s="158">
        <f t="shared" si="579"/>
        <v>44744</v>
      </c>
      <c r="E845" s="241">
        <v>5622208</v>
      </c>
      <c r="F845" s="7"/>
      <c r="G845" s="7">
        <v>2495905</v>
      </c>
      <c r="H845" s="581"/>
      <c r="I845" s="7">
        <v>832572</v>
      </c>
      <c r="J845" s="244"/>
      <c r="K845" s="7">
        <f t="shared" ref="K845" si="610">SUM(E845:I845)</f>
        <v>8950685</v>
      </c>
      <c r="L845" s="6"/>
      <c r="M845" s="438">
        <f t="shared" ref="M845" si="611">+(K845-K844)/K844</f>
        <v>1.282326359050038E-3</v>
      </c>
      <c r="N845" s="29"/>
      <c r="O845" s="29"/>
      <c r="P845" s="29"/>
      <c r="Q845" s="332">
        <f t="shared" ref="Q845" si="612">+K845-K844</f>
        <v>11463</v>
      </c>
      <c r="R845" s="6"/>
      <c r="S845" s="7">
        <f>69698+34064+11045</f>
        <v>114807</v>
      </c>
      <c r="T845" s="6"/>
      <c r="U845" s="243">
        <v>2.402125115017657E-2</v>
      </c>
      <c r="W845">
        <f t="shared" si="467"/>
        <v>835</v>
      </c>
      <c r="Y845" s="56"/>
    </row>
    <row r="846" spans="3:25" x14ac:dyDescent="0.75">
      <c r="C846" s="347">
        <f t="shared" si="579"/>
        <v>44745</v>
      </c>
      <c r="E846" s="241">
        <v>5625004</v>
      </c>
      <c r="F846" s="7"/>
      <c r="G846" s="7">
        <v>2495905</v>
      </c>
      <c r="H846" s="581"/>
      <c r="I846" s="7">
        <v>832913</v>
      </c>
      <c r="J846" s="244"/>
      <c r="K846" s="7">
        <f t="shared" ref="K846" si="613">SUM(E846:I846)</f>
        <v>8953822</v>
      </c>
      <c r="L846" s="6"/>
      <c r="M846" s="438">
        <f t="shared" ref="M846" si="614">+(K846-K845)/K845</f>
        <v>3.504759691576678E-4</v>
      </c>
      <c r="N846" s="29"/>
      <c r="O846" s="29"/>
      <c r="P846" s="29"/>
      <c r="Q846" s="332">
        <f t="shared" ref="Q846" si="615">+K846-K845</f>
        <v>3137</v>
      </c>
      <c r="R846" s="6"/>
      <c r="S846" s="7">
        <f>69698+34064+11045</f>
        <v>114807</v>
      </c>
      <c r="T846" s="6"/>
      <c r="U846" s="243">
        <v>2.402125115017657E-2</v>
      </c>
      <c r="W846">
        <f t="shared" si="467"/>
        <v>836</v>
      </c>
      <c r="Y846" s="56"/>
    </row>
    <row r="847" spans="3:25" x14ac:dyDescent="0.75">
      <c r="C847" s="158">
        <f t="shared" si="579"/>
        <v>44746</v>
      </c>
      <c r="E847" s="241">
        <v>5627346</v>
      </c>
      <c r="F847" s="7"/>
      <c r="G847" s="7">
        <v>2500418</v>
      </c>
      <c r="H847" s="581"/>
      <c r="I847" s="7">
        <v>833260</v>
      </c>
      <c r="J847" s="244"/>
      <c r="K847" s="7">
        <f t="shared" ref="K847" si="616">SUM(E847:I847)</f>
        <v>8961024</v>
      </c>
      <c r="L847" s="6"/>
      <c r="M847" s="438">
        <f t="shared" ref="M847" si="617">+(K847-K846)/K846</f>
        <v>8.0434924884591186E-4</v>
      </c>
      <c r="N847" s="29"/>
      <c r="O847" s="29"/>
      <c r="P847" s="29"/>
      <c r="Q847" s="332">
        <f t="shared" ref="Q847" si="618">+K847-K846</f>
        <v>7202</v>
      </c>
      <c r="R847" s="6"/>
      <c r="S847" s="7">
        <f>69698+34064+11045</f>
        <v>114807</v>
      </c>
      <c r="T847" s="6"/>
      <c r="U847" s="243">
        <v>2.402125115017657E-2</v>
      </c>
      <c r="W847">
        <f t="shared" si="467"/>
        <v>837</v>
      </c>
      <c r="Y847" s="56"/>
    </row>
    <row r="848" spans="3:25" x14ac:dyDescent="0.75">
      <c r="C848" s="158">
        <f t="shared" si="579"/>
        <v>44747</v>
      </c>
      <c r="E848" s="241">
        <v>5639141</v>
      </c>
      <c r="F848" s="7"/>
      <c r="G848" s="7">
        <v>2502617</v>
      </c>
      <c r="H848" s="581"/>
      <c r="I848" s="7">
        <v>833551</v>
      </c>
      <c r="J848" s="244"/>
      <c r="K848" s="7">
        <f t="shared" ref="K848" si="619">SUM(E848:I848)</f>
        <v>8975309</v>
      </c>
      <c r="L848" s="6"/>
      <c r="M848" s="438">
        <f t="shared" ref="M848" si="620">+(K848-K847)/K847</f>
        <v>1.5941258499028682E-3</v>
      </c>
      <c r="N848" s="29"/>
      <c r="O848" s="29"/>
      <c r="P848" s="29"/>
      <c r="Q848" s="332">
        <f t="shared" ref="Q848" si="621">+K848-K847</f>
        <v>14285</v>
      </c>
      <c r="R848" s="6"/>
      <c r="S848" s="7">
        <f>69715+34066+11045</f>
        <v>114826</v>
      </c>
      <c r="T848" s="6"/>
      <c r="U848" s="243">
        <v>2.402125115017657E-2</v>
      </c>
      <c r="W848">
        <f t="shared" si="467"/>
        <v>838</v>
      </c>
      <c r="Y848" s="56"/>
    </row>
    <row r="849" spans="3:25" x14ac:dyDescent="0.75">
      <c r="C849" s="158">
        <f t="shared" si="579"/>
        <v>44748</v>
      </c>
      <c r="E849" s="241">
        <v>5640000</v>
      </c>
      <c r="F849" s="579" t="s">
        <v>26</v>
      </c>
      <c r="G849" s="7">
        <v>2504000</v>
      </c>
      <c r="H849" s="581"/>
      <c r="I849" s="7">
        <v>834000</v>
      </c>
      <c r="J849" s="244"/>
      <c r="K849" s="7">
        <f t="shared" ref="K849" si="622">SUM(E849:I849)</f>
        <v>8978000</v>
      </c>
      <c r="L849" s="6"/>
      <c r="M849" s="438">
        <f t="shared" ref="M849" si="623">+(K849-K848)/K848</f>
        <v>2.9982254649951328E-4</v>
      </c>
      <c r="N849" s="29"/>
      <c r="O849" s="29"/>
      <c r="P849" s="29"/>
      <c r="Q849" s="332">
        <f t="shared" ref="Q849" si="624">+K849-K848</f>
        <v>2691</v>
      </c>
      <c r="R849" s="6"/>
      <c r="S849" s="7">
        <f>69715+34066+11045</f>
        <v>114826</v>
      </c>
      <c r="T849" s="6"/>
      <c r="U849" s="243">
        <v>2.402125115017657E-2</v>
      </c>
      <c r="W849">
        <f t="shared" si="467"/>
        <v>839</v>
      </c>
      <c r="Y849" s="56"/>
    </row>
    <row r="850" spans="3:25" x14ac:dyDescent="0.75">
      <c r="C850" s="158">
        <f t="shared" si="579"/>
        <v>44749</v>
      </c>
      <c r="E850" s="241">
        <v>5646017</v>
      </c>
      <c r="F850" s="7"/>
      <c r="G850" s="7">
        <v>2509617</v>
      </c>
      <c r="H850" s="581"/>
      <c r="I850" s="7">
        <v>835385</v>
      </c>
      <c r="J850" s="244"/>
      <c r="K850" s="7">
        <f t="shared" ref="K850" si="625">SUM(E850:I850)</f>
        <v>8991019</v>
      </c>
      <c r="L850" s="6"/>
      <c r="M850" s="438">
        <f t="shared" ref="M850" si="626">+(K850-K849)/K849</f>
        <v>1.4501002450434395E-3</v>
      </c>
      <c r="N850" s="29"/>
      <c r="O850" s="29"/>
      <c r="P850" s="29"/>
      <c r="Q850" s="332">
        <f t="shared" ref="Q850" si="627">+K850-K849</f>
        <v>13019</v>
      </c>
      <c r="R850" s="6"/>
      <c r="S850" s="7">
        <f>69785+34091+11055</f>
        <v>114931</v>
      </c>
      <c r="T850" s="6"/>
      <c r="U850" s="243">
        <v>2.402125115017657E-2</v>
      </c>
      <c r="W850">
        <f t="shared" si="467"/>
        <v>840</v>
      </c>
      <c r="Y850" s="56"/>
    </row>
    <row r="851" spans="3:25" x14ac:dyDescent="0.75">
      <c r="C851" s="158">
        <f t="shared" si="579"/>
        <v>44750</v>
      </c>
      <c r="E851" s="241">
        <v>5661360</v>
      </c>
      <c r="F851" s="7"/>
      <c r="G851" s="7">
        <v>2514115</v>
      </c>
      <c r="H851" s="581"/>
      <c r="I851" s="7">
        <v>836466</v>
      </c>
      <c r="J851" s="244"/>
      <c r="K851" s="7">
        <f t="shared" ref="K851" si="628">SUM(E851:I851)</f>
        <v>9011941</v>
      </c>
      <c r="L851" s="6"/>
      <c r="M851" s="438">
        <f t="shared" ref="M851" si="629">+(K851-K850)/K850</f>
        <v>2.326988742877754E-3</v>
      </c>
      <c r="N851" s="29"/>
      <c r="O851" s="29"/>
      <c r="P851" s="29"/>
      <c r="Q851" s="332">
        <f t="shared" ref="Q851" si="630">+K851-K850</f>
        <v>20922</v>
      </c>
      <c r="R851" s="6"/>
      <c r="S851" s="7">
        <f>69799+34099+11055</f>
        <v>114953</v>
      </c>
      <c r="T851" s="6"/>
      <c r="U851" s="243">
        <v>2.402125115017657E-2</v>
      </c>
      <c r="W851">
        <f t="shared" si="467"/>
        <v>841</v>
      </c>
      <c r="Y851" s="56"/>
    </row>
    <row r="852" spans="3:25" x14ac:dyDescent="0.75">
      <c r="C852" s="158">
        <f t="shared" si="579"/>
        <v>44751</v>
      </c>
      <c r="E852" s="241">
        <v>5665385</v>
      </c>
      <c r="F852" s="7"/>
      <c r="G852" s="7">
        <v>2517834</v>
      </c>
      <c r="H852" s="581"/>
      <c r="I852" s="7">
        <v>837269</v>
      </c>
      <c r="J852" s="244"/>
      <c r="K852" s="7">
        <f t="shared" ref="K852" si="631">SUM(E852:I852)</f>
        <v>9020488</v>
      </c>
      <c r="L852" s="6"/>
      <c r="M852" s="438">
        <f t="shared" ref="M852" si="632">+(K852-K851)/K851</f>
        <v>9.4840833955748269E-4</v>
      </c>
      <c r="N852" s="29"/>
      <c r="O852" s="29"/>
      <c r="P852" s="29"/>
      <c r="Q852" s="332">
        <f t="shared" ref="Q852" si="633">+K852-K851</f>
        <v>8547</v>
      </c>
      <c r="R852" s="6"/>
      <c r="S852" s="7">
        <f>69799+34107+11055</f>
        <v>114961</v>
      </c>
      <c r="T852" s="6"/>
      <c r="U852" s="243">
        <v>2.402125115017657E-2</v>
      </c>
      <c r="W852">
        <f t="shared" si="467"/>
        <v>842</v>
      </c>
      <c r="Y852" s="56"/>
    </row>
    <row r="853" spans="3:25" x14ac:dyDescent="0.75">
      <c r="C853" s="347">
        <f t="shared" si="579"/>
        <v>44752</v>
      </c>
      <c r="E853" s="241">
        <v>5668645</v>
      </c>
      <c r="F853" s="7"/>
      <c r="G853" s="7">
        <v>2520736</v>
      </c>
      <c r="H853" s="581"/>
      <c r="I853" s="7">
        <v>837751</v>
      </c>
      <c r="J853" s="244"/>
      <c r="K853" s="7">
        <f t="shared" ref="K853" si="634">SUM(E853:I853)</f>
        <v>9027132</v>
      </c>
      <c r="L853" s="6"/>
      <c r="M853" s="438">
        <f t="shared" ref="M853" si="635">+(K853-K852)/K852</f>
        <v>7.3654551727134936E-4</v>
      </c>
      <c r="N853" s="29"/>
      <c r="O853" s="29"/>
      <c r="P853" s="29"/>
      <c r="Q853" s="332">
        <f t="shared" ref="Q853" si="636">+K853-K852</f>
        <v>6644</v>
      </c>
      <c r="R853" s="6"/>
      <c r="S853" s="7">
        <f>69799+34109+11055</f>
        <v>114963</v>
      </c>
      <c r="T853" s="6"/>
      <c r="U853" s="243">
        <v>2.402125115017657E-2</v>
      </c>
      <c r="W853">
        <f t="shared" si="467"/>
        <v>843</v>
      </c>
      <c r="Y853" s="56"/>
    </row>
    <row r="854" spans="3:25" x14ac:dyDescent="0.75">
      <c r="C854" s="158">
        <f t="shared" si="579"/>
        <v>44753</v>
      </c>
      <c r="E854" s="241">
        <v>5679453</v>
      </c>
      <c r="F854" s="7"/>
      <c r="G854" s="7">
        <v>2522649</v>
      </c>
      <c r="H854" s="581"/>
      <c r="I854" s="7">
        <v>838159</v>
      </c>
      <c r="J854" s="244"/>
      <c r="K854" s="7">
        <f t="shared" ref="K854" si="637">SUM(E854:I854)</f>
        <v>9040261</v>
      </c>
      <c r="L854" s="6"/>
      <c r="M854" s="438">
        <f t="shared" ref="M854" si="638">+(K854-K853)/K853</f>
        <v>1.4543932668759025E-3</v>
      </c>
      <c r="N854" s="29"/>
      <c r="O854" s="29"/>
      <c r="P854" s="29"/>
      <c r="Q854" s="332">
        <f t="shared" ref="Q854" si="639">+K854-K853</f>
        <v>13129</v>
      </c>
      <c r="R854" s="6"/>
      <c r="S854" s="7">
        <f>69823+34112+11055</f>
        <v>114990</v>
      </c>
      <c r="T854" s="6"/>
      <c r="U854" s="243">
        <v>2.402125115017657E-2</v>
      </c>
      <c r="W854">
        <f t="shared" si="467"/>
        <v>844</v>
      </c>
      <c r="Y854" s="56"/>
    </row>
    <row r="855" spans="3:25" x14ac:dyDescent="0.75">
      <c r="C855" s="158">
        <f t="shared" si="579"/>
        <v>44754</v>
      </c>
      <c r="E855" s="241">
        <v>5689878</v>
      </c>
      <c r="F855" s="7"/>
      <c r="G855" s="7">
        <v>2527086</v>
      </c>
      <c r="H855" s="581"/>
      <c r="I855" s="7">
        <v>839167</v>
      </c>
      <c r="J855" s="244"/>
      <c r="K855" s="7">
        <f t="shared" ref="K855" si="640">SUM(E855:I855)</f>
        <v>9056131</v>
      </c>
      <c r="L855" s="6"/>
      <c r="M855" s="438">
        <f t="shared" ref="M855" si="641">+(K855-K854)/K854</f>
        <v>1.7554802897836689E-3</v>
      </c>
      <c r="N855" s="29"/>
      <c r="O855" s="29"/>
      <c r="P855" s="29"/>
      <c r="Q855" s="332">
        <f t="shared" ref="Q855" si="642">+K855-K854</f>
        <v>15870</v>
      </c>
      <c r="R855" s="6"/>
      <c r="S855" s="7">
        <f>69868+34126+11078</f>
        <v>115072</v>
      </c>
      <c r="T855" s="6"/>
      <c r="U855" s="243">
        <v>2.402125115017657E-2</v>
      </c>
      <c r="W855">
        <f t="shared" si="467"/>
        <v>845</v>
      </c>
      <c r="Y855" s="56"/>
    </row>
    <row r="856" spans="3:25" x14ac:dyDescent="0.75">
      <c r="C856" s="158">
        <f t="shared" si="579"/>
        <v>44755</v>
      </c>
      <c r="E856" s="241">
        <v>5696031</v>
      </c>
      <c r="F856" s="7"/>
      <c r="G856" s="7">
        <v>2530796</v>
      </c>
      <c r="H856" s="581"/>
      <c r="I856" s="7">
        <v>840071</v>
      </c>
      <c r="J856" s="244"/>
      <c r="K856" s="7">
        <f t="shared" ref="K856" si="643">SUM(E856:I856)</f>
        <v>9066898</v>
      </c>
      <c r="L856" s="6"/>
      <c r="M856" s="438">
        <f t="shared" ref="M856" si="644">+(K856-K855)/K855</f>
        <v>1.1889183140129046E-3</v>
      </c>
      <c r="N856" s="29"/>
      <c r="O856" s="29"/>
      <c r="P856" s="29"/>
      <c r="Q856" s="332">
        <f t="shared" ref="Q856" si="645">+K856-K855</f>
        <v>10767</v>
      </c>
      <c r="R856" s="6"/>
      <c r="S856" s="7">
        <f>69889+34133+11083</f>
        <v>115105</v>
      </c>
      <c r="T856" s="6"/>
      <c r="U856" s="243">
        <v>2.402125115017657E-2</v>
      </c>
      <c r="W856">
        <f t="shared" si="467"/>
        <v>846</v>
      </c>
      <c r="Y856" s="56"/>
    </row>
    <row r="857" spans="3:25" x14ac:dyDescent="0.75">
      <c r="C857" s="158">
        <f t="shared" si="579"/>
        <v>44756</v>
      </c>
      <c r="E857" s="241">
        <v>5710064</v>
      </c>
      <c r="F857" s="7"/>
      <c r="G857" s="7">
        <v>2539038</v>
      </c>
      <c r="H857" s="581"/>
      <c r="I857" s="7">
        <v>840892</v>
      </c>
      <c r="J857" s="244"/>
      <c r="K857" s="7">
        <f t="shared" ref="K857" si="646">SUM(E857:I857)</f>
        <v>9089994</v>
      </c>
      <c r="L857" s="6"/>
      <c r="M857" s="438">
        <f t="shared" ref="M857" si="647">+(K857-K856)/K856</f>
        <v>2.5472879478736828E-3</v>
      </c>
      <c r="N857" s="29"/>
      <c r="O857" s="29"/>
      <c r="P857" s="29"/>
      <c r="Q857" s="332">
        <f t="shared" ref="Q857" si="648">+K857-K856</f>
        <v>23096</v>
      </c>
      <c r="R857" s="6"/>
      <c r="S857" s="7">
        <f>69921+34152+11085</f>
        <v>115158</v>
      </c>
      <c r="T857" s="6"/>
      <c r="U857" s="243">
        <v>2.402125115017657E-2</v>
      </c>
      <c r="W857">
        <f t="shared" si="467"/>
        <v>847</v>
      </c>
      <c r="Y857" s="56"/>
    </row>
    <row r="858" spans="3:25" x14ac:dyDescent="0.75">
      <c r="C858" s="158">
        <f t="shared" si="579"/>
        <v>44757</v>
      </c>
      <c r="E858" s="241">
        <v>5710185</v>
      </c>
      <c r="F858" s="7"/>
      <c r="G858" s="7">
        <v>2539038</v>
      </c>
      <c r="H858" s="581"/>
      <c r="I858" s="7">
        <v>841737</v>
      </c>
      <c r="J858" s="244"/>
      <c r="K858" s="7">
        <f t="shared" ref="K858" si="649">SUM(E858:I858)</f>
        <v>9090960</v>
      </c>
      <c r="L858" s="6"/>
      <c r="M858" s="438">
        <f t="shared" ref="M858" si="650">+(K858-K857)/K857</f>
        <v>1.0627069720838099E-4</v>
      </c>
      <c r="N858" s="29"/>
      <c r="O858" s="29"/>
      <c r="P858" s="29"/>
      <c r="Q858" s="332">
        <f t="shared" ref="Q858" si="651">+K858-K857</f>
        <v>966</v>
      </c>
      <c r="R858" s="6"/>
      <c r="S858" s="7">
        <f>69934+34152+11085</f>
        <v>115171</v>
      </c>
      <c r="T858" s="6"/>
      <c r="U858" s="243">
        <v>2.402125115017657E-2</v>
      </c>
      <c r="W858">
        <f t="shared" si="467"/>
        <v>848</v>
      </c>
      <c r="Y858" s="56"/>
    </row>
    <row r="859" spans="3:25" x14ac:dyDescent="0.75">
      <c r="C859" s="158">
        <f t="shared" si="579"/>
        <v>44758</v>
      </c>
      <c r="E859" s="241">
        <v>5718145</v>
      </c>
      <c r="F859" s="7"/>
      <c r="G859" s="7">
        <v>2542826</v>
      </c>
      <c r="H859" s="581"/>
      <c r="I859" s="7">
        <v>842567</v>
      </c>
      <c r="J859" s="244"/>
      <c r="K859" s="7">
        <f t="shared" ref="K859" si="652">SUM(E859:I859)</f>
        <v>9103538</v>
      </c>
      <c r="L859" s="6"/>
      <c r="M859" s="438">
        <f t="shared" ref="M859" si="653">+(K859-K858)/K858</f>
        <v>1.3835722519953888E-3</v>
      </c>
      <c r="N859" s="29"/>
      <c r="O859" s="29"/>
      <c r="P859" s="29"/>
      <c r="Q859" s="332">
        <f t="shared" ref="Q859" si="654">+K859-K858</f>
        <v>12578</v>
      </c>
      <c r="R859" s="6"/>
      <c r="S859" s="7">
        <f>69934+34159+11085</f>
        <v>115178</v>
      </c>
      <c r="T859" s="6"/>
      <c r="U859" s="243">
        <v>2.402125115017657E-2</v>
      </c>
      <c r="W859">
        <f t="shared" si="467"/>
        <v>849</v>
      </c>
      <c r="Y859" s="56"/>
    </row>
    <row r="860" spans="3:25" x14ac:dyDescent="0.75">
      <c r="C860" s="347">
        <f t="shared" si="579"/>
        <v>44759</v>
      </c>
      <c r="E860" s="241">
        <v>5721594</v>
      </c>
      <c r="F860" s="7"/>
      <c r="G860" s="7">
        <v>2545959</v>
      </c>
      <c r="H860" s="581"/>
      <c r="I860" s="7">
        <v>842712</v>
      </c>
      <c r="J860" s="244"/>
      <c r="K860" s="7">
        <f t="shared" ref="K860" si="655">SUM(E860:I860)</f>
        <v>9110265</v>
      </c>
      <c r="L860" s="6"/>
      <c r="M860" s="438">
        <f t="shared" ref="M860" si="656">+(K860-K859)/K859</f>
        <v>7.3894347450408841E-4</v>
      </c>
      <c r="N860" s="29"/>
      <c r="O860" s="29"/>
      <c r="P860" s="29"/>
      <c r="Q860" s="332">
        <f t="shared" ref="Q860" si="657">+K860-K859</f>
        <v>6727</v>
      </c>
      <c r="R860" s="6"/>
      <c r="S860" s="7">
        <f>69934+34159+11085</f>
        <v>115178</v>
      </c>
      <c r="T860" s="6"/>
      <c r="U860" s="243">
        <v>2.402125115017657E-2</v>
      </c>
      <c r="W860">
        <f t="shared" si="467"/>
        <v>850</v>
      </c>
      <c r="Y860" s="56"/>
    </row>
    <row r="861" spans="3:25" x14ac:dyDescent="0.75">
      <c r="C861" s="158">
        <f t="shared" si="579"/>
        <v>44760</v>
      </c>
      <c r="E861" s="241"/>
      <c r="F861" s="7"/>
      <c r="G861" s="7"/>
      <c r="H861" s="581"/>
      <c r="I861" s="7"/>
      <c r="J861" s="244"/>
      <c r="K861" s="7"/>
      <c r="L861" s="6"/>
      <c r="M861" s="438"/>
      <c r="N861" s="29"/>
      <c r="O861" s="29"/>
      <c r="P861" s="29"/>
      <c r="Q861" s="332"/>
      <c r="R861" s="6"/>
      <c r="S861" s="7"/>
      <c r="T861" s="6"/>
      <c r="U861" s="243"/>
      <c r="Y861" s="56"/>
    </row>
    <row r="862" spans="3:25" x14ac:dyDescent="0.75">
      <c r="C862" s="158">
        <f t="shared" si="579"/>
        <v>44761</v>
      </c>
      <c r="E862" s="241"/>
      <c r="F862" s="7"/>
      <c r="G862" s="7"/>
      <c r="H862" s="581"/>
      <c r="I862" s="7"/>
      <c r="J862" s="244"/>
      <c r="K862" s="7"/>
      <c r="L862" s="6"/>
      <c r="M862" s="438"/>
      <c r="N862" s="29"/>
      <c r="O862" s="29"/>
      <c r="P862" s="29"/>
      <c r="Q862" s="332"/>
      <c r="R862" s="6"/>
      <c r="S862" s="7"/>
      <c r="T862" s="6"/>
      <c r="U862" s="243"/>
      <c r="Y862" s="56"/>
    </row>
    <row r="863" spans="3:25" x14ac:dyDescent="0.75">
      <c r="C863" s="158">
        <f t="shared" si="579"/>
        <v>44762</v>
      </c>
      <c r="E863" s="241"/>
      <c r="F863" s="7"/>
      <c r="G863" s="7"/>
      <c r="H863" s="581"/>
      <c r="I863" s="7"/>
      <c r="J863" s="244"/>
      <c r="K863" s="7"/>
      <c r="L863" s="6"/>
      <c r="M863" s="438"/>
      <c r="N863" s="29"/>
      <c r="O863" s="29"/>
      <c r="P863" s="29"/>
      <c r="Q863" s="332"/>
      <c r="R863" s="6"/>
      <c r="S863" s="7"/>
      <c r="T863" s="6"/>
      <c r="U863" s="243"/>
      <c r="Y863" s="56"/>
    </row>
    <row r="864" spans="3:25" x14ac:dyDescent="0.75">
      <c r="C864" s="158">
        <f t="shared" si="579"/>
        <v>44763</v>
      </c>
      <c r="E864" s="241"/>
      <c r="F864" s="7"/>
      <c r="G864" s="7"/>
      <c r="H864" s="7"/>
      <c r="I864" s="7"/>
      <c r="J864" s="244"/>
      <c r="K864" s="7"/>
      <c r="L864" s="6"/>
      <c r="M864" s="438"/>
      <c r="N864" s="29"/>
      <c r="O864" s="29"/>
      <c r="P864" s="29"/>
      <c r="Q864" s="332"/>
      <c r="R864" s="6"/>
      <c r="S864" s="7"/>
      <c r="T864" s="6"/>
      <c r="U864" s="243"/>
      <c r="Y864" s="56"/>
    </row>
    <row r="865" spans="3:41" ht="15.5" thickBot="1" x14ac:dyDescent="0.9">
      <c r="C865" s="158">
        <f t="shared" si="579"/>
        <v>44764</v>
      </c>
      <c r="E865" s="245"/>
      <c r="F865" s="246"/>
      <c r="G865" s="246"/>
      <c r="H865" s="246"/>
      <c r="I865" s="246"/>
      <c r="J865" s="246"/>
      <c r="K865" s="246"/>
      <c r="L865" s="247"/>
      <c r="M865" s="248"/>
      <c r="N865" s="248"/>
      <c r="O865" s="248"/>
      <c r="P865" s="248"/>
      <c r="Q865" s="331"/>
      <c r="R865" s="247"/>
      <c r="S865" s="247"/>
      <c r="T865" s="247"/>
      <c r="U865" s="249"/>
      <c r="W865">
        <f>+W405+1</f>
        <v>396</v>
      </c>
      <c r="Y865" s="59"/>
    </row>
    <row r="866" spans="3:41" x14ac:dyDescent="0.75">
      <c r="E866" s="56"/>
      <c r="F866" s="1"/>
      <c r="G866" s="56"/>
      <c r="H866" s="56"/>
      <c r="I866" s="56"/>
      <c r="J866" s="1"/>
      <c r="K866" s="56"/>
      <c r="S866" s="56"/>
    </row>
    <row r="867" spans="3:41" x14ac:dyDescent="0.75">
      <c r="C867" s="166" t="s">
        <v>73</v>
      </c>
      <c r="E867" s="56">
        <f>+E859</f>
        <v>5718145</v>
      </c>
      <c r="F867" s="56"/>
      <c r="G867" s="56">
        <f t="shared" ref="G867:U867" si="658">+G859</f>
        <v>2542826</v>
      </c>
      <c r="H867" s="56">
        <f t="shared" si="658"/>
        <v>0</v>
      </c>
      <c r="I867" s="56">
        <f t="shared" si="658"/>
        <v>842567</v>
      </c>
      <c r="J867" s="56">
        <f t="shared" si="658"/>
        <v>0</v>
      </c>
      <c r="K867" s="56">
        <f t="shared" si="658"/>
        <v>9103538</v>
      </c>
      <c r="L867" s="56">
        <f t="shared" si="658"/>
        <v>0</v>
      </c>
      <c r="M867" s="56">
        <f t="shared" si="658"/>
        <v>1.3835722519953888E-3</v>
      </c>
      <c r="N867" s="56">
        <f t="shared" si="658"/>
        <v>0</v>
      </c>
      <c r="O867" s="56">
        <f t="shared" si="658"/>
        <v>0</v>
      </c>
      <c r="P867" s="56">
        <f t="shared" si="658"/>
        <v>0</v>
      </c>
      <c r="Q867" s="56">
        <f t="shared" si="658"/>
        <v>12578</v>
      </c>
      <c r="R867" s="56">
        <f t="shared" si="658"/>
        <v>0</v>
      </c>
      <c r="S867" s="56">
        <f t="shared" si="658"/>
        <v>115178</v>
      </c>
      <c r="T867" s="56">
        <f t="shared" si="658"/>
        <v>0</v>
      </c>
      <c r="U867" s="56">
        <f t="shared" si="658"/>
        <v>2.402125115017657E-2</v>
      </c>
      <c r="V867" s="56">
        <f>+V259</f>
        <v>0</v>
      </c>
    </row>
    <row r="868" spans="3:41" x14ac:dyDescent="0.75">
      <c r="E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</row>
    <row r="869" spans="3:41" x14ac:dyDescent="0.75">
      <c r="E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3:41" x14ac:dyDescent="0.75">
      <c r="C870" s="111"/>
      <c r="D870" s="112"/>
      <c r="E870" s="349"/>
      <c r="F870" s="10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</row>
    <row r="871" spans="3:41" x14ac:dyDescent="0.75">
      <c r="E871" s="56"/>
      <c r="K871" s="56"/>
      <c r="Q871" s="56"/>
    </row>
    <row r="872" spans="3:41" x14ac:dyDescent="0.75">
      <c r="D872" s="549" t="s">
        <v>26</v>
      </c>
      <c r="E872" t="s">
        <v>158</v>
      </c>
      <c r="K872" s="549"/>
      <c r="Q872" s="56"/>
      <c r="S872" s="59"/>
    </row>
    <row r="874" spans="3:41" x14ac:dyDescent="0.75">
      <c r="U874" s="549"/>
    </row>
    <row r="875" spans="3:41" x14ac:dyDescent="0.75">
      <c r="AO875" s="1">
        <v>3797000</v>
      </c>
    </row>
    <row r="876" spans="3:41" x14ac:dyDescent="0.75">
      <c r="C876" s="1"/>
    </row>
    <row r="877" spans="3:41" x14ac:dyDescent="0.75">
      <c r="C877" s="1"/>
      <c r="AO877" s="1">
        <v>30000</v>
      </c>
    </row>
    <row r="878" spans="3:41" x14ac:dyDescent="0.75">
      <c r="C878" s="59"/>
    </row>
    <row r="879" spans="3:41" x14ac:dyDescent="0.75">
      <c r="AO879" s="235">
        <f>+AO877/AO875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54"/>
  <sheetViews>
    <sheetView topLeftCell="A784" workbookViewId="0">
      <selection activeCell="I803" sqref="I803"/>
    </sheetView>
  </sheetViews>
  <sheetFormatPr defaultRowHeight="14.75" outlineLevelRow="1" x14ac:dyDescent="0.75"/>
  <cols>
    <col min="1" max="1" width="2.54296875" customWidth="1"/>
    <col min="2" max="2" width="3.86328125" customWidth="1"/>
    <col min="3" max="3" width="3.2265625" customWidth="1"/>
    <col min="4" max="4" width="2" customWidth="1"/>
    <col min="5" max="5" width="3.6796875" customWidth="1"/>
    <col min="6" max="6" width="13.76953125" customWidth="1"/>
    <col min="9" max="9" width="11.54296875" customWidth="1"/>
    <col min="10" max="10" width="2.6796875" customWidth="1"/>
    <col min="11" max="11" width="3.08984375" customWidth="1"/>
    <col min="13" max="13" width="2.453125" customWidth="1"/>
    <col min="15" max="15" width="2" customWidth="1"/>
    <col min="16" max="16" width="9.6796875" bestFit="1" customWidth="1"/>
    <col min="17" max="17" width="1.453125" customWidth="1"/>
    <col min="18" max="18" width="16.76953125" customWidth="1"/>
    <col min="19" max="19" width="2" customWidth="1"/>
    <col min="20" max="20" width="2.31640625" customWidth="1"/>
    <col min="21" max="21" width="9.08984375" bestFit="1" customWidth="1"/>
    <col min="22" max="22" width="2.2265625" customWidth="1"/>
    <col min="23" max="23" width="14.6796875" bestFit="1" customWidth="1"/>
    <col min="24" max="24" width="1.86328125" customWidth="1"/>
    <col min="25" max="25" width="10.08984375" bestFit="1" customWidth="1"/>
    <col min="26" max="26" width="2" customWidth="1"/>
    <col min="27" max="27" width="11.08984375" bestFit="1" customWidth="1"/>
    <col min="28" max="28" width="2.31640625" customWidth="1"/>
    <col min="29" max="29" width="1.86328125" customWidth="1"/>
    <col min="30" max="30" width="2.453125" customWidth="1"/>
    <col min="36" max="36" width="11.453125" customWidth="1"/>
  </cols>
  <sheetData>
    <row r="1" spans="2:30" ht="16" x14ac:dyDescent="0.8">
      <c r="B1" s="216" t="s">
        <v>5</v>
      </c>
      <c r="C1" s="216"/>
      <c r="D1" s="216"/>
    </row>
    <row r="2" spans="2:30" ht="16.75" thickBot="1" x14ac:dyDescent="0.95">
      <c r="B2" s="216" t="s">
        <v>6</v>
      </c>
      <c r="C2" s="216"/>
      <c r="D2" s="216"/>
    </row>
    <row r="3" spans="2:30" ht="16.75" thickBot="1" x14ac:dyDescent="0.95">
      <c r="B3" s="215" t="s">
        <v>13</v>
      </c>
      <c r="C3" s="215"/>
      <c r="D3" s="153"/>
      <c r="T3" s="716" t="s">
        <v>101</v>
      </c>
      <c r="U3" s="717"/>
      <c r="V3" s="717"/>
      <c r="W3" s="717"/>
      <c r="X3" s="717"/>
      <c r="Y3" s="717"/>
      <c r="Z3" s="717"/>
      <c r="AA3" s="717"/>
      <c r="AB3" s="717"/>
      <c r="AC3" s="717"/>
      <c r="AD3" s="718"/>
    </row>
    <row r="4" spans="2:30" ht="16" x14ac:dyDescent="0.8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6" x14ac:dyDescent="0.8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6" x14ac:dyDescent="0.8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6" x14ac:dyDescent="0.8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6" x14ac:dyDescent="0.8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6" x14ac:dyDescent="0.8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6" x14ac:dyDescent="0.8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6" x14ac:dyDescent="0.8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6" x14ac:dyDescent="0.8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9.7995187186546238E-3</v>
      </c>
      <c r="Z12" s="6"/>
      <c r="AA12" s="254">
        <f t="shared" si="0"/>
        <v>1046</v>
      </c>
      <c r="AB12" s="6"/>
      <c r="AC12" s="258"/>
      <c r="AD12" s="251"/>
    </row>
    <row r="13" spans="2:30" ht="16" x14ac:dyDescent="0.8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6" x14ac:dyDescent="0.8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75">
      <c r="B15" s="215"/>
      <c r="E15" s="719" t="s">
        <v>91</v>
      </c>
      <c r="F15" s="719"/>
      <c r="G15" s="719"/>
      <c r="H15" s="719"/>
      <c r="I15" s="719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75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.5" thickBot="1" x14ac:dyDescent="0.9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.5" thickBot="1" x14ac:dyDescent="0.9">
      <c r="C18" s="1"/>
      <c r="D18" s="725" t="s">
        <v>44</v>
      </c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7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.5" thickBot="1" x14ac:dyDescent="0.9">
      <c r="C19" s="1"/>
      <c r="D19" s="133"/>
      <c r="E19" s="728" t="s">
        <v>67</v>
      </c>
      <c r="F19" s="728"/>
      <c r="G19" s="728"/>
      <c r="H19" s="728"/>
      <c r="I19" s="134" t="s">
        <v>66</v>
      </c>
      <c r="J19" s="135"/>
      <c r="K19" s="733" t="s">
        <v>64</v>
      </c>
      <c r="L19" s="733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75">
      <c r="C20" s="1"/>
      <c r="D20" s="113"/>
      <c r="E20" s="114" t="s">
        <v>157</v>
      </c>
      <c r="F20" s="115"/>
      <c r="G20" s="114"/>
      <c r="H20" s="114"/>
      <c r="I20" s="81">
        <f>+'Main Table'!H848</f>
        <v>76917741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75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Table'!AA864</f>
        <v>906028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75">
      <c r="C22" s="1"/>
      <c r="D22" s="113"/>
      <c r="E22" s="114"/>
      <c r="F22" s="114" t="s">
        <v>43</v>
      </c>
      <c r="G22" s="114"/>
      <c r="H22" s="114"/>
      <c r="I22" s="146">
        <v>4183</v>
      </c>
      <c r="J22" s="116"/>
      <c r="K22" s="127"/>
      <c r="L22" s="238">
        <v>4193</v>
      </c>
      <c r="M22" s="127"/>
      <c r="N22" s="147">
        <f>+(I22-L22)/I22</f>
        <v>-2.3906287353573988E-3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75">
      <c r="C23" s="1"/>
      <c r="D23" s="113"/>
      <c r="E23" s="114"/>
      <c r="F23" s="124" t="s">
        <v>62</v>
      </c>
      <c r="G23" s="124"/>
      <c r="H23" s="124"/>
      <c r="I23" s="117">
        <f>+I20-I21-I22</f>
        <v>76007530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75">
      <c r="C24" s="1"/>
      <c r="D24" s="113"/>
      <c r="E24" s="114" t="s">
        <v>69</v>
      </c>
      <c r="F24" s="116"/>
      <c r="G24" s="116"/>
      <c r="H24" s="116"/>
      <c r="I24" s="118">
        <f>+'Main Table'!AP864</f>
        <v>86646220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75">
      <c r="C25" s="1"/>
      <c r="D25" s="729" t="s">
        <v>47</v>
      </c>
      <c r="E25" s="730"/>
      <c r="F25" s="730"/>
      <c r="G25" s="730"/>
      <c r="H25" s="730"/>
      <c r="I25" s="119">
        <f>+I23-I24</f>
        <v>-10638690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75">
      <c r="C26" s="1"/>
      <c r="D26" s="113"/>
      <c r="E26" s="114" t="s">
        <v>63</v>
      </c>
      <c r="F26" s="116"/>
      <c r="G26" s="116"/>
      <c r="H26" s="116"/>
      <c r="I26" s="118">
        <f>+I24</f>
        <v>86646220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.5" thickBot="1" x14ac:dyDescent="0.9">
      <c r="C27" s="1"/>
      <c r="D27" s="729" t="s">
        <v>44</v>
      </c>
      <c r="E27" s="730"/>
      <c r="F27" s="730"/>
      <c r="G27" s="730"/>
      <c r="H27" s="730"/>
      <c r="I27" s="136">
        <f>+I25+I26</f>
        <v>76007530</v>
      </c>
      <c r="J27" s="116"/>
      <c r="K27" s="734">
        <v>75907589</v>
      </c>
      <c r="L27" s="734"/>
      <c r="M27" s="127"/>
      <c r="N27" s="137">
        <f>+I27-K27</f>
        <v>99941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6.25" thickTop="1" thickBot="1" x14ac:dyDescent="0.9">
      <c r="C28" s="10"/>
      <c r="D28" s="122"/>
      <c r="E28" s="731" t="s">
        <v>61</v>
      </c>
      <c r="F28" s="731"/>
      <c r="G28" s="731"/>
      <c r="H28" s="124"/>
      <c r="I28" s="232">
        <f>+I27/I32</f>
        <v>0.97853609615883719</v>
      </c>
      <c r="J28" s="127"/>
      <c r="K28" s="127"/>
      <c r="L28" s="127"/>
      <c r="M28" s="98"/>
      <c r="N28" s="463">
        <f>+N27/K27</f>
        <v>1.3166140739893609E-3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6.25" thickTop="1" thickBot="1" x14ac:dyDescent="0.9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.5" thickBot="1" x14ac:dyDescent="0.9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75" thickBot="1" x14ac:dyDescent="0.95">
      <c r="C31" s="78"/>
      <c r="D31" s="230"/>
      <c r="E31" s="710" t="s">
        <v>101</v>
      </c>
      <c r="F31" s="711"/>
      <c r="G31" s="711"/>
      <c r="H31" s="711"/>
      <c r="I31" s="711"/>
      <c r="J31" s="712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75">
      <c r="C32" s="10"/>
      <c r="D32" s="217"/>
      <c r="E32" s="218" t="s">
        <v>75</v>
      </c>
      <c r="F32" s="24"/>
      <c r="G32" s="24"/>
      <c r="H32" s="24"/>
      <c r="I32" s="705">
        <f>+'Main Table'!H864</f>
        <v>77674733</v>
      </c>
      <c r="J32" s="705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75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75">
      <c r="D34" s="220"/>
      <c r="E34" s="22"/>
      <c r="F34" s="221" t="s">
        <v>100</v>
      </c>
      <c r="G34" s="221"/>
      <c r="H34" s="22"/>
      <c r="I34" s="706">
        <f>+I27</f>
        <v>76007530</v>
      </c>
      <c r="J34" s="707"/>
      <c r="K34" s="22"/>
      <c r="L34" s="25">
        <f>+I34/$I$32</f>
        <v>0.97853609615883719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75">
      <c r="D35" s="220"/>
      <c r="E35" s="22"/>
      <c r="F35" s="22" t="s">
        <v>76</v>
      </c>
      <c r="G35" s="22"/>
      <c r="H35" s="22"/>
      <c r="I35" s="713">
        <f>+I21</f>
        <v>906028</v>
      </c>
      <c r="J35" s="714"/>
      <c r="K35" s="22"/>
      <c r="L35" s="25">
        <f>+I35/$I$32</f>
        <v>1.1664385122508242E-2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.5" thickBot="1" x14ac:dyDescent="0.9">
      <c r="D36" s="220"/>
      <c r="E36" s="732" t="s">
        <v>101</v>
      </c>
      <c r="F36" s="732"/>
      <c r="G36" s="732"/>
      <c r="H36" s="233"/>
      <c r="I36" s="708">
        <f>+I32-I34-I35</f>
        <v>761175</v>
      </c>
      <c r="J36" s="709"/>
      <c r="K36" s="259"/>
      <c r="L36" s="234">
        <f>+I36/$I$32</f>
        <v>9.7995187186546238E-3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6.25" thickTop="1" thickBot="1" x14ac:dyDescent="0.9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75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75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.5" thickBot="1" x14ac:dyDescent="0.9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.5" thickBot="1" x14ac:dyDescent="0.9">
      <c r="D41" s="720" t="s">
        <v>114</v>
      </c>
      <c r="E41" s="721"/>
      <c r="F41" s="721"/>
      <c r="G41" s="721"/>
      <c r="H41" s="721"/>
      <c r="I41" s="721"/>
      <c r="J41" s="721"/>
      <c r="K41" s="721"/>
      <c r="L41" s="721"/>
      <c r="M41" s="721"/>
      <c r="N41" s="721"/>
      <c r="O41" s="722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.5" thickBot="1" x14ac:dyDescent="0.9">
      <c r="D42" s="277"/>
      <c r="E42" s="723" t="s">
        <v>67</v>
      </c>
      <c r="F42" s="723"/>
      <c r="G42" s="723"/>
      <c r="H42" s="723"/>
      <c r="I42" s="260" t="s">
        <v>66</v>
      </c>
      <c r="J42" s="261"/>
      <c r="K42" s="724" t="s">
        <v>35</v>
      </c>
      <c r="L42" s="724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75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75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75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75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75">
      <c r="D47" s="279"/>
      <c r="E47" s="264" t="s">
        <v>69</v>
      </c>
      <c r="F47" s="266"/>
      <c r="G47" s="266"/>
      <c r="H47" s="266"/>
      <c r="I47" s="338">
        <f>+'Main Table'!AP882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75">
      <c r="D48" s="689" t="s">
        <v>47</v>
      </c>
      <c r="E48" s="690"/>
      <c r="F48" s="690"/>
      <c r="G48" s="690"/>
      <c r="H48" s="690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75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.5" thickBot="1" x14ac:dyDescent="0.9">
      <c r="D50" s="689" t="s">
        <v>44</v>
      </c>
      <c r="E50" s="690"/>
      <c r="F50" s="690"/>
      <c r="G50" s="690"/>
      <c r="H50" s="690"/>
      <c r="I50" s="340">
        <f>+I48+I49</f>
        <v>22172</v>
      </c>
      <c r="J50" s="336"/>
      <c r="K50" s="691">
        <v>30167</v>
      </c>
      <c r="L50" s="691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6.25" thickTop="1" thickBot="1" x14ac:dyDescent="0.9">
      <c r="D51" s="270"/>
      <c r="E51" s="692" t="s">
        <v>61</v>
      </c>
      <c r="F51" s="692"/>
      <c r="G51" s="692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6.25" thickTop="1" thickBot="1" x14ac:dyDescent="0.9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.5" thickBot="1" x14ac:dyDescent="0.9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75" thickBot="1" x14ac:dyDescent="0.95">
      <c r="D54" s="317"/>
      <c r="E54" s="693" t="s">
        <v>115</v>
      </c>
      <c r="F54" s="694"/>
      <c r="G54" s="694"/>
      <c r="H54" s="694"/>
      <c r="I54" s="694"/>
      <c r="J54" s="69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75">
      <c r="D55" s="279"/>
      <c r="E55" s="311" t="s">
        <v>75</v>
      </c>
      <c r="F55" s="266"/>
      <c r="G55" s="266"/>
      <c r="H55" s="266"/>
      <c r="I55" s="696">
        <f>+K50</f>
        <v>30167</v>
      </c>
      <c r="J55" s="696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75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75">
      <c r="D57" s="270"/>
      <c r="E57" s="267"/>
      <c r="F57" s="313" t="s">
        <v>100</v>
      </c>
      <c r="G57" s="313"/>
      <c r="H57" s="267"/>
      <c r="I57" s="697">
        <f>+I50</f>
        <v>22172</v>
      </c>
      <c r="J57" s="698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75">
      <c r="D58" s="270"/>
      <c r="E58" s="267"/>
      <c r="F58" s="267" t="s">
        <v>76</v>
      </c>
      <c r="G58" s="267"/>
      <c r="H58" s="267"/>
      <c r="I58" s="699">
        <f>+I44</f>
        <v>1836</v>
      </c>
      <c r="J58" s="700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.5" thickBot="1" x14ac:dyDescent="0.9">
      <c r="D59" s="270"/>
      <c r="E59" s="701" t="s">
        <v>101</v>
      </c>
      <c r="F59" s="701"/>
      <c r="G59" s="701"/>
      <c r="H59" s="267"/>
      <c r="I59" s="702">
        <f>+I55-I57-I58</f>
        <v>6159</v>
      </c>
      <c r="J59" s="703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.5" thickTop="1" x14ac:dyDescent="0.75">
      <c r="D60" s="270"/>
      <c r="E60" s="424"/>
      <c r="F60" s="424" t="s">
        <v>116</v>
      </c>
      <c r="G60" s="424"/>
      <c r="H60" s="267"/>
      <c r="I60" s="704">
        <f>+I45</f>
        <v>1397</v>
      </c>
      <c r="J60" s="704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.5" thickBot="1" x14ac:dyDescent="0.9">
      <c r="D61" s="270"/>
      <c r="E61" s="333"/>
      <c r="F61" s="333" t="s">
        <v>117</v>
      </c>
      <c r="G61" s="333"/>
      <c r="H61" s="267"/>
      <c r="I61" s="702">
        <f>+I59-I60</f>
        <v>4762</v>
      </c>
      <c r="J61" s="702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6.25" thickTop="1" thickBot="1" x14ac:dyDescent="0.9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.5" thickBot="1" x14ac:dyDescent="0.9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.5" thickBot="1" x14ac:dyDescent="0.9">
      <c r="E64" s="693" t="s">
        <v>104</v>
      </c>
      <c r="F64" s="694"/>
      <c r="G64" s="694"/>
      <c r="H64" s="694"/>
      <c r="I64" s="694"/>
      <c r="J64" s="694"/>
      <c r="K64" s="694"/>
      <c r="L64" s="694"/>
      <c r="M64" s="69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75">
      <c r="E65" s="322"/>
      <c r="F65" s="275" t="s">
        <v>96</v>
      </c>
      <c r="G65" s="275"/>
      <c r="H65" s="275"/>
      <c r="I65" s="688">
        <v>11690000</v>
      </c>
      <c r="J65" s="688"/>
      <c r="K65" s="688"/>
      <c r="L65" s="688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75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75">
      <c r="E67" s="322"/>
      <c r="F67" s="715" t="s">
        <v>95</v>
      </c>
      <c r="G67" s="715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.5" thickBot="1" x14ac:dyDescent="0.9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75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75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.5" thickBot="1" x14ac:dyDescent="0.9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.5" thickBot="1" x14ac:dyDescent="0.9">
      <c r="D72" s="663" t="s">
        <v>118</v>
      </c>
      <c r="E72" s="664"/>
      <c r="F72" s="664"/>
      <c r="G72" s="664"/>
      <c r="H72" s="664"/>
      <c r="I72" s="664"/>
      <c r="J72" s="664"/>
      <c r="K72" s="664"/>
      <c r="L72" s="664"/>
      <c r="M72" s="664"/>
      <c r="N72" s="664"/>
      <c r="O72" s="665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.5" thickBot="1" x14ac:dyDescent="0.9">
      <c r="D73" s="354"/>
      <c r="E73" s="666" t="s">
        <v>67</v>
      </c>
      <c r="F73" s="666"/>
      <c r="G73" s="666"/>
      <c r="H73" s="666"/>
      <c r="I73" s="355" t="s">
        <v>66</v>
      </c>
      <c r="J73" s="356"/>
      <c r="K73" s="667" t="s">
        <v>35</v>
      </c>
      <c r="L73" s="667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75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75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75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75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75">
      <c r="D78" s="360"/>
      <c r="E78" s="361" t="s">
        <v>69</v>
      </c>
      <c r="F78" s="16"/>
      <c r="G78" s="16"/>
      <c r="H78" s="16"/>
      <c r="I78" s="366">
        <f>+'Main Table'!AP923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75">
      <c r="D79" s="668" t="s">
        <v>47</v>
      </c>
      <c r="E79" s="669"/>
      <c r="F79" s="669"/>
      <c r="G79" s="669"/>
      <c r="H79" s="669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75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.5" thickBot="1" x14ac:dyDescent="0.9">
      <c r="D81" s="668" t="s">
        <v>44</v>
      </c>
      <c r="E81" s="669"/>
      <c r="F81" s="669"/>
      <c r="G81" s="669"/>
      <c r="H81" s="669"/>
      <c r="I81" s="370">
        <f>+I79+I80</f>
        <v>36684</v>
      </c>
      <c r="J81" s="363"/>
      <c r="K81" s="671">
        <v>48675</v>
      </c>
      <c r="L81" s="671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6.25" thickTop="1" thickBot="1" x14ac:dyDescent="0.9">
      <c r="D82" s="372"/>
      <c r="E82" s="670" t="s">
        <v>61</v>
      </c>
      <c r="F82" s="670"/>
      <c r="G82" s="670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6.25" thickTop="1" thickBot="1" x14ac:dyDescent="0.9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75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75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75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75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75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75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75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75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75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75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75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75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75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75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75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75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75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75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75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75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75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75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75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75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75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75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75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75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75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75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75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75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75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75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75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75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75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75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9.7995187186546238E-3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75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75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75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75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75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75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75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75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75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75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75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75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75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75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75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75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75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75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75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75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75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75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75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75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75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75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75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75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75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75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75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75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75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75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75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75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75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75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75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75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75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75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75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75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75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75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75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75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75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75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75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75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75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75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75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75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75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75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75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75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75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75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75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75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75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75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75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75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75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75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75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75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75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75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75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75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75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75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75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75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75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75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75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75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75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75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75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75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75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75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75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75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75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9.7995187186546238E-3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75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75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75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75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75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75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75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75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75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75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75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75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75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75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75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75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75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75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75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75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75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75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75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75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75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75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75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75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75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75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9.7995187186546238E-3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75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75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75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75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75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75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75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75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75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75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75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75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75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75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75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75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75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75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75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75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75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75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75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75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75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75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75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75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75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75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75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75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75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75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75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75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75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75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75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75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75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75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75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75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75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75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75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75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75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75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75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75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75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75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75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75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75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75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75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75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75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75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75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75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75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75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75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75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75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75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75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75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75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75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75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75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75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75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75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75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75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75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75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75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75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75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75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75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75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75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75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75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75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75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75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75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75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75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75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75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75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75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75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75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75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75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9.7995187186546238E-3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75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75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75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75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75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75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75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75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75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75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75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75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75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75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75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75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75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75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75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75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75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75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75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75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75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75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75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75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75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75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75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75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75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75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75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75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75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75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75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75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75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75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75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75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75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75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75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75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75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75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75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75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75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75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75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75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75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75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75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75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75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75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75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75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75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75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75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75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75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75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75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75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75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75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75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75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75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75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75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75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75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75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75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75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75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75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75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75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75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75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75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75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75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75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75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75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75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75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75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75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75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75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75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75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75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75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75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75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75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75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75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75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75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75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75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75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75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75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75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75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75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75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75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75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75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75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75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75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75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75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75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75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75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75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75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75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75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75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75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75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75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75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75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75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75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75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75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75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75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75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75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75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75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75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75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75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75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75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75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75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75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75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75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75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75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75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75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75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75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75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75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75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75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75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75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75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75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75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75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75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75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75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75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75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75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75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75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75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75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75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75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75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75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75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75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75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75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75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75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75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75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75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75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75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75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75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75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75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75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75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75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75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75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75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75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75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75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75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75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75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75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75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75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75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75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75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75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75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75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75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75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75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75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75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75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75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75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75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75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75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75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75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75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75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75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75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75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75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75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75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75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75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75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75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75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75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75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75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75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75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75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75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75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75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75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75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75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75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75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75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75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75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75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75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75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75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75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75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75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75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75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75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75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75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75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75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75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75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75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75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75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75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75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75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75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75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75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75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75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75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75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75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75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75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75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75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75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75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75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75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75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75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75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75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75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75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75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75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75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75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75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75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75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75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75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75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75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75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75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75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75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75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75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75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75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75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75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75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75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75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75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75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75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75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75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75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75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75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75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75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75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75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75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75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75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75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75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75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75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75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75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75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75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75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75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75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75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75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75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75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75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75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75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75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75">
      <c r="O725" s="98"/>
      <c r="T725" s="250"/>
      <c r="U725" s="252">
        <f t="shared" ref="U725:U74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75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75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75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75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75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75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75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75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75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75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75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75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75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75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75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75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75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75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75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75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75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75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75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75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75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75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75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75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75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75">
      <c r="O755" s="98"/>
      <c r="T755" s="250"/>
      <c r="U755" s="252">
        <f t="shared" ref="U755:U817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75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75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75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75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75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75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75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75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75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75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75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75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75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2" x14ac:dyDescent="0.75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2" x14ac:dyDescent="0.75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2" x14ac:dyDescent="0.75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2" x14ac:dyDescent="0.75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2" x14ac:dyDescent="0.75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2" x14ac:dyDescent="0.75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2" x14ac:dyDescent="0.75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2" x14ac:dyDescent="0.75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2" x14ac:dyDescent="0.75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  <c r="AE777" s="56">
        <f>+W777-W807</f>
        <v>149471</v>
      </c>
      <c r="AF777" s="59">
        <f>+AE777/W777</f>
        <v>0.16966157583187191</v>
      </c>
    </row>
    <row r="778" spans="15:32" x14ac:dyDescent="0.75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2" x14ac:dyDescent="0.75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2" x14ac:dyDescent="0.75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2" x14ac:dyDescent="0.75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2" x14ac:dyDescent="0.75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2" x14ac:dyDescent="0.75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2" x14ac:dyDescent="0.75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15:32" x14ac:dyDescent="0.75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15:32" x14ac:dyDescent="0.75">
      <c r="O786" s="98"/>
      <c r="T786" s="250"/>
      <c r="U786" s="573">
        <f t="shared" si="157"/>
        <v>44731</v>
      </c>
      <c r="V786" s="6"/>
      <c r="W786" s="580"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15:32" x14ac:dyDescent="0.75">
      <c r="O787" s="98"/>
      <c r="T787" s="250"/>
      <c r="U787" s="252">
        <f t="shared" si="157"/>
        <v>44732</v>
      </c>
      <c r="V787" s="6"/>
      <c r="W787" s="580">
        <v>737856</v>
      </c>
      <c r="X787" s="581"/>
      <c r="Y787" s="44">
        <v>3.0000000000000001E-3</v>
      </c>
      <c r="Z787" s="581"/>
      <c r="AA787" s="582">
        <f t="shared" ref="AA787" si="190">+W786-W787</f>
        <v>76021</v>
      </c>
      <c r="AB787" s="581"/>
      <c r="AC787" s="583"/>
      <c r="AD787" s="251"/>
    </row>
    <row r="788" spans="15:32" x14ac:dyDescent="0.75">
      <c r="O788" s="98"/>
      <c r="T788" s="250"/>
      <c r="U788" s="252">
        <f t="shared" si="157"/>
        <v>44733</v>
      </c>
      <c r="V788" s="6"/>
      <c r="W788" s="580">
        <v>717438</v>
      </c>
      <c r="X788" s="581"/>
      <c r="Y788" s="44">
        <v>3.0000000000000001E-3</v>
      </c>
      <c r="Z788" s="581"/>
      <c r="AA788" s="582">
        <f t="shared" ref="AA788" si="191">+W787-W788</f>
        <v>20418</v>
      </c>
      <c r="AB788" s="581"/>
      <c r="AC788" s="583"/>
      <c r="AD788" s="251"/>
    </row>
    <row r="789" spans="15:32" x14ac:dyDescent="0.75">
      <c r="O789" s="98"/>
      <c r="T789" s="250"/>
      <c r="U789" s="252">
        <f t="shared" si="157"/>
        <v>44734</v>
      </c>
      <c r="V789" s="6"/>
      <c r="W789" s="580">
        <v>717453</v>
      </c>
      <c r="X789" s="581"/>
      <c r="Y789" s="44">
        <v>3.0000000000000001E-3</v>
      </c>
      <c r="Z789" s="581"/>
      <c r="AA789" s="582">
        <f t="shared" ref="AA789" si="192">+W788-W789</f>
        <v>-15</v>
      </c>
      <c r="AB789" s="581"/>
      <c r="AC789" s="583"/>
      <c r="AD789" s="251"/>
    </row>
    <row r="790" spans="15:32" x14ac:dyDescent="0.75">
      <c r="O790" s="98"/>
      <c r="T790" s="250"/>
      <c r="U790" s="252">
        <f t="shared" si="157"/>
        <v>44735</v>
      </c>
      <c r="V790" s="6"/>
      <c r="W790" s="580">
        <v>774417</v>
      </c>
      <c r="X790" s="581"/>
      <c r="Y790" s="44">
        <v>3.0000000000000001E-3</v>
      </c>
      <c r="Z790" s="581"/>
      <c r="AA790" s="582">
        <f t="shared" ref="AA790" si="193">+W789-W790</f>
        <v>-56964</v>
      </c>
      <c r="AB790" s="581"/>
      <c r="AC790" s="583"/>
      <c r="AD790" s="251"/>
    </row>
    <row r="791" spans="15:32" x14ac:dyDescent="0.75">
      <c r="O791" s="98"/>
      <c r="T791" s="250"/>
      <c r="U791" s="252">
        <f t="shared" si="157"/>
        <v>44736</v>
      </c>
      <c r="V791" s="6"/>
      <c r="W791" s="580">
        <v>861099</v>
      </c>
      <c r="X791" s="581"/>
      <c r="Y791" s="44">
        <v>3.0000000000000001E-3</v>
      </c>
      <c r="Z791" s="581"/>
      <c r="AA791" s="582">
        <f t="shared" ref="AA791" si="194">+W790-W791</f>
        <v>-86682</v>
      </c>
      <c r="AB791" s="581"/>
      <c r="AC791" s="583"/>
      <c r="AD791" s="251"/>
    </row>
    <row r="792" spans="15:32" x14ac:dyDescent="0.75">
      <c r="O792" s="98"/>
      <c r="T792" s="250"/>
      <c r="U792" s="252">
        <f t="shared" si="157"/>
        <v>44737</v>
      </c>
      <c r="V792" s="6"/>
      <c r="W792" s="580">
        <v>855368</v>
      </c>
      <c r="X792" s="581"/>
      <c r="Y792" s="44">
        <v>3.0000000000000001E-3</v>
      </c>
      <c r="Z792" s="581"/>
      <c r="AA792" s="582">
        <f t="shared" ref="AA792" si="195">+W791-W792</f>
        <v>5731</v>
      </c>
      <c r="AB792" s="581"/>
      <c r="AC792" s="583"/>
      <c r="AD792" s="251"/>
    </row>
    <row r="793" spans="15:32" x14ac:dyDescent="0.75">
      <c r="O793" s="98"/>
      <c r="T793" s="250"/>
      <c r="U793" s="573">
        <f t="shared" si="157"/>
        <v>44738</v>
      </c>
      <c r="V793" s="6"/>
      <c r="W793" s="580">
        <v>802275</v>
      </c>
      <c r="X793" s="581"/>
      <c r="Y793" s="44">
        <v>3.0000000000000001E-3</v>
      </c>
      <c r="Z793" s="581"/>
      <c r="AA793" s="582">
        <f t="shared" ref="AA793" si="196">+W792-W793</f>
        <v>53093</v>
      </c>
      <c r="AB793" s="581"/>
      <c r="AC793" s="583"/>
      <c r="AD793" s="251"/>
      <c r="AE793" s="56">
        <f>+W793-W807</f>
        <v>70751</v>
      </c>
      <c r="AF793" s="59">
        <f>+AE793/W793</f>
        <v>8.8187965473185623E-2</v>
      </c>
    </row>
    <row r="794" spans="15:32" x14ac:dyDescent="0.75">
      <c r="O794" s="98"/>
      <c r="T794" s="250"/>
      <c r="U794" s="252">
        <f t="shared" si="157"/>
        <v>44739</v>
      </c>
      <c r="V794" s="6"/>
      <c r="W794" s="580">
        <v>755667</v>
      </c>
      <c r="X794" s="581"/>
      <c r="Y794" s="44">
        <v>3.0000000000000001E-3</v>
      </c>
      <c r="Z794" s="581"/>
      <c r="AA794" s="582">
        <f t="shared" ref="AA794" si="197">+W793-W794</f>
        <v>46608</v>
      </c>
      <c r="AB794" s="581"/>
      <c r="AC794" s="583"/>
      <c r="AD794" s="251"/>
    </row>
    <row r="795" spans="15:32" x14ac:dyDescent="0.75">
      <c r="O795" s="98"/>
      <c r="T795" s="250"/>
      <c r="U795" s="252">
        <f t="shared" si="157"/>
        <v>44740</v>
      </c>
      <c r="V795" s="6"/>
      <c r="W795" s="580">
        <v>741719</v>
      </c>
      <c r="X795" s="581"/>
      <c r="Y795" s="44">
        <v>3.0000000000000001E-3</v>
      </c>
      <c r="Z795" s="581"/>
      <c r="AA795" s="582">
        <f t="shared" ref="AA795" si="198">+W794-W795</f>
        <v>13948</v>
      </c>
      <c r="AB795" s="581"/>
      <c r="AC795" s="583"/>
      <c r="AD795" s="251"/>
    </row>
    <row r="796" spans="15:32" x14ac:dyDescent="0.75">
      <c r="O796" s="98"/>
      <c r="T796" s="250"/>
      <c r="U796" s="252">
        <f t="shared" si="157"/>
        <v>44741</v>
      </c>
      <c r="V796" s="6"/>
      <c r="W796" s="580">
        <v>760319</v>
      </c>
      <c r="X796" s="581"/>
      <c r="Y796" s="44">
        <v>3.0000000000000001E-3</v>
      </c>
      <c r="Z796" s="581"/>
      <c r="AA796" s="582">
        <f t="shared" ref="AA796" si="199">+W795-W796</f>
        <v>-18600</v>
      </c>
      <c r="AB796" s="581"/>
      <c r="AC796" s="583"/>
      <c r="AD796" s="251"/>
    </row>
    <row r="797" spans="15:32" x14ac:dyDescent="0.75">
      <c r="O797" s="98"/>
      <c r="T797" s="250"/>
      <c r="U797" s="252">
        <f t="shared" si="157"/>
        <v>44742</v>
      </c>
      <c r="V797" s="6"/>
      <c r="W797" s="580">
        <v>815453</v>
      </c>
      <c r="X797" s="581"/>
      <c r="Y797" s="44">
        <v>3.0000000000000001E-3</v>
      </c>
      <c r="Z797" s="581"/>
      <c r="AA797" s="582">
        <f t="shared" ref="AA797" si="200">+W796-W797</f>
        <v>-55134</v>
      </c>
      <c r="AB797" s="581"/>
      <c r="AC797" s="583"/>
      <c r="AD797" s="251"/>
    </row>
    <row r="798" spans="15:32" x14ac:dyDescent="0.75">
      <c r="O798" s="98"/>
      <c r="T798" s="250"/>
      <c r="U798" s="252">
        <f t="shared" si="157"/>
        <v>44743</v>
      </c>
      <c r="V798" s="6"/>
      <c r="W798" s="580">
        <v>887561</v>
      </c>
      <c r="X798" s="581"/>
      <c r="Y798" s="44">
        <v>3.0000000000000001E-3</v>
      </c>
      <c r="Z798" s="581"/>
      <c r="AA798" s="582">
        <f t="shared" ref="AA798" si="201">+W797-W798</f>
        <v>-72108</v>
      </c>
      <c r="AB798" s="581"/>
      <c r="AC798" s="583"/>
      <c r="AD798" s="251"/>
    </row>
    <row r="799" spans="15:32" x14ac:dyDescent="0.75">
      <c r="O799" s="98"/>
      <c r="T799" s="250"/>
      <c r="U799" s="252">
        <f t="shared" si="157"/>
        <v>44744</v>
      </c>
      <c r="V799" s="6"/>
      <c r="W799" s="580">
        <v>880042</v>
      </c>
      <c r="X799" s="581"/>
      <c r="Y799" s="44">
        <v>3.0000000000000001E-3</v>
      </c>
      <c r="Z799" s="581"/>
      <c r="AA799" s="582">
        <f t="shared" ref="AA799" si="202">+W798-W799</f>
        <v>7519</v>
      </c>
      <c r="AB799" s="581"/>
      <c r="AC799" s="583"/>
      <c r="AD799" s="251"/>
    </row>
    <row r="800" spans="15:32" x14ac:dyDescent="0.75">
      <c r="O800" s="98"/>
      <c r="T800" s="250"/>
      <c r="U800" s="573">
        <f t="shared" si="157"/>
        <v>44745</v>
      </c>
      <c r="V800" s="6"/>
      <c r="W800" s="580">
        <v>805960</v>
      </c>
      <c r="X800" s="581"/>
      <c r="Y800" s="44">
        <v>3.0000000000000001E-3</v>
      </c>
      <c r="Z800" s="581"/>
      <c r="AA800" s="582">
        <f t="shared" ref="AA800" si="203">+W799-W800</f>
        <v>74082</v>
      </c>
      <c r="AB800" s="581"/>
      <c r="AC800" s="583"/>
      <c r="AD800" s="251"/>
    </row>
    <row r="801" spans="15:30" x14ac:dyDescent="0.75">
      <c r="O801" s="98"/>
      <c r="T801" s="250"/>
      <c r="U801" s="252">
        <f t="shared" si="157"/>
        <v>44746</v>
      </c>
      <c r="V801" s="6"/>
      <c r="W801" s="580">
        <v>725552</v>
      </c>
      <c r="X801" s="581"/>
      <c r="Y801" s="44">
        <v>3.0000000000000001E-3</v>
      </c>
      <c r="Z801" s="581"/>
      <c r="AA801" s="582">
        <f t="shared" ref="AA801" si="204">+W800-W801</f>
        <v>80408</v>
      </c>
      <c r="AB801" s="581"/>
      <c r="AC801" s="583"/>
      <c r="AD801" s="251"/>
    </row>
    <row r="802" spans="15:30" x14ac:dyDescent="0.75">
      <c r="O802" s="98"/>
      <c r="T802" s="250"/>
      <c r="U802" s="252">
        <f t="shared" si="157"/>
        <v>44747</v>
      </c>
      <c r="V802" s="6"/>
      <c r="W802" s="580">
        <v>674570</v>
      </c>
      <c r="X802" s="581"/>
      <c r="Y802" s="44">
        <v>3.0000000000000001E-3</v>
      </c>
      <c r="Z802" s="581"/>
      <c r="AA802" s="582">
        <f t="shared" ref="AA802" si="205">+W801-W802</f>
        <v>50982</v>
      </c>
      <c r="AB802" s="581"/>
      <c r="AC802" s="583"/>
      <c r="AD802" s="251"/>
    </row>
    <row r="803" spans="15:30" x14ac:dyDescent="0.75">
      <c r="O803" s="98"/>
      <c r="T803" s="250"/>
      <c r="U803" s="252">
        <f t="shared" si="157"/>
        <v>44748</v>
      </c>
      <c r="V803" s="6"/>
      <c r="W803" s="580">
        <v>671689</v>
      </c>
      <c r="X803" s="581"/>
      <c r="Y803" s="44">
        <v>3.0000000000000001E-3</v>
      </c>
      <c r="Z803" s="581"/>
      <c r="AA803" s="582">
        <f t="shared" ref="AA803" si="206">+W802-W803</f>
        <v>2881</v>
      </c>
      <c r="AB803" s="581"/>
      <c r="AC803" s="583"/>
      <c r="AD803" s="251"/>
    </row>
    <row r="804" spans="15:30" x14ac:dyDescent="0.75">
      <c r="O804" s="98"/>
      <c r="T804" s="250"/>
      <c r="U804" s="252">
        <f t="shared" si="157"/>
        <v>44749</v>
      </c>
      <c r="V804" s="6"/>
      <c r="W804" s="580">
        <v>719540</v>
      </c>
      <c r="X804" s="581"/>
      <c r="Y804" s="44">
        <v>3.0000000000000001E-3</v>
      </c>
      <c r="Z804" s="581"/>
      <c r="AA804" s="582">
        <f t="shared" ref="AA804" si="207">+W803-W804</f>
        <v>-47851</v>
      </c>
      <c r="AB804" s="581"/>
      <c r="AC804" s="583"/>
      <c r="AD804" s="251"/>
    </row>
    <row r="805" spans="15:30" x14ac:dyDescent="0.75">
      <c r="O805" s="98"/>
      <c r="T805" s="250"/>
      <c r="U805" s="252">
        <f t="shared" si="157"/>
        <v>44750</v>
      </c>
      <c r="V805" s="6"/>
      <c r="W805" s="580">
        <v>807329</v>
      </c>
      <c r="X805" s="581"/>
      <c r="Y805" s="44">
        <v>3.0000000000000001E-3</v>
      </c>
      <c r="Z805" s="581"/>
      <c r="AA805" s="582">
        <f t="shared" ref="AA805" si="208">+W804-W805</f>
        <v>-87789</v>
      </c>
      <c r="AB805" s="581"/>
      <c r="AC805" s="583"/>
      <c r="AD805" s="251"/>
    </row>
    <row r="806" spans="15:30" x14ac:dyDescent="0.75">
      <c r="O806" s="98"/>
      <c r="T806" s="250"/>
      <c r="U806" s="252">
        <f t="shared" si="157"/>
        <v>44751</v>
      </c>
      <c r="V806" s="6"/>
      <c r="W806" s="580">
        <v>786080</v>
      </c>
      <c r="X806" s="581"/>
      <c r="Y806" s="44">
        <v>3.0000000000000001E-3</v>
      </c>
      <c r="Z806" s="581"/>
      <c r="AA806" s="582">
        <f t="shared" ref="AA806" si="209">+W805-W806</f>
        <v>21249</v>
      </c>
      <c r="AB806" s="581"/>
      <c r="AC806" s="583"/>
      <c r="AD806" s="251"/>
    </row>
    <row r="807" spans="15:30" x14ac:dyDescent="0.75">
      <c r="O807" s="98"/>
      <c r="T807" s="250"/>
      <c r="U807" s="573">
        <f t="shared" si="157"/>
        <v>44752</v>
      </c>
      <c r="V807" s="6"/>
      <c r="W807" s="580">
        <v>731524</v>
      </c>
      <c r="X807" s="581"/>
      <c r="Y807" s="44">
        <v>3.0000000000000001E-3</v>
      </c>
      <c r="Z807" s="581"/>
      <c r="AA807" s="582">
        <f t="shared" ref="AA807" si="210">+W806-W807</f>
        <v>54556</v>
      </c>
      <c r="AB807" s="581"/>
      <c r="AC807" s="583"/>
      <c r="AD807" s="251"/>
    </row>
    <row r="808" spans="15:30" x14ac:dyDescent="0.75">
      <c r="O808" s="98"/>
      <c r="T808" s="250"/>
      <c r="U808" s="252">
        <f t="shared" si="157"/>
        <v>44753</v>
      </c>
      <c r="V808" s="6"/>
      <c r="W808" s="580">
        <v>689419</v>
      </c>
      <c r="X808" s="581"/>
      <c r="Y808" s="44">
        <v>3.0000000000000001E-3</v>
      </c>
      <c r="Z808" s="581"/>
      <c r="AA808" s="582">
        <f t="shared" ref="AA808" si="211">+W807-W808</f>
        <v>42105</v>
      </c>
      <c r="AB808" s="581"/>
      <c r="AC808" s="583"/>
      <c r="AD808" s="251"/>
    </row>
    <row r="809" spans="15:30" x14ac:dyDescent="0.75">
      <c r="O809" s="98"/>
      <c r="T809" s="250"/>
      <c r="U809" s="252">
        <f t="shared" si="157"/>
        <v>44754</v>
      </c>
      <c r="V809" s="6"/>
      <c r="W809" s="580">
        <v>698972</v>
      </c>
      <c r="X809" s="581"/>
      <c r="Y809" s="44">
        <v>3.0000000000000001E-3</v>
      </c>
      <c r="Z809" s="581"/>
      <c r="AA809" s="582">
        <f t="shared" ref="AA809" si="212">+W808-W809</f>
        <v>-9553</v>
      </c>
      <c r="AB809" s="581"/>
      <c r="AC809" s="583"/>
      <c r="AD809" s="251"/>
    </row>
    <row r="810" spans="15:30" x14ac:dyDescent="0.75">
      <c r="O810" s="98"/>
      <c r="T810" s="250"/>
      <c r="U810" s="252">
        <f t="shared" si="157"/>
        <v>44755</v>
      </c>
      <c r="V810" s="6"/>
      <c r="W810" s="580">
        <v>704270</v>
      </c>
      <c r="X810" s="581"/>
      <c r="Y810" s="44">
        <v>3.0000000000000001E-3</v>
      </c>
      <c r="Z810" s="581"/>
      <c r="AA810" s="582">
        <f t="shared" ref="AA810" si="213">+W809-W810</f>
        <v>-5298</v>
      </c>
      <c r="AB810" s="581"/>
      <c r="AC810" s="583"/>
      <c r="AD810" s="251"/>
    </row>
    <row r="811" spans="15:30" x14ac:dyDescent="0.75">
      <c r="O811" s="98"/>
      <c r="T811" s="250"/>
      <c r="U811" s="252">
        <f t="shared" si="157"/>
        <v>44756</v>
      </c>
      <c r="V811" s="6"/>
      <c r="W811" s="580">
        <v>774329</v>
      </c>
      <c r="X811" s="581"/>
      <c r="Y811" s="44">
        <v>3.0000000000000001E-3</v>
      </c>
      <c r="Z811" s="581"/>
      <c r="AA811" s="582">
        <f t="shared" ref="AA811" si="214">+W810-W811</f>
        <v>-70059</v>
      </c>
      <c r="AB811" s="581"/>
      <c r="AC811" s="583"/>
      <c r="AD811" s="251"/>
    </row>
    <row r="812" spans="15:30" x14ac:dyDescent="0.75">
      <c r="O812" s="98"/>
      <c r="T812" s="250"/>
      <c r="U812" s="252">
        <f t="shared" si="157"/>
        <v>44757</v>
      </c>
      <c r="V812" s="6"/>
      <c r="W812" s="580">
        <v>855116</v>
      </c>
      <c r="X812" s="581"/>
      <c r="Y812" s="44">
        <v>3.0000000000000001E-3</v>
      </c>
      <c r="Z812" s="581"/>
      <c r="AA812" s="582">
        <f t="shared" ref="AA812" si="215">+W811-W812</f>
        <v>-80787</v>
      </c>
      <c r="AB812" s="581"/>
      <c r="AC812" s="583"/>
      <c r="AD812" s="251"/>
    </row>
    <row r="813" spans="15:30" x14ac:dyDescent="0.75">
      <c r="O813" s="98"/>
      <c r="T813" s="250"/>
      <c r="U813" s="252">
        <f t="shared" si="157"/>
        <v>44758</v>
      </c>
      <c r="V813" s="6"/>
      <c r="W813" s="580">
        <v>836380</v>
      </c>
      <c r="X813" s="581"/>
      <c r="Y813" s="44">
        <v>3.0000000000000001E-3</v>
      </c>
      <c r="Z813" s="581"/>
      <c r="AA813" s="582">
        <f t="shared" ref="AA813" si="216">+W812-W813</f>
        <v>18736</v>
      </c>
      <c r="AB813" s="581"/>
      <c r="AC813" s="583"/>
      <c r="AD813" s="251"/>
    </row>
    <row r="814" spans="15:30" x14ac:dyDescent="0.75">
      <c r="O814" s="98"/>
      <c r="T814" s="250"/>
      <c r="U814" s="573">
        <f t="shared" si="157"/>
        <v>44759</v>
      </c>
      <c r="V814" s="6"/>
      <c r="W814" s="580">
        <f>+I$36</f>
        <v>761175</v>
      </c>
      <c r="X814" s="581"/>
      <c r="Y814" s="44">
        <v>3.0000000000000001E-3</v>
      </c>
      <c r="Z814" s="581"/>
      <c r="AA814" s="582">
        <f t="shared" ref="AA814" si="217">+W813-W814</f>
        <v>75205</v>
      </c>
      <c r="AB814" s="581"/>
      <c r="AC814" s="583"/>
      <c r="AD814" s="251"/>
    </row>
    <row r="815" spans="15:30" x14ac:dyDescent="0.75">
      <c r="O815" s="98"/>
      <c r="T815" s="250"/>
      <c r="U815" s="252">
        <f t="shared" si="157"/>
        <v>44760</v>
      </c>
      <c r="V815" s="6"/>
      <c r="W815" s="580"/>
      <c r="X815" s="581"/>
      <c r="Y815" s="44"/>
      <c r="Z815" s="581"/>
      <c r="AA815" s="582"/>
      <c r="AB815" s="581"/>
      <c r="AC815" s="583"/>
      <c r="AD815" s="251"/>
    </row>
    <row r="816" spans="15:30" x14ac:dyDescent="0.75">
      <c r="O816" s="98"/>
      <c r="T816" s="250"/>
      <c r="U816" s="252">
        <f t="shared" si="157"/>
        <v>44761</v>
      </c>
      <c r="V816" s="6"/>
      <c r="W816" s="580"/>
      <c r="X816" s="581"/>
      <c r="Y816" s="44"/>
      <c r="Z816" s="581"/>
      <c r="AA816" s="582"/>
      <c r="AB816" s="581"/>
      <c r="AC816" s="583"/>
      <c r="AD816" s="251"/>
    </row>
    <row r="817" spans="4:36" x14ac:dyDescent="0.75">
      <c r="O817" s="98"/>
      <c r="T817" s="250"/>
      <c r="U817" s="252">
        <f t="shared" si="157"/>
        <v>44762</v>
      </c>
      <c r="V817" s="6"/>
      <c r="W817" s="253"/>
      <c r="X817" s="6"/>
      <c r="Y817" s="44"/>
      <c r="Z817" s="6"/>
      <c r="AA817" s="254"/>
      <c r="AB817" s="6"/>
      <c r="AC817" s="258"/>
      <c r="AD817" s="251"/>
    </row>
    <row r="818" spans="4:36" ht="15.5" thickBot="1" x14ac:dyDescent="0.9">
      <c r="O818" s="98"/>
      <c r="T818" s="255"/>
      <c r="U818" s="350">
        <f>+U817+1</f>
        <v>44763</v>
      </c>
      <c r="V818" s="247"/>
      <c r="W818" s="351"/>
      <c r="X818" s="247"/>
      <c r="Y818" s="256"/>
      <c r="Z818" s="247"/>
      <c r="AA818" s="352"/>
      <c r="AB818" s="247"/>
      <c r="AC818" s="353"/>
      <c r="AD818" s="257"/>
    </row>
    <row r="819" spans="4:36" x14ac:dyDescent="0.75">
      <c r="O819" s="98"/>
    </row>
    <row r="820" spans="4:36" x14ac:dyDescent="0.75">
      <c r="O820" s="98"/>
      <c r="P820" s="57"/>
      <c r="Q820" s="57"/>
      <c r="R820" s="57"/>
      <c r="W820" s="56"/>
    </row>
    <row r="821" spans="4:36" x14ac:dyDescent="0.75">
      <c r="O821" s="98"/>
    </row>
    <row r="822" spans="4:36" ht="15.5" thickBot="1" x14ac:dyDescent="0.9">
      <c r="O822" s="98"/>
    </row>
    <row r="823" spans="4:36" ht="16.25" thickTop="1" thickBot="1" x14ac:dyDescent="0.9">
      <c r="Q823" s="441"/>
      <c r="R823" s="442"/>
      <c r="S823" s="442"/>
      <c r="T823" s="442"/>
      <c r="U823" s="442"/>
      <c r="V823" s="442"/>
      <c r="W823" s="442"/>
      <c r="X823" s="442"/>
      <c r="Y823" s="442"/>
      <c r="Z823" s="442"/>
      <c r="AA823" s="442"/>
      <c r="AB823" s="443"/>
    </row>
    <row r="824" spans="4:36" ht="15.5" thickBot="1" x14ac:dyDescent="0.9">
      <c r="E824" s="675" t="s">
        <v>106</v>
      </c>
      <c r="F824" s="676"/>
      <c r="G824" s="676"/>
      <c r="H824" s="676"/>
      <c r="I824" s="676"/>
      <c r="J824" s="676"/>
      <c r="K824" s="676"/>
      <c r="L824" s="676"/>
      <c r="M824" s="677"/>
      <c r="Q824" s="444"/>
      <c r="R824" s="6"/>
      <c r="S824" s="6"/>
      <c r="T824" s="6"/>
      <c r="U824" s="5" t="s">
        <v>132</v>
      </c>
      <c r="V824" s="5"/>
      <c r="W824" s="5"/>
      <c r="X824" s="5"/>
      <c r="Y824" s="5"/>
      <c r="Z824" s="5"/>
      <c r="AA824" s="5" t="s">
        <v>28</v>
      </c>
      <c r="AB824" s="445"/>
    </row>
    <row r="825" spans="4:36" x14ac:dyDescent="0.75">
      <c r="E825" s="395"/>
      <c r="F825" s="396" t="s">
        <v>107</v>
      </c>
      <c r="G825" s="396"/>
      <c r="H825" s="396"/>
      <c r="I825" s="678">
        <v>21477737</v>
      </c>
      <c r="J825" s="678"/>
      <c r="K825" s="678"/>
      <c r="L825" s="678"/>
      <c r="M825" s="397"/>
      <c r="Q825" s="444"/>
      <c r="R825" s="437" t="s">
        <v>134</v>
      </c>
      <c r="S825" s="6"/>
      <c r="T825" s="6"/>
      <c r="U825" s="437" t="s">
        <v>133</v>
      </c>
      <c r="V825" s="5"/>
      <c r="W825" s="437" t="s">
        <v>20</v>
      </c>
      <c r="X825" s="5"/>
      <c r="Y825" s="437" t="s">
        <v>4</v>
      </c>
      <c r="Z825" s="5"/>
      <c r="AA825" s="446" t="s">
        <v>131</v>
      </c>
      <c r="AB825" s="445"/>
    </row>
    <row r="826" spans="4:36" x14ac:dyDescent="0.75">
      <c r="E826" s="395"/>
      <c r="F826" s="396" t="s">
        <v>97</v>
      </c>
      <c r="G826" s="396"/>
      <c r="H826" s="396"/>
      <c r="I826" s="396"/>
      <c r="J826" s="396"/>
      <c r="K826" s="396"/>
      <c r="L826" s="398">
        <f>+I838/I825</f>
        <v>4.5847474526762295E-4</v>
      </c>
      <c r="M826" s="397"/>
      <c r="Q826" s="444"/>
      <c r="R826" s="6" t="s">
        <v>121</v>
      </c>
      <c r="S826" s="6"/>
      <c r="T826" s="6"/>
      <c r="U826" s="7">
        <v>2003</v>
      </c>
      <c r="V826" s="6"/>
      <c r="W826" s="7">
        <v>389666</v>
      </c>
      <c r="X826" s="6"/>
      <c r="Y826" s="7">
        <v>31257</v>
      </c>
      <c r="Z826" s="6"/>
      <c r="AA826" s="253">
        <f>+AJ826</f>
        <v>19500</v>
      </c>
      <c r="AB826" s="445"/>
      <c r="AJ826" s="1">
        <v>19500</v>
      </c>
    </row>
    <row r="827" spans="4:36" x14ac:dyDescent="0.75">
      <c r="E827" s="395"/>
      <c r="F827" s="679" t="s">
        <v>95</v>
      </c>
      <c r="G827" s="679"/>
      <c r="H827" s="396"/>
      <c r="I827" s="396"/>
      <c r="J827" s="396"/>
      <c r="K827" s="396"/>
      <c r="L827" s="399">
        <f>+I838/(I825/100000)</f>
        <v>45.847474526762298</v>
      </c>
      <c r="M827" s="397"/>
      <c r="Q827" s="444"/>
      <c r="R827" s="6" t="s">
        <v>122</v>
      </c>
      <c r="S827" s="6"/>
      <c r="T827" s="6"/>
      <c r="U827" s="7">
        <v>1913</v>
      </c>
      <c r="V827" s="6"/>
      <c r="W827" s="7">
        <v>169892</v>
      </c>
      <c r="X827" s="6"/>
      <c r="Y827" s="7">
        <v>13076</v>
      </c>
      <c r="Z827" s="6"/>
      <c r="AA827" s="253">
        <f t="shared" ref="AA827:AA835" si="218">+AJ827</f>
        <v>8900</v>
      </c>
      <c r="AB827" s="445"/>
      <c r="AJ827" s="1">
        <v>8900</v>
      </c>
    </row>
    <row r="828" spans="4:36" x14ac:dyDescent="0.75">
      <c r="E828" s="395"/>
      <c r="F828" s="400"/>
      <c r="G828" s="400"/>
      <c r="H828" s="396"/>
      <c r="I828" s="396"/>
      <c r="J828" s="396"/>
      <c r="K828" s="396"/>
      <c r="L828" s="399"/>
      <c r="M828" s="397"/>
      <c r="Q828" s="444"/>
      <c r="R828" s="6" t="s">
        <v>123</v>
      </c>
      <c r="S828" s="6"/>
      <c r="T828" s="6"/>
      <c r="U828" s="7">
        <v>1568</v>
      </c>
      <c r="V828" s="6"/>
      <c r="W828" s="7">
        <v>16606</v>
      </c>
      <c r="X828" s="6"/>
      <c r="Y828" s="7">
        <v>912</v>
      </c>
      <c r="Z828" s="6"/>
      <c r="AA828" s="253">
        <f t="shared" si="218"/>
        <v>1100</v>
      </c>
      <c r="AB828" s="445"/>
      <c r="AJ828" s="1">
        <v>1100</v>
      </c>
    </row>
    <row r="829" spans="4:36" x14ac:dyDescent="0.75">
      <c r="E829" s="395"/>
      <c r="F829" s="400" t="s">
        <v>108</v>
      </c>
      <c r="G829" s="400"/>
      <c r="H829" s="679" t="s">
        <v>109</v>
      </c>
      <c r="I829" s="679"/>
      <c r="J829" s="396"/>
      <c r="K829" s="396"/>
      <c r="L829" s="399"/>
      <c r="M829" s="397"/>
      <c r="Q829" s="444"/>
      <c r="R829" s="6" t="s">
        <v>56</v>
      </c>
      <c r="S829" s="6"/>
      <c r="T829" s="6"/>
      <c r="U829" s="7">
        <v>1561</v>
      </c>
      <c r="V829" s="6"/>
      <c r="W829" s="7">
        <v>107611</v>
      </c>
      <c r="X829" s="6"/>
      <c r="Y829" s="7">
        <v>7937</v>
      </c>
      <c r="Z829" s="6"/>
      <c r="AA829" s="253">
        <f t="shared" si="218"/>
        <v>7000</v>
      </c>
      <c r="AB829" s="445"/>
      <c r="AJ829" s="1">
        <v>7000</v>
      </c>
    </row>
    <row r="830" spans="4:36" ht="15.5" thickBot="1" x14ac:dyDescent="0.9">
      <c r="E830" s="401"/>
      <c r="F830" s="402"/>
      <c r="G830" s="402"/>
      <c r="H830" s="402"/>
      <c r="I830" s="402"/>
      <c r="J830" s="402"/>
      <c r="K830" s="402"/>
      <c r="L830" s="402"/>
      <c r="M830" s="403"/>
      <c r="Q830" s="444"/>
      <c r="R830" s="6" t="s">
        <v>128</v>
      </c>
      <c r="S830" s="6"/>
      <c r="T830" s="6"/>
      <c r="U830" s="7">
        <v>1435</v>
      </c>
      <c r="V830" s="6"/>
      <c r="W830" s="7">
        <v>10128</v>
      </c>
      <c r="X830" s="6"/>
      <c r="Y830" s="7">
        <v>541</v>
      </c>
      <c r="Z830" s="6"/>
      <c r="AA830" s="253">
        <f t="shared" si="218"/>
        <v>700</v>
      </c>
      <c r="AB830" s="445"/>
      <c r="AJ830" s="1">
        <v>700</v>
      </c>
    </row>
    <row r="831" spans="4:36" x14ac:dyDescent="0.75">
      <c r="Q831" s="444"/>
      <c r="R831" s="6" t="s">
        <v>124</v>
      </c>
      <c r="S831" s="6"/>
      <c r="T831" s="6"/>
      <c r="U831" s="7">
        <v>1288</v>
      </c>
      <c r="V831" s="6"/>
      <c r="W831" s="7">
        <v>45913</v>
      </c>
      <c r="X831" s="6"/>
      <c r="Y831" s="7">
        <v>4287</v>
      </c>
      <c r="Z831" s="6"/>
      <c r="AA831" s="253">
        <f t="shared" si="218"/>
        <v>3600</v>
      </c>
      <c r="AB831" s="445"/>
      <c r="AJ831" s="1">
        <v>3600</v>
      </c>
    </row>
    <row r="832" spans="4:36" ht="15.5" thickBot="1" x14ac:dyDescent="0.9">
      <c r="D832" s="78"/>
      <c r="E832" s="139"/>
      <c r="F832" s="139"/>
      <c r="G832" s="139"/>
      <c r="H832" s="139"/>
      <c r="I832" s="310"/>
      <c r="J832" s="78"/>
      <c r="K832" s="98"/>
      <c r="L832" s="98"/>
      <c r="M832" s="98"/>
      <c r="N832" s="98"/>
      <c r="Q832" s="444"/>
      <c r="R832" s="6" t="s">
        <v>129</v>
      </c>
      <c r="S832" s="6"/>
      <c r="T832" s="6"/>
      <c r="U832" s="7">
        <v>1129</v>
      </c>
      <c r="V832" s="6"/>
      <c r="W832" s="7">
        <v>52477</v>
      </c>
      <c r="X832" s="6"/>
      <c r="Y832" s="7">
        <v>3152</v>
      </c>
      <c r="Z832" s="6"/>
      <c r="AA832" s="253">
        <f t="shared" si="218"/>
        <v>4600</v>
      </c>
      <c r="AB832" s="445"/>
      <c r="AJ832" s="1">
        <v>4600</v>
      </c>
    </row>
    <row r="833" spans="4:36" ht="16.75" thickBot="1" x14ac:dyDescent="0.95">
      <c r="D833" s="381"/>
      <c r="E833" s="680" t="s">
        <v>119</v>
      </c>
      <c r="F833" s="681"/>
      <c r="G833" s="681"/>
      <c r="H833" s="681"/>
      <c r="I833" s="681"/>
      <c r="J833" s="682"/>
      <c r="K833" s="382"/>
      <c r="L833" s="394" t="s">
        <v>10</v>
      </c>
      <c r="M833" s="383"/>
      <c r="N833" s="98"/>
      <c r="Q833" s="444"/>
      <c r="R833" s="6" t="s">
        <v>125</v>
      </c>
      <c r="S833" s="6"/>
      <c r="T833" s="6"/>
      <c r="U833" s="7">
        <v>1118</v>
      </c>
      <c r="V833" s="6"/>
      <c r="W833" s="7">
        <v>10889</v>
      </c>
      <c r="X833" s="6"/>
      <c r="Y833" s="7">
        <v>505</v>
      </c>
      <c r="Z833" s="6"/>
      <c r="AA833" s="253">
        <f t="shared" si="218"/>
        <v>980</v>
      </c>
      <c r="AB833" s="445"/>
      <c r="AJ833" s="1">
        <v>980</v>
      </c>
    </row>
    <row r="834" spans="4:36" x14ac:dyDescent="0.75">
      <c r="D834" s="360"/>
      <c r="E834" s="384" t="s">
        <v>75</v>
      </c>
      <c r="F834" s="16"/>
      <c r="G834" s="16"/>
      <c r="H834" s="16"/>
      <c r="I834" s="683">
        <f>+K81</f>
        <v>48675</v>
      </c>
      <c r="J834" s="683"/>
      <c r="K834" s="16"/>
      <c r="L834" s="60">
        <f>+I834/$I$834</f>
        <v>1</v>
      </c>
      <c r="M834" s="385"/>
      <c r="N834" s="98"/>
      <c r="Q834" s="444"/>
      <c r="R834" s="6" t="s">
        <v>126</v>
      </c>
      <c r="S834" s="6"/>
      <c r="T834" s="6"/>
      <c r="U834" s="7">
        <v>1093</v>
      </c>
      <c r="V834" s="6"/>
      <c r="W834" s="7">
        <v>138546</v>
      </c>
      <c r="X834" s="6"/>
      <c r="Y834" s="7">
        <v>6770</v>
      </c>
      <c r="Z834" s="6"/>
      <c r="AA834" s="253">
        <f t="shared" si="218"/>
        <v>12700</v>
      </c>
      <c r="AB834" s="445"/>
      <c r="AJ834" s="1">
        <v>12700</v>
      </c>
    </row>
    <row r="835" spans="4:36" x14ac:dyDescent="0.75">
      <c r="D835" s="360"/>
      <c r="E835" s="384"/>
      <c r="F835" s="16"/>
      <c r="G835" s="16"/>
      <c r="H835" s="16"/>
      <c r="I835" s="16"/>
      <c r="J835" s="16"/>
      <c r="K835" s="16"/>
      <c r="L835" s="16"/>
      <c r="M835" s="385"/>
      <c r="N835" s="98"/>
      <c r="Q835" s="444"/>
      <c r="R835" s="6" t="s">
        <v>127</v>
      </c>
      <c r="S835" s="6"/>
      <c r="T835" s="6"/>
      <c r="U835" s="447">
        <v>1081</v>
      </c>
      <c r="V835" s="6"/>
      <c r="W835" s="447">
        <v>65337</v>
      </c>
      <c r="X835" s="6"/>
      <c r="Y835" s="447">
        <v>3108</v>
      </c>
      <c r="Z835" s="6"/>
      <c r="AA835" s="448">
        <f t="shared" si="218"/>
        <v>6100</v>
      </c>
      <c r="AB835" s="445"/>
      <c r="AJ835" s="439">
        <v>6100</v>
      </c>
    </row>
    <row r="836" spans="4:36" x14ac:dyDescent="0.75">
      <c r="D836" s="372"/>
      <c r="E836" s="15"/>
      <c r="F836" s="386" t="s">
        <v>100</v>
      </c>
      <c r="G836" s="386"/>
      <c r="H836" s="15"/>
      <c r="I836" s="684">
        <f>+I81</f>
        <v>36684</v>
      </c>
      <c r="J836" s="685"/>
      <c r="K836" s="15"/>
      <c r="L836" s="60">
        <f>+I836/$I$834</f>
        <v>0.75365177195685673</v>
      </c>
      <c r="M836" s="365"/>
      <c r="N836" s="98"/>
      <c r="Q836" s="444"/>
      <c r="R836" s="5" t="s">
        <v>31</v>
      </c>
      <c r="S836" s="6"/>
      <c r="T836" s="6"/>
      <c r="U836" s="253">
        <f>+W836/(AA836/100)</f>
        <v>1545.0521632402579</v>
      </c>
      <c r="V836" s="6"/>
      <c r="W836" s="253">
        <f>SUM(W826:W835)</f>
        <v>1007065</v>
      </c>
      <c r="X836" s="6"/>
      <c r="Y836" s="253">
        <f>SUM(Y826:Y835)</f>
        <v>71545</v>
      </c>
      <c r="Z836" s="6"/>
      <c r="AA836" s="253">
        <f>SUM(AA826:AA835)</f>
        <v>65180</v>
      </c>
      <c r="AB836" s="445"/>
      <c r="AJ836" s="56">
        <f>SUM(AJ826:AJ835)</f>
        <v>65180</v>
      </c>
    </row>
    <row r="837" spans="4:36" x14ac:dyDescent="0.75">
      <c r="D837" s="372"/>
      <c r="E837" s="15"/>
      <c r="F837" s="15" t="s">
        <v>76</v>
      </c>
      <c r="G837" s="15"/>
      <c r="H837" s="15"/>
      <c r="I837" s="686">
        <f>+I75</f>
        <v>2144</v>
      </c>
      <c r="J837" s="687"/>
      <c r="K837" s="15"/>
      <c r="L837" s="60">
        <f>+I837/$I$834</f>
        <v>4.4047252182845401E-2</v>
      </c>
      <c r="M837" s="365"/>
      <c r="N837" s="98"/>
      <c r="Q837" s="444"/>
      <c r="R837" s="5"/>
      <c r="S837" s="6"/>
      <c r="T837" s="6"/>
      <c r="U837" s="6"/>
      <c r="V837" s="6"/>
      <c r="W837" s="253"/>
      <c r="X837" s="6"/>
      <c r="Y837" s="253"/>
      <c r="Z837" s="6"/>
      <c r="AA837" s="6"/>
      <c r="AB837" s="445"/>
      <c r="AJ837" s="56"/>
    </row>
    <row r="838" spans="4:36" ht="15.5" thickBot="1" x14ac:dyDescent="0.9">
      <c r="D838" s="372"/>
      <c r="E838" s="672" t="s">
        <v>101</v>
      </c>
      <c r="F838" s="672"/>
      <c r="G838" s="672"/>
      <c r="H838" s="15"/>
      <c r="I838" s="673">
        <f>+I834-I836-I837</f>
        <v>9847</v>
      </c>
      <c r="J838" s="674"/>
      <c r="K838" s="387"/>
      <c r="L838" s="388">
        <f>+I838/$I$834</f>
        <v>0.20230097586029788</v>
      </c>
      <c r="M838" s="365"/>
      <c r="N838" s="98"/>
      <c r="Q838" s="444"/>
      <c r="R838" s="5" t="s">
        <v>57</v>
      </c>
      <c r="S838" s="6"/>
      <c r="T838" s="6"/>
      <c r="U838" s="7">
        <v>7441</v>
      </c>
      <c r="V838" s="6"/>
      <c r="W838" s="7">
        <f>+'Main Table'!H106</f>
        <v>3029734</v>
      </c>
      <c r="X838" s="6"/>
      <c r="Y838" s="7">
        <f>+'Main Table'!AA106</f>
        <v>129682</v>
      </c>
      <c r="Z838" s="6"/>
      <c r="AA838" s="253">
        <f>+AJ838</f>
        <v>333000</v>
      </c>
      <c r="AB838" s="445"/>
      <c r="AJ838" s="56">
        <v>333000</v>
      </c>
    </row>
    <row r="839" spans="4:36" ht="16.25" thickTop="1" thickBot="1" x14ac:dyDescent="0.9">
      <c r="D839" s="372"/>
      <c r="E839" s="389"/>
      <c r="F839" s="389"/>
      <c r="G839" s="389"/>
      <c r="H839" s="15"/>
      <c r="I839" s="390"/>
      <c r="J839" s="389"/>
      <c r="K839" s="387"/>
      <c r="L839" s="391"/>
      <c r="M839" s="365"/>
      <c r="N839" s="98"/>
      <c r="Q839" s="444"/>
      <c r="R839" s="5" t="s">
        <v>130</v>
      </c>
      <c r="S839" s="6"/>
      <c r="T839" s="6"/>
      <c r="U839" s="449"/>
      <c r="V839" s="6"/>
      <c r="W839" s="450">
        <f>+W836/W838</f>
        <v>0.33239386692033029</v>
      </c>
      <c r="X839" s="6"/>
      <c r="Y839" s="450">
        <f>+Y836/Y838</f>
        <v>0.55169568637127742</v>
      </c>
      <c r="Z839" s="6"/>
      <c r="AA839" s="450">
        <f>+AA836/AA838</f>
        <v>0.19573573573573574</v>
      </c>
      <c r="AB839" s="445"/>
      <c r="AJ839" s="440">
        <f>+AJ836/AJ838</f>
        <v>0.19573573573573574</v>
      </c>
    </row>
    <row r="840" spans="4:36" ht="16.25" thickTop="1" thickBot="1" x14ac:dyDescent="0.9">
      <c r="D840" s="392"/>
      <c r="E840" s="393"/>
      <c r="F840" s="393"/>
      <c r="G840" s="393"/>
      <c r="H840" s="393"/>
      <c r="I840" s="393"/>
      <c r="J840" s="393"/>
      <c r="K840" s="393"/>
      <c r="L840" s="393"/>
      <c r="M840" s="380"/>
      <c r="N840" s="98"/>
      <c r="Q840" s="451"/>
      <c r="R840" s="452"/>
      <c r="S840" s="452"/>
      <c r="T840" s="452"/>
      <c r="U840" s="452"/>
      <c r="V840" s="452"/>
      <c r="W840" s="452"/>
      <c r="X840" s="452"/>
      <c r="Y840" s="452"/>
      <c r="Z840" s="452"/>
      <c r="AA840" s="452"/>
      <c r="AB840" s="453"/>
    </row>
    <row r="844" spans="4:36" x14ac:dyDescent="0.75">
      <c r="F844" s="1">
        <v>1248371</v>
      </c>
    </row>
    <row r="845" spans="4:36" x14ac:dyDescent="0.75">
      <c r="W845" s="1"/>
    </row>
    <row r="846" spans="4:36" x14ac:dyDescent="0.75">
      <c r="F846">
        <v>700</v>
      </c>
    </row>
    <row r="847" spans="4:36" x14ac:dyDescent="0.75">
      <c r="F847" s="76">
        <f>+F846/F844</f>
        <v>5.6073074430597954E-4</v>
      </c>
    </row>
    <row r="849" spans="6:6" x14ac:dyDescent="0.75">
      <c r="F849" s="1">
        <v>60000</v>
      </c>
    </row>
    <row r="850" spans="6:6" x14ac:dyDescent="0.75">
      <c r="F850">
        <f>+F847*F849</f>
        <v>33.643844658358773</v>
      </c>
    </row>
    <row r="852" spans="6:6" x14ac:dyDescent="0.75">
      <c r="F852" s="1">
        <v>331000000</v>
      </c>
    </row>
    <row r="853" spans="6:6" x14ac:dyDescent="0.75">
      <c r="F853" s="56">
        <f>+W86</f>
        <v>811067</v>
      </c>
    </row>
    <row r="854" spans="6:6" x14ac:dyDescent="0.75">
      <c r="F854" s="57">
        <f>+F853/F852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838:G838"/>
    <mergeCell ref="I838:J838"/>
    <mergeCell ref="E824:M824"/>
    <mergeCell ref="I825:L825"/>
    <mergeCell ref="F827:G827"/>
    <mergeCell ref="E833:J833"/>
    <mergeCell ref="I834:J834"/>
    <mergeCell ref="I836:J836"/>
    <mergeCell ref="I837:J837"/>
    <mergeCell ref="H829:I829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2022-07-19T00:22:05Z</dcterms:modified>
</cp:coreProperties>
</file>