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38AC82F2-E38B-46F2-AB8E-57AE7190A4AE}" xr6:coauthVersionLast="47" xr6:coauthVersionMax="47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Table'!$A$1:$CJ$504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615" i="1" l="1"/>
  <c r="BA593" i="1"/>
  <c r="BT503" i="1"/>
  <c r="BL503" i="1"/>
  <c r="BH503" i="1"/>
  <c r="BD503" i="1"/>
  <c r="AZ503" i="1"/>
  <c r="AN503" i="1"/>
  <c r="AJ503" i="1"/>
  <c r="AF503" i="1"/>
  <c r="AB503" i="1"/>
  <c r="X503" i="1"/>
  <c r="T503" i="1"/>
  <c r="P503" i="1"/>
  <c r="L503" i="1"/>
  <c r="BT502" i="1"/>
  <c r="BS502" i="1"/>
  <c r="BS503" i="1" s="1"/>
  <c r="BQ502" i="1"/>
  <c r="BQ503" i="1" s="1"/>
  <c r="BP502" i="1"/>
  <c r="BP503" i="1" s="1"/>
  <c r="BO502" i="1"/>
  <c r="BO503" i="1" s="1"/>
  <c r="BL502" i="1"/>
  <c r="BJ502" i="1"/>
  <c r="BJ503" i="1" s="1"/>
  <c r="BI502" i="1"/>
  <c r="BI503" i="1" s="1"/>
  <c r="BH502" i="1"/>
  <c r="BF502" i="1"/>
  <c r="BF503" i="1" s="1"/>
  <c r="BE502" i="1"/>
  <c r="BE503" i="1" s="1"/>
  <c r="BD502" i="1"/>
  <c r="BC502" i="1"/>
  <c r="BC503" i="1" s="1"/>
  <c r="BB502" i="1"/>
  <c r="BB503" i="1" s="1"/>
  <c r="BA502" i="1"/>
  <c r="BA503" i="1" s="1"/>
  <c r="AZ502" i="1"/>
  <c r="AY502" i="1"/>
  <c r="AY503" i="1" s="1"/>
  <c r="AX502" i="1"/>
  <c r="AX503" i="1" s="1"/>
  <c r="AW502" i="1"/>
  <c r="AW503" i="1" s="1"/>
  <c r="AU502" i="1"/>
  <c r="AU503" i="1" s="1"/>
  <c r="AT502" i="1"/>
  <c r="AT503" i="1" s="1"/>
  <c r="AS502" i="1"/>
  <c r="AS503" i="1" s="1"/>
  <c r="AQ502" i="1"/>
  <c r="AQ503" i="1" s="1"/>
  <c r="AP502" i="1"/>
  <c r="AP503" i="1" s="1"/>
  <c r="AO502" i="1"/>
  <c r="AO503" i="1" s="1"/>
  <c r="AN502" i="1"/>
  <c r="AM502" i="1"/>
  <c r="AM503" i="1" s="1"/>
  <c r="AK502" i="1"/>
  <c r="AK503" i="1" s="1"/>
  <c r="AJ502" i="1"/>
  <c r="AI502" i="1"/>
  <c r="AI503" i="1" s="1"/>
  <c r="AG502" i="1"/>
  <c r="AG503" i="1" s="1"/>
  <c r="AF502" i="1"/>
  <c r="AD502" i="1"/>
  <c r="AD503" i="1" s="1"/>
  <c r="AB502" i="1"/>
  <c r="AA502" i="1"/>
  <c r="AA503" i="1" s="1"/>
  <c r="Z502" i="1"/>
  <c r="Z503" i="1" s="1"/>
  <c r="Y502" i="1"/>
  <c r="Y503" i="1" s="1"/>
  <c r="X502" i="1"/>
  <c r="W502" i="1"/>
  <c r="W503" i="1" s="1"/>
  <c r="V502" i="1"/>
  <c r="V503" i="1" s="1"/>
  <c r="U502" i="1"/>
  <c r="U503" i="1" s="1"/>
  <c r="T502" i="1"/>
  <c r="R502" i="1"/>
  <c r="R503" i="1" s="1"/>
  <c r="Q502" i="1"/>
  <c r="Q503" i="1" s="1"/>
  <c r="P502" i="1"/>
  <c r="M502" i="1"/>
  <c r="M503" i="1" s="1"/>
  <c r="L502" i="1"/>
  <c r="K502" i="1"/>
  <c r="K503" i="1" s="1"/>
  <c r="I502" i="1"/>
  <c r="I503" i="1" s="1"/>
  <c r="D503" i="1"/>
  <c r="D502" i="1"/>
  <c r="BW495" i="1"/>
  <c r="AX495" i="1" s="1"/>
  <c r="BE495" i="1"/>
  <c r="BP495" i="1" s="1"/>
  <c r="BR495" i="1" s="1"/>
  <c r="BR502" i="1" s="1"/>
  <c r="BR503" i="1" s="1"/>
  <c r="BA495" i="1"/>
  <c r="BK495" i="1" s="1"/>
  <c r="BK502" i="1" s="1"/>
  <c r="BK503" i="1" s="1"/>
  <c r="AL495" i="1"/>
  <c r="AL502" i="1" s="1"/>
  <c r="AL503" i="1" s="1"/>
  <c r="AG495" i="1"/>
  <c r="AI495" i="1" s="1"/>
  <c r="AA495" i="1"/>
  <c r="Z495" i="1"/>
  <c r="V495" i="1"/>
  <c r="Q495" i="1"/>
  <c r="N495" i="1"/>
  <c r="N502" i="1" s="1"/>
  <c r="N503" i="1" s="1"/>
  <c r="J495" i="1"/>
  <c r="J502" i="1" s="1"/>
  <c r="J503" i="1" s="1"/>
  <c r="H495" i="1"/>
  <c r="AV495" i="1" s="1"/>
  <c r="AV502" i="1" s="1"/>
  <c r="AV503" i="1" s="1"/>
  <c r="B495" i="1"/>
  <c r="B496" i="1" s="1"/>
  <c r="B497" i="1" s="1"/>
  <c r="B498" i="1" s="1"/>
  <c r="B499" i="1" s="1"/>
  <c r="BE494" i="1"/>
  <c r="BA494" i="1"/>
  <c r="AL494" i="1"/>
  <c r="AR494" i="1" s="1"/>
  <c r="AG494" i="1"/>
  <c r="Z494" i="1"/>
  <c r="Q494" i="1"/>
  <c r="N494" i="1"/>
  <c r="BE493" i="1"/>
  <c r="BA493" i="1"/>
  <c r="AL493" i="1"/>
  <c r="AR493" i="1" s="1"/>
  <c r="AG493" i="1"/>
  <c r="Z493" i="1"/>
  <c r="Q493" i="1"/>
  <c r="N493" i="1"/>
  <c r="BE492" i="1"/>
  <c r="BA492" i="1"/>
  <c r="AL492" i="1"/>
  <c r="AR492" i="1" s="1"/>
  <c r="AG492" i="1"/>
  <c r="Z492" i="1"/>
  <c r="Q492" i="1"/>
  <c r="N492" i="1"/>
  <c r="U448" i="3"/>
  <c r="U449" i="3" s="1"/>
  <c r="U450" i="3" s="1"/>
  <c r="U451" i="3" s="1"/>
  <c r="U452" i="3" s="1"/>
  <c r="BE491" i="1"/>
  <c r="BG491" i="1" s="1"/>
  <c r="BA491" i="1"/>
  <c r="AL491" i="1"/>
  <c r="AR491" i="1" s="1"/>
  <c r="AG491" i="1"/>
  <c r="Z491" i="1"/>
  <c r="Q491" i="1"/>
  <c r="N491" i="1"/>
  <c r="BE490" i="1"/>
  <c r="BA490" i="1"/>
  <c r="AL490" i="1"/>
  <c r="AR490" i="1" s="1"/>
  <c r="AG490" i="1"/>
  <c r="Z490" i="1"/>
  <c r="Q490" i="1"/>
  <c r="N490" i="1"/>
  <c r="BE489" i="1"/>
  <c r="BA489" i="1"/>
  <c r="AL489" i="1"/>
  <c r="AR489" i="1" s="1"/>
  <c r="AG489" i="1"/>
  <c r="Z489" i="1"/>
  <c r="Q489" i="1"/>
  <c r="N489" i="1"/>
  <c r="U502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E502" i="2"/>
  <c r="S496" i="2"/>
  <c r="U496" i="2" s="1"/>
  <c r="W496" i="2"/>
  <c r="K496" i="2"/>
  <c r="Q496" i="2" s="1"/>
  <c r="C496" i="2"/>
  <c r="C497" i="2" s="1"/>
  <c r="C498" i="2" s="1"/>
  <c r="C499" i="2" s="1"/>
  <c r="S495" i="2"/>
  <c r="K495" i="2"/>
  <c r="S494" i="2"/>
  <c r="K494" i="2"/>
  <c r="Q494" i="2" s="1"/>
  <c r="S493" i="2"/>
  <c r="K493" i="2"/>
  <c r="M493" i="2" s="1"/>
  <c r="S492" i="2"/>
  <c r="K492" i="2"/>
  <c r="S491" i="2"/>
  <c r="K491" i="2"/>
  <c r="M491" i="2" s="1"/>
  <c r="S490" i="2"/>
  <c r="K490" i="2"/>
  <c r="AR495" i="1" l="1"/>
  <c r="AR502" i="1" s="1"/>
  <c r="AR503" i="1" s="1"/>
  <c r="AC495" i="1"/>
  <c r="AC502" i="1" s="1"/>
  <c r="AC503" i="1" s="1"/>
  <c r="H502" i="1"/>
  <c r="H503" i="1" s="1"/>
  <c r="BM495" i="1"/>
  <c r="BM502" i="1" s="1"/>
  <c r="BM503" i="1" s="1"/>
  <c r="AE495" i="1"/>
  <c r="AE502" i="1" s="1"/>
  <c r="AE503" i="1" s="1"/>
  <c r="O495" i="1"/>
  <c r="O502" i="1" s="1"/>
  <c r="O503" i="1" s="1"/>
  <c r="BG495" i="1"/>
  <c r="BG502" i="1" s="1"/>
  <c r="BG503" i="1" s="1"/>
  <c r="S495" i="1"/>
  <c r="S502" i="1" s="1"/>
  <c r="S503" i="1" s="1"/>
  <c r="BN495" i="1"/>
  <c r="BN502" i="1" s="1"/>
  <c r="BN503" i="1" s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E488" i="1" l="1"/>
  <c r="BA488" i="1"/>
  <c r="BK494" i="1" s="1"/>
  <c r="AL488" i="1"/>
  <c r="AR488" i="1" s="1"/>
  <c r="AG488" i="1"/>
  <c r="Z488" i="1"/>
  <c r="Q488" i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BK490" i="1" s="1"/>
  <c r="BM490" i="1" s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Q485" i="2" s="1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BK484" i="1" s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2" i="1" l="1"/>
  <c r="BM494" i="1"/>
  <c r="BK492" i="1"/>
  <c r="BM492" i="1" s="1"/>
  <c r="BK489" i="1"/>
  <c r="BM489" i="1" s="1"/>
  <c r="BK493" i="1"/>
  <c r="BM493" i="1" s="1"/>
  <c r="BK491" i="1"/>
  <c r="BM491" i="1" s="1"/>
  <c r="BK485" i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BM485" i="1"/>
  <c r="AI485" i="1"/>
  <c r="S485" i="1"/>
  <c r="BM484" i="1"/>
  <c r="BG484" i="1"/>
  <c r="S484" i="1"/>
  <c r="BG483" i="1"/>
  <c r="AI482" i="1"/>
  <c r="BM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627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U502" i="1"/>
  <c r="BU503" i="1" s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473" i="3"/>
  <c r="AJ471" i="3"/>
  <c r="AJ474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592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514" i="1"/>
  <c r="D513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593" i="1"/>
  <c r="BG613" i="1"/>
  <c r="BG614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613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502" i="2"/>
  <c r="S357" i="2"/>
  <c r="AP627" i="1"/>
  <c r="BP614" i="1"/>
  <c r="BN611" i="1"/>
  <c r="BP611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V502" i="1"/>
  <c r="BV503" i="1" s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592" i="1"/>
  <c r="BP592" i="1" s="1"/>
  <c r="BP594" i="1"/>
  <c r="BP595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615" i="1"/>
  <c r="BY615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612" i="1"/>
  <c r="BP612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Q358" i="2" l="1"/>
  <c r="M357" i="2"/>
  <c r="U357" i="2"/>
  <c r="M358" i="2"/>
  <c r="CL621" i="1"/>
  <c r="BA596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587" i="1"/>
  <c r="N589" i="1" s="1"/>
  <c r="N590" i="1" l="1"/>
  <c r="D590" i="1" s="1"/>
  <c r="N591" i="1"/>
  <c r="N592" i="1"/>
  <c r="D591" i="1" l="1"/>
  <c r="D592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78" i="1"/>
  <c r="BG578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523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508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502" i="1"/>
  <c r="G503" i="1" s="1"/>
  <c r="F502" i="1"/>
  <c r="F503" i="1" s="1"/>
  <c r="E502" i="1"/>
  <c r="E503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526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523" i="1" l="1"/>
  <c r="AR522" i="1"/>
  <c r="AP522" i="1"/>
  <c r="AR521" i="1"/>
  <c r="AP521" i="1"/>
  <c r="AV521" i="1" l="1"/>
  <c r="AV522" i="1"/>
  <c r="AV523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67" i="1"/>
  <c r="N214" i="1"/>
  <c r="N204" i="1"/>
  <c r="BA566" i="1" s="1"/>
  <c r="N174" i="1"/>
  <c r="BA565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66" i="1" l="1"/>
  <c r="BE566" i="1" s="1"/>
  <c r="Q218" i="2"/>
  <c r="BC567" i="1"/>
  <c r="BE567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535" i="1"/>
  <c r="H535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54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507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505" i="1"/>
  <c r="BK508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55" i="1"/>
  <c r="AP556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550" i="1"/>
  <c r="H551" i="1"/>
  <c r="J551" i="1" s="1"/>
  <c r="H552" i="1"/>
  <c r="J552" i="1" s="1"/>
  <c r="S154" i="2"/>
  <c r="M156" i="2" l="1"/>
  <c r="Q156" i="2"/>
  <c r="O552" i="1"/>
  <c r="AI154" i="1"/>
  <c r="AI161" i="1"/>
  <c r="BK160" i="1"/>
  <c r="BM160" i="1" s="1"/>
  <c r="AR154" i="1"/>
  <c r="BG154" i="1"/>
  <c r="U155" i="2"/>
  <c r="J550" i="1"/>
  <c r="J557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53" i="1"/>
  <c r="AA552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488" i="3"/>
  <c r="F489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528" i="1" l="1"/>
  <c r="AR520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527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532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519" i="1" s="1"/>
  <c r="AH113" i="1"/>
  <c r="AP519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519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539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D118" i="1"/>
  <c r="N124" i="1" s="1"/>
  <c r="D116" i="1"/>
  <c r="D115" i="1"/>
  <c r="D114" i="1"/>
  <c r="AH145" i="1" l="1"/>
  <c r="N143" i="1"/>
  <c r="AG526" i="1"/>
  <c r="AP520" i="1" s="1"/>
  <c r="AV520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64" i="1" l="1"/>
  <c r="BC565" i="1" s="1"/>
  <c r="BE565" i="1" s="1"/>
  <c r="BE576" i="1"/>
  <c r="BE580" i="1" s="1"/>
  <c r="S127" i="1"/>
  <c r="S128" i="1"/>
  <c r="BE119" i="1"/>
  <c r="BA119" i="1"/>
  <c r="AL119" i="1"/>
  <c r="AR119" i="1" s="1"/>
  <c r="Q119" i="1"/>
  <c r="S126" i="1" s="1"/>
  <c r="K120" i="2"/>
  <c r="BG567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76" i="1" s="1"/>
  <c r="AL113" i="1"/>
  <c r="K114" i="2"/>
  <c r="BA580" i="1" l="1"/>
  <c r="BC578" i="1"/>
  <c r="BG576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70" i="3"/>
  <c r="AA469" i="3"/>
  <c r="AA468" i="3"/>
  <c r="AA467" i="3"/>
  <c r="AA466" i="3"/>
  <c r="AA465" i="3"/>
  <c r="AA464" i="3"/>
  <c r="AA463" i="3"/>
  <c r="AA462" i="3"/>
  <c r="AA461" i="3"/>
  <c r="Y471" i="3"/>
  <c r="W471" i="3"/>
  <c r="S107" i="2"/>
  <c r="AA471" i="3" l="1"/>
  <c r="AA474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71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82" i="3"/>
  <c r="F485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518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518" i="1"/>
  <c r="AV518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72" i="3" l="1"/>
  <c r="I469" i="3"/>
  <c r="L469" i="3" s="1"/>
  <c r="I78" i="3"/>
  <c r="I80" i="3" s="1"/>
  <c r="I77" i="3"/>
  <c r="BE64" i="1"/>
  <c r="BA64" i="1"/>
  <c r="AL64" i="1"/>
  <c r="AR64" i="1" s="1"/>
  <c r="K65" i="2"/>
  <c r="Y19" i="3"/>
  <c r="Q66" i="2" l="1"/>
  <c r="M66" i="2"/>
  <c r="L472" i="3"/>
  <c r="I79" i="3"/>
  <c r="I81" i="3" s="1"/>
  <c r="I82" i="3" s="1"/>
  <c r="BG64" i="1"/>
  <c r="U65" i="2"/>
  <c r="S64" i="2"/>
  <c r="N81" i="3" l="1"/>
  <c r="N82" i="3" s="1"/>
  <c r="I471" i="3"/>
  <c r="L471" i="3" s="1"/>
  <c r="K64" i="2"/>
  <c r="BE63" i="1"/>
  <c r="BA63" i="1"/>
  <c r="AL63" i="1"/>
  <c r="AR63" i="1" s="1"/>
  <c r="Y18" i="3"/>
  <c r="Q65" i="2" l="1"/>
  <c r="M65" i="2"/>
  <c r="I473" i="3"/>
  <c r="U64" i="2"/>
  <c r="BG63" i="1"/>
  <c r="L462" i="3" l="1"/>
  <c r="L473" i="3"/>
  <c r="L461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514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63" i="1"/>
  <c r="B566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517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525" i="1"/>
  <c r="AR527" i="1" s="1"/>
  <c r="AV527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517" i="1"/>
  <c r="AV517" i="1" s="1"/>
  <c r="BA523" i="1" s="1"/>
  <c r="BA524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500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C500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U426" i="3" l="1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U430" i="3" l="1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U434" i="3" l="1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U437" i="3" l="1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U443" i="3" l="1"/>
  <c r="U444" i="3" s="1"/>
  <c r="U445" i="3" s="1"/>
  <c r="U446" i="3" s="1"/>
  <c r="U447" i="3" s="1"/>
  <c r="U453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AA24" i="1" l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AE24" i="1" l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485" i="1" l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489" i="1" l="1"/>
  <c r="B490" i="1" s="1"/>
  <c r="B491" i="1" s="1"/>
  <c r="B492" i="1" s="1"/>
  <c r="B493" i="1" s="1"/>
  <c r="B494" i="1" s="1"/>
  <c r="B500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73" i="3"/>
  <c r="Y474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73" i="3"/>
  <c r="W474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536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589" i="1" s="1"/>
  <c r="O173" i="1"/>
  <c r="AV173" i="1"/>
  <c r="AC173" i="1"/>
  <c r="BE589" i="1" l="1"/>
  <c r="BA611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611" i="1" l="1"/>
  <c r="BP589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611" i="1" l="1"/>
  <c r="BC611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602" i="1" s="1"/>
  <c r="BA590" i="1" s="1"/>
  <c r="J235" i="1"/>
  <c r="O234" i="1"/>
  <c r="AC234" i="1"/>
  <c r="BE590" i="1" l="1"/>
  <c r="BA612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590" i="1" l="1"/>
  <c r="BE612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612" i="1" l="1"/>
  <c r="BC612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516" i="1"/>
  <c r="AV269" i="1"/>
  <c r="H517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604" i="1"/>
  <c r="BA591" i="1" s="1"/>
  <c r="BA595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597" i="1"/>
  <c r="AA403" i="1"/>
  <c r="AA404" i="1" s="1"/>
  <c r="AE402" i="1"/>
  <c r="BE591" i="1"/>
  <c r="BA613" i="1"/>
  <c r="BA614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598" i="1"/>
  <c r="BA615" i="1" s="1"/>
  <c r="AA405" i="1"/>
  <c r="AE404" i="1"/>
  <c r="AE403" i="1"/>
  <c r="BE595" i="1"/>
  <c r="BE613" i="1"/>
  <c r="BE614" i="1" s="1"/>
  <c r="BR614" i="1" s="1"/>
  <c r="BP591" i="1"/>
  <c r="AC329" i="1"/>
  <c r="J330" i="1"/>
  <c r="H330" i="1"/>
  <c r="AV329" i="1"/>
  <c r="O329" i="1"/>
  <c r="AX439" i="1" l="1"/>
  <c r="BW440" i="1"/>
  <c r="BW441" i="1" s="1"/>
  <c r="BN439" i="1"/>
  <c r="BR424" i="1"/>
  <c r="BP425" i="1"/>
  <c r="BP426" i="1" s="1"/>
  <c r="BE615" i="1"/>
  <c r="AE405" i="1"/>
  <c r="AA406" i="1"/>
  <c r="AA407" i="1" s="1"/>
  <c r="BC614" i="1"/>
  <c r="BR613" i="1"/>
  <c r="BC613" i="1"/>
  <c r="D595" i="1"/>
  <c r="AH495" i="1" s="1"/>
  <c r="AH502" i="1" s="1"/>
  <c r="BG595" i="1"/>
  <c r="AC330" i="1"/>
  <c r="J331" i="1"/>
  <c r="H331" i="1"/>
  <c r="O330" i="1"/>
  <c r="AV330" i="1"/>
  <c r="AA285" i="3"/>
  <c r="AA286" i="3"/>
  <c r="AA283" i="3"/>
  <c r="AA284" i="3"/>
  <c r="AA282" i="3"/>
  <c r="AH492" i="1" l="1"/>
  <c r="AH490" i="1"/>
  <c r="AH491" i="1"/>
  <c r="AH494" i="1"/>
  <c r="AH503" i="1" s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595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500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BN494" i="1" l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BR483" i="1" l="1"/>
  <c r="BP484" i="1"/>
  <c r="AE465" i="1"/>
  <c r="AA466" i="1"/>
  <c r="AV375" i="1"/>
  <c r="J376" i="1"/>
  <c r="O375" i="1"/>
  <c r="H376" i="1"/>
  <c r="AC375" i="1"/>
  <c r="BP485" i="1" l="1"/>
  <c r="BR484" i="1"/>
  <c r="AA467" i="1"/>
  <c r="AA468" i="1" s="1"/>
  <c r="AE466" i="1"/>
  <c r="AV376" i="1"/>
  <c r="J377" i="1"/>
  <c r="H377" i="1"/>
  <c r="O376" i="1"/>
  <c r="AC376" i="1"/>
  <c r="BP486" i="1" l="1"/>
  <c r="BR485" i="1"/>
  <c r="AA469" i="1"/>
  <c r="AE468" i="1"/>
  <c r="AE467" i="1"/>
  <c r="AV377" i="1"/>
  <c r="J378" i="1"/>
  <c r="H378" i="1"/>
  <c r="O377" i="1"/>
  <c r="AC377" i="1"/>
  <c r="BR486" i="1" l="1"/>
  <c r="BP487" i="1"/>
  <c r="AE469" i="1"/>
  <c r="AA470" i="1"/>
  <c r="J379" i="1"/>
  <c r="H379" i="1"/>
  <c r="O378" i="1"/>
  <c r="AV378" i="1"/>
  <c r="AC378" i="1"/>
  <c r="BR487" i="1" l="1"/>
  <c r="BP488" i="1"/>
  <c r="BP489" i="1" s="1"/>
  <c r="AE470" i="1"/>
  <c r="AA471" i="1"/>
  <c r="AV379" i="1"/>
  <c r="J380" i="1"/>
  <c r="H380" i="1"/>
  <c r="O379" i="1"/>
  <c r="AC379" i="1"/>
  <c r="BR489" i="1" l="1"/>
  <c r="BP490" i="1"/>
  <c r="BR488" i="1"/>
  <c r="AE471" i="1"/>
  <c r="AA472" i="1"/>
  <c r="H381" i="1"/>
  <c r="J381" i="1"/>
  <c r="AV380" i="1"/>
  <c r="O380" i="1"/>
  <c r="AC380" i="1"/>
  <c r="BR490" i="1" l="1"/>
  <c r="BP491" i="1"/>
  <c r="AA473" i="1"/>
  <c r="AE472" i="1"/>
  <c r="AV381" i="1"/>
  <c r="J382" i="1"/>
  <c r="H382" i="1"/>
  <c r="O381" i="1"/>
  <c r="AC381" i="1"/>
  <c r="BR491" i="1" l="1"/>
  <c r="BP492" i="1"/>
  <c r="AA474" i="1"/>
  <c r="AA475" i="1" s="1"/>
  <c r="AE473" i="1"/>
  <c r="AV382" i="1"/>
  <c r="H383" i="1"/>
  <c r="J383" i="1"/>
  <c r="O382" i="1"/>
  <c r="AC382" i="1"/>
  <c r="BR492" i="1" l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BR493" i="1" l="1"/>
  <c r="BP494" i="1"/>
  <c r="AA477" i="1"/>
  <c r="AE476" i="1"/>
  <c r="AV384" i="1"/>
  <c r="J385" i="1"/>
  <c r="H385" i="1"/>
  <c r="O384" i="1"/>
  <c r="AC384" i="1"/>
  <c r="BR494" i="1" l="1"/>
  <c r="AE477" i="1"/>
  <c r="AA478" i="1"/>
  <c r="AV385" i="1"/>
  <c r="J386" i="1"/>
  <c r="H386" i="1"/>
  <c r="O385" i="1"/>
  <c r="AC385" i="1"/>
  <c r="AE478" i="1" l="1"/>
  <c r="AA479" i="1"/>
  <c r="AV386" i="1"/>
  <c r="H387" i="1"/>
  <c r="J387" i="1"/>
  <c r="O386" i="1"/>
  <c r="AC386" i="1"/>
  <c r="AE479" i="1" l="1"/>
  <c r="AA480" i="1"/>
  <c r="AV387" i="1"/>
  <c r="J388" i="1"/>
  <c r="H388" i="1"/>
  <c r="O387" i="1"/>
  <c r="AC387" i="1"/>
  <c r="AE480" i="1" l="1"/>
  <c r="AA481" i="1"/>
  <c r="AA482" i="1" s="1"/>
  <c r="AV388" i="1"/>
  <c r="J389" i="1"/>
  <c r="H389" i="1"/>
  <c r="O388" i="1"/>
  <c r="AC388" i="1"/>
  <c r="AE482" i="1" l="1"/>
  <c r="AA483" i="1"/>
  <c r="AE481" i="1"/>
  <c r="AV389" i="1"/>
  <c r="O389" i="1"/>
  <c r="J390" i="1"/>
  <c r="H390" i="1"/>
  <c r="AC389" i="1"/>
  <c r="AA484" i="1" l="1"/>
  <c r="AE483" i="1"/>
  <c r="J391" i="1"/>
  <c r="H391" i="1"/>
  <c r="AV390" i="1"/>
  <c r="O390" i="1"/>
  <c r="AC390" i="1"/>
  <c r="AE484" i="1" l="1"/>
  <c r="AA485" i="1"/>
  <c r="AV391" i="1"/>
  <c r="J392" i="1"/>
  <c r="O391" i="1"/>
  <c r="H392" i="1"/>
  <c r="AC391" i="1"/>
  <c r="AE485" i="1" l="1"/>
  <c r="AA486" i="1"/>
  <c r="AV392" i="1"/>
  <c r="J393" i="1"/>
  <c r="H393" i="1"/>
  <c r="O392" i="1"/>
  <c r="AC392" i="1"/>
  <c r="AE486" i="1" l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A488" i="1" l="1"/>
  <c r="AA489" i="1" s="1"/>
  <c r="AE487" i="1"/>
  <c r="AV394" i="1"/>
  <c r="J395" i="1"/>
  <c r="H395" i="1"/>
  <c r="O394" i="1"/>
  <c r="AC394" i="1"/>
  <c r="AA490" i="1" l="1"/>
  <c r="AE489" i="1"/>
  <c r="AE488" i="1"/>
  <c r="AV395" i="1"/>
  <c r="J396" i="1"/>
  <c r="H396" i="1"/>
  <c r="O395" i="1"/>
  <c r="AC395" i="1"/>
  <c r="AA491" i="1" l="1"/>
  <c r="AE490" i="1"/>
  <c r="AV396" i="1"/>
  <c r="J397" i="1"/>
  <c r="H397" i="1"/>
  <c r="O396" i="1"/>
  <c r="AC396" i="1"/>
  <c r="AA492" i="1" l="1"/>
  <c r="AE491" i="1"/>
  <c r="AV397" i="1"/>
  <c r="J398" i="1"/>
  <c r="H398" i="1"/>
  <c r="O397" i="1"/>
  <c r="AC397" i="1"/>
  <c r="AE492" i="1" l="1"/>
  <c r="AA493" i="1"/>
  <c r="H399" i="1"/>
  <c r="J399" i="1"/>
  <c r="AV398" i="1"/>
  <c r="O398" i="1"/>
  <c r="AC398" i="1"/>
  <c r="AA494" i="1" l="1"/>
  <c r="AE493" i="1"/>
  <c r="J400" i="1"/>
  <c r="H400" i="1"/>
  <c r="AV399" i="1"/>
  <c r="O399" i="1"/>
  <c r="AC399" i="1"/>
  <c r="AE494" i="1" l="1"/>
  <c r="AV400" i="1"/>
  <c r="H401" i="1"/>
  <c r="J401" i="1"/>
  <c r="O400" i="1"/>
  <c r="AC400" i="1"/>
  <c r="AJ21" i="2" l="1"/>
  <c r="I21" i="3"/>
  <c r="I35" i="3" s="1"/>
  <c r="AD49" i="2"/>
  <c r="AD51" i="2" s="1"/>
  <c r="AD53" i="2" s="1"/>
  <c r="AD55" i="2" s="1"/>
  <c r="AD57" i="2" s="1"/>
  <c r="AV401" i="1"/>
  <c r="J402" i="1"/>
  <c r="H402" i="1"/>
  <c r="O401" i="1"/>
  <c r="AC401" i="1"/>
  <c r="AA357" i="3"/>
  <c r="AA355" i="3"/>
  <c r="AA356" i="3"/>
  <c r="AA354" i="3"/>
  <c r="O402" i="1" l="1"/>
  <c r="J403" i="1"/>
  <c r="H403" i="1"/>
  <c r="AV402" i="1"/>
  <c r="AC402" i="1"/>
  <c r="J404" i="1" l="1"/>
  <c r="H404" i="1"/>
  <c r="AV403" i="1"/>
  <c r="O403" i="1"/>
  <c r="AC403" i="1"/>
  <c r="AV404" i="1" l="1"/>
  <c r="H405" i="1"/>
  <c r="J405" i="1"/>
  <c r="O404" i="1"/>
  <c r="AC404" i="1"/>
  <c r="AV405" i="1" l="1"/>
  <c r="J406" i="1"/>
  <c r="H406" i="1"/>
  <c r="O405" i="1"/>
  <c r="AC405" i="1"/>
  <c r="J407" i="1" l="1"/>
  <c r="H407" i="1"/>
  <c r="AV406" i="1"/>
  <c r="O406" i="1"/>
  <c r="AC406" i="1"/>
  <c r="AA361" i="3"/>
  <c r="AA359" i="3"/>
  <c r="AA360" i="3"/>
  <c r="AA358" i="3"/>
  <c r="AV407" i="1" l="1"/>
  <c r="J408" i="1"/>
  <c r="H408" i="1"/>
  <c r="O407" i="1"/>
  <c r="AC407" i="1"/>
  <c r="AV408" i="1" l="1"/>
  <c r="J409" i="1"/>
  <c r="H409" i="1"/>
  <c r="O408" i="1"/>
  <c r="AC408" i="1"/>
  <c r="AV409" i="1" l="1"/>
  <c r="H410" i="1"/>
  <c r="J410" i="1"/>
  <c r="O409" i="1"/>
  <c r="AC409" i="1"/>
  <c r="AA365" i="3"/>
  <c r="AA363" i="3"/>
  <c r="AA364" i="3"/>
  <c r="AA362" i="3"/>
  <c r="AV410" i="1" l="1"/>
  <c r="H411" i="1"/>
  <c r="J411" i="1"/>
  <c r="O410" i="1"/>
  <c r="AC410" i="1"/>
  <c r="J412" i="1" l="1"/>
  <c r="H412" i="1"/>
  <c r="AV411" i="1"/>
  <c r="O411" i="1"/>
  <c r="AC411" i="1"/>
  <c r="AV412" i="1" l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BC615" i="1"/>
  <c r="BR615" i="1"/>
  <c r="CL630" i="1" s="1"/>
  <c r="CL632" i="1" s="1"/>
  <c r="J418" i="1" l="1"/>
  <c r="H418" i="1"/>
  <c r="AV417" i="1"/>
  <c r="O417" i="1"/>
  <c r="AC417" i="1"/>
  <c r="CL616" i="1"/>
  <c r="BA618" i="1"/>
  <c r="BC618" i="1" s="1"/>
  <c r="CL618" i="1"/>
  <c r="AV418" i="1" l="1"/>
  <c r="H419" i="1"/>
  <c r="J419" i="1"/>
  <c r="O418" i="1"/>
  <c r="AC418" i="1"/>
  <c r="AV419" i="1" l="1"/>
  <c r="H420" i="1"/>
  <c r="J420" i="1"/>
  <c r="O419" i="1"/>
  <c r="AC419" i="1"/>
  <c r="AA375" i="3"/>
  <c r="AA373" i="3"/>
  <c r="AA374" i="3"/>
  <c r="AA372" i="3"/>
  <c r="J421" i="1" l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H445" i="1" l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J451" i="1"/>
  <c r="O450" i="1"/>
  <c r="AC450" i="1"/>
  <c r="AA406" i="3"/>
  <c r="AA407" i="3"/>
  <c r="AA404" i="3"/>
  <c r="AA405" i="3"/>
  <c r="AA403" i="3"/>
  <c r="AV451" i="1" l="1"/>
  <c r="J452" i="1"/>
  <c r="H452" i="1"/>
  <c r="O451" i="1"/>
  <c r="AC451" i="1"/>
  <c r="J453" i="1" l="1"/>
  <c r="H453" i="1"/>
  <c r="AV452" i="1"/>
  <c r="O452" i="1"/>
  <c r="AC452" i="1"/>
  <c r="AV453" i="1" l="1"/>
  <c r="H454" i="1"/>
  <c r="J454" i="1"/>
  <c r="O453" i="1"/>
  <c r="AC453" i="1"/>
  <c r="AV454" i="1" l="1"/>
  <c r="J455" i="1"/>
  <c r="H455" i="1"/>
  <c r="O454" i="1"/>
  <c r="AC454" i="1"/>
  <c r="AV455" i="1" l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AV458" i="1"/>
  <c r="AC458" i="1"/>
  <c r="AV459" i="1" l="1"/>
  <c r="J460" i="1"/>
  <c r="H460" i="1"/>
  <c r="O459" i="1"/>
  <c r="AC459" i="1"/>
  <c r="AA412" i="3"/>
  <c r="J461" i="1" l="1"/>
  <c r="H461" i="1"/>
  <c r="AV460" i="1"/>
  <c r="O460" i="1"/>
  <c r="AC460" i="1"/>
  <c r="AA413" i="3"/>
  <c r="AA414" i="3"/>
  <c r="AV461" i="1" l="1"/>
  <c r="J462" i="1"/>
  <c r="H462" i="1"/>
  <c r="O461" i="1"/>
  <c r="AC461" i="1"/>
  <c r="O462" i="1" l="1"/>
  <c r="H463" i="1"/>
  <c r="J463" i="1"/>
  <c r="AV462" i="1"/>
  <c r="AC462" i="1"/>
  <c r="J464" i="1" l="1"/>
  <c r="H464" i="1"/>
  <c r="AV463" i="1"/>
  <c r="O463" i="1"/>
  <c r="AC463" i="1"/>
  <c r="AA416" i="3"/>
  <c r="AA417" i="3"/>
  <c r="AA415" i="3"/>
  <c r="AV464" i="1" l="1"/>
  <c r="J465" i="1"/>
  <c r="O464" i="1"/>
  <c r="H465" i="1"/>
  <c r="AC464" i="1"/>
  <c r="O465" i="1" l="1"/>
  <c r="J466" i="1"/>
  <c r="H466" i="1"/>
  <c r="AV465" i="1"/>
  <c r="AC465" i="1"/>
  <c r="AA421" i="3"/>
  <c r="AA422" i="3"/>
  <c r="AA419" i="3"/>
  <c r="AA420" i="3"/>
  <c r="AA418" i="3"/>
  <c r="AV466" i="1" l="1"/>
  <c r="H467" i="1"/>
  <c r="J467" i="1"/>
  <c r="O466" i="1"/>
  <c r="AC466" i="1"/>
  <c r="J468" i="1" l="1"/>
  <c r="H468" i="1"/>
  <c r="AV467" i="1"/>
  <c r="O467" i="1"/>
  <c r="AC467" i="1"/>
  <c r="AV468" i="1" l="1"/>
  <c r="J469" i="1"/>
  <c r="H469" i="1"/>
  <c r="O468" i="1"/>
  <c r="AC468" i="1"/>
  <c r="AV469" i="1" l="1"/>
  <c r="J470" i="1"/>
  <c r="H470" i="1"/>
  <c r="O469" i="1"/>
  <c r="AC469" i="1"/>
  <c r="AV470" i="1" l="1"/>
  <c r="H471" i="1"/>
  <c r="J471" i="1"/>
  <c r="O470" i="1"/>
  <c r="AC470" i="1"/>
  <c r="AA428" i="3"/>
  <c r="AA429" i="3"/>
  <c r="AA426" i="3"/>
  <c r="AA427" i="3"/>
  <c r="AA424" i="3"/>
  <c r="AA425" i="3"/>
  <c r="AA423" i="3"/>
  <c r="AV471" i="1" l="1"/>
  <c r="J472" i="1"/>
  <c r="H472" i="1"/>
  <c r="O471" i="1"/>
  <c r="AC471" i="1"/>
  <c r="AV472" i="1" l="1"/>
  <c r="J473" i="1"/>
  <c r="H473" i="1"/>
  <c r="O472" i="1"/>
  <c r="AC472" i="1"/>
  <c r="AV473" i="1" l="1"/>
  <c r="J474" i="1"/>
  <c r="H474" i="1"/>
  <c r="O473" i="1"/>
  <c r="AC473" i="1"/>
  <c r="J475" i="1" l="1"/>
  <c r="H475" i="1"/>
  <c r="AV474" i="1"/>
  <c r="O474" i="1"/>
  <c r="AC474" i="1"/>
  <c r="AV475" i="1" l="1"/>
  <c r="J476" i="1"/>
  <c r="H476" i="1"/>
  <c r="O475" i="1"/>
  <c r="AC475" i="1"/>
  <c r="AV476" i="1" l="1"/>
  <c r="J477" i="1"/>
  <c r="H477" i="1"/>
  <c r="O476" i="1"/>
  <c r="AC476" i="1"/>
  <c r="AV477" i="1" l="1"/>
  <c r="J478" i="1"/>
  <c r="H478" i="1"/>
  <c r="O477" i="1"/>
  <c r="AC477" i="1"/>
  <c r="AA435" i="3"/>
  <c r="AA436" i="3"/>
  <c r="AA433" i="3"/>
  <c r="AA434" i="3"/>
  <c r="AA431" i="3"/>
  <c r="AA432" i="3"/>
  <c r="AA430" i="3"/>
  <c r="AV478" i="1" l="1"/>
  <c r="H479" i="1"/>
  <c r="J479" i="1"/>
  <c r="O478" i="1"/>
  <c r="AC478" i="1"/>
  <c r="AC479" i="1" l="1"/>
  <c r="J480" i="1"/>
  <c r="H480" i="1"/>
  <c r="AV479" i="1"/>
  <c r="O479" i="1"/>
  <c r="AV480" i="1" l="1"/>
  <c r="O480" i="1"/>
  <c r="J481" i="1"/>
  <c r="H481" i="1"/>
  <c r="AC480" i="1"/>
  <c r="J482" i="1" l="1"/>
  <c r="H482" i="1"/>
  <c r="AV481" i="1"/>
  <c r="O481" i="1"/>
  <c r="AC481" i="1"/>
  <c r="AV482" i="1" l="1"/>
  <c r="J483" i="1"/>
  <c r="H483" i="1"/>
  <c r="O482" i="1"/>
  <c r="AC482" i="1"/>
  <c r="AV483" i="1" l="1"/>
  <c r="H484" i="1"/>
  <c r="J484" i="1"/>
  <c r="O483" i="1"/>
  <c r="AC483" i="1"/>
  <c r="AV484" i="1" l="1"/>
  <c r="J485" i="1"/>
  <c r="H485" i="1"/>
  <c r="O484" i="1"/>
  <c r="AC484" i="1"/>
  <c r="AA442" i="3"/>
  <c r="AA443" i="3"/>
  <c r="AA440" i="3"/>
  <c r="AA441" i="3"/>
  <c r="AA438" i="3"/>
  <c r="AA439" i="3"/>
  <c r="AA437" i="3"/>
  <c r="O485" i="1" l="1"/>
  <c r="H486" i="1"/>
  <c r="J486" i="1"/>
  <c r="AV485" i="1"/>
  <c r="AC485" i="1"/>
  <c r="AV486" i="1" l="1"/>
  <c r="H487" i="1"/>
  <c r="I20" i="3" s="1"/>
  <c r="I23" i="3" s="1"/>
  <c r="I25" i="3" s="1"/>
  <c r="I27" i="3" s="1"/>
  <c r="J487" i="1"/>
  <c r="O486" i="1"/>
  <c r="AC486" i="1"/>
  <c r="I34" i="3" l="1"/>
  <c r="N27" i="3"/>
  <c r="N28" i="3" s="1"/>
  <c r="AV487" i="1"/>
  <c r="H488" i="1"/>
  <c r="J488" i="1"/>
  <c r="O487" i="1"/>
  <c r="AC487" i="1"/>
  <c r="J489" i="1" l="1"/>
  <c r="H489" i="1"/>
  <c r="AV488" i="1"/>
  <c r="O488" i="1"/>
  <c r="AC488" i="1"/>
  <c r="AV489" i="1" l="1"/>
  <c r="J490" i="1"/>
  <c r="H490" i="1"/>
  <c r="O489" i="1"/>
  <c r="AC489" i="1"/>
  <c r="AV490" i="1" l="1"/>
  <c r="O490" i="1"/>
  <c r="H491" i="1"/>
  <c r="J491" i="1"/>
  <c r="AC490" i="1"/>
  <c r="AV491" i="1" l="1"/>
  <c r="H492" i="1"/>
  <c r="O491" i="1"/>
  <c r="J492" i="1"/>
  <c r="AC491" i="1"/>
  <c r="AA448" i="3"/>
  <c r="AA449" i="3"/>
  <c r="AA445" i="3"/>
  <c r="AA446" i="3"/>
  <c r="AA444" i="3"/>
  <c r="AV492" i="1" l="1"/>
  <c r="J493" i="1"/>
  <c r="H493" i="1"/>
  <c r="O492" i="1"/>
  <c r="AC492" i="1"/>
  <c r="AA447" i="3"/>
  <c r="AV493" i="1" l="1"/>
  <c r="J494" i="1"/>
  <c r="H494" i="1"/>
  <c r="O493" i="1"/>
  <c r="AC493" i="1"/>
  <c r="AV494" i="1" l="1"/>
  <c r="O494" i="1"/>
  <c r="AC494" i="1"/>
  <c r="AF21" i="2" l="1"/>
  <c r="I32" i="3"/>
  <c r="I28" i="3" l="1"/>
  <c r="L34" i="3"/>
  <c r="L35" i="3"/>
  <c r="L32" i="3"/>
  <c r="I36" i="3"/>
  <c r="W450" i="3" l="1"/>
  <c r="AA450" i="3" s="1"/>
  <c r="L36" i="3"/>
  <c r="Y121" i="3" l="1"/>
  <c r="Y214" i="3"/>
  <c r="Y12" i="3"/>
  <c r="Y350" i="3"/>
  <c r="Y244" i="3"/>
</calcChain>
</file>

<file path=xl/sharedStrings.xml><?xml version="1.0" encoding="utf-8"?>
<sst xmlns="http://schemas.openxmlformats.org/spreadsheetml/2006/main" count="366" uniqueCount="190">
  <si>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</si>
  <si>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</si>
  <si>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</si>
  <si>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</si>
  <si>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</si>
  <si>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</si>
  <si>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</si>
  <si>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</si>
  <si>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</si>
  <si>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</si>
  <si>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</si>
  <si>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</si>
  <si>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</si>
  <si>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</si>
  <si>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</si>
  <si>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</si>
  <si>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</si>
  <si>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</si>
  <si>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</si>
  <si>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</si>
  <si>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</si>
  <si>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</si>
  <si>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</si>
  <si>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</si>
  <si>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</si>
  <si>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</si>
  <si>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</si>
  <si>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</si>
  <si>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</si>
  <si>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</si>
  <si>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</si>
  <si>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</si>
  <si>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</si>
  <si>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</si>
  <si>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</si>
  <si>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</si>
  <si>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</si>
  <si>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</si>
  <si>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</si>
  <si>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</si>
  <si>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</si>
  <si>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</si>
  <si>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</si>
  <si>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</si>
  <si>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</si>
  <si>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</si>
  <si>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</si>
  <si>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</si>
  <si>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</si>
  <si>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</si>
  <si>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</si>
  <si>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</si>
  <si>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</si>
  <si>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</si>
  <si>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</si>
  <si>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</si>
  <si>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</si>
  <si>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</si>
  <si>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</si>
  <si>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</si>
  <si>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</si>
  <si>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</si>
  <si>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</si>
  <si>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</si>
  <si>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</si>
  <si>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</si>
  <si>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</si>
  <si>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</si>
  <si>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</si>
  <si>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</si>
  <si>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</si>
  <si>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</si>
  <si>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</si>
  <si>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</si>
  <si>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</si>
  <si>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</si>
  <si>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</si>
  <si>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</si>
  <si>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</si>
  <si>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</si>
  <si>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</si>
  <si>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</si>
  <si>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</si>
  <si>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</si>
  <si>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</si>
  <si>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</si>
  <si>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</si>
  <si>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</si>
  <si>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</si>
  <si>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</si>
  <si>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</si>
  <si>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</si>
  <si>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</si>
  <si>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</si>
  <si>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</si>
  <si>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</si>
  <si>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</si>
  <si>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</si>
  <si>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</si>
  <si>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</si>
  <si>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</si>
  <si>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</si>
  <si>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</si>
  <si>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</si>
  <si>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</si>
  <si>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</si>
  <si>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</si>
  <si>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</si>
  <si>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</si>
  <si>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</si>
  <si>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</si>
  <si>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</si>
  <si>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</si>
  <si>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</si>
  <si>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</si>
  <si>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</si>
  <si>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</si>
  <si>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</si>
  <si>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</si>
  <si>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</si>
  <si>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</si>
  <si>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</si>
  <si>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</si>
  <si>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</si>
  <si>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</si>
  <si>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</si>
  <si>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</si>
  <si>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</si>
  <si>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</si>
  <si>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</si>
  <si>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</si>
  <si>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</si>
  <si>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</si>
  <si>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</si>
  <si>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</si>
  <si>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</si>
  <si>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</si>
  <si>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</si>
  <si>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</si>
  <si>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</si>
  <si>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</si>
  <si>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</si>
  <si>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</si>
  <si>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</si>
  <si>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</si>
  <si>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</si>
  <si>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</si>
  <si>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</si>
  <si>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</si>
  <si>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</si>
  <si>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</si>
  <si>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</si>
  <si>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</si>
  <si>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</si>
  <si>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</si>
  <si>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</si>
  <si>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</si>
  <si>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</si>
  <si>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</si>
  <si>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</si>
  <si>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</si>
  <si>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</si>
  <si>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</si>
  <si>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</si>
  <si>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</si>
  <si>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</si>
  <si>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</si>
  <si>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</si>
  <si>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</si>
  <si>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</si>
  <si>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</si>
  <si>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</si>
  <si>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</si>
  <si>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</si>
  <si>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</si>
  <si>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</si>
  <si>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</si>
  <si>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</si>
  <si>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</si>
  <si>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</si>
  <si>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</si>
  <si>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</si>
  <si>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</si>
  <si>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</si>
  <si>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</si>
  <si>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</si>
  <si>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</si>
  <si>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</si>
  <si>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</si>
  <si>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July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</si>
</sst>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164" fontId="2" fillId="12" borderId="0" xfId="1" applyNumberFormat="1" applyFont="1" applyFill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18" fillId="12" borderId="23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Table'!$BA$606:$BA$610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Table'!$AS$611:$AT$615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18</c:v>
                </c:pt>
              </c:strCache>
            </c:strRef>
          </c:cat>
          <c:val>
            <c:numRef>
              <c:f>'Main Table'!$BA$611:$BA$615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17688403.92180723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Table'!$BC$606:$BC$610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Table'!$AS$611:$AT$615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18</c:v>
                </c:pt>
              </c:strCache>
            </c:strRef>
          </c:cat>
          <c:val>
            <c:numRef>
              <c:f>'Main Table'!$BC$611:$BC$615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73870921</c:v>
                </c:pt>
                <c:pt idx="3">
                  <c:v>73870921</c:v>
                </c:pt>
                <c:pt idx="4">
                  <c:v>73870921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Table'!$BJ$606:$BJ$610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Table'!$AS$611:$AT$615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18</c:v>
                </c:pt>
              </c:strCache>
            </c:strRef>
          </c:cat>
          <c:val>
            <c:numRef>
              <c:f>'Main Table'!$BJ$611:$BJ$615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Table'!$BK$606:$BK$610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Table'!$AS$611:$AT$615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18</c:v>
                </c:pt>
              </c:strCache>
            </c:strRef>
          </c:cat>
          <c:val>
            <c:numRef>
              <c:f>'Main Table'!$BK$611:$BK$615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Table'!$BL$606:$BL$610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Table'!$AS$611:$AT$615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18</c:v>
                </c:pt>
              </c:strCache>
            </c:strRef>
          </c:cat>
          <c:val>
            <c:numRef>
              <c:f>'Main Table'!$BL$611:$BL$615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Table'!$BM$606:$BM$610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Table'!$AS$611:$AT$615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18</c:v>
                </c:pt>
              </c:strCache>
            </c:strRef>
          </c:cat>
          <c:val>
            <c:numRef>
              <c:f>'Main Table'!$BM$611:$BM$615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Table'!$BP$606:$BP$610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Table'!$AS$611:$AT$615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18</c:v>
                </c:pt>
              </c:strCache>
            </c:strRef>
          </c:cat>
          <c:val>
            <c:numRef>
              <c:f>'Main Table'!$BP$611:$BP$615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161230000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Table'!$AU$606:$AU$610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Table'!$AU$611:$AU$615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Table'!$AV$606:$AV$610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Table'!$AV$611:$AV$615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Table'!$AW$606:$AW$610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Table'!$AW$611:$AW$615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Table'!$AX$606:$AX$610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Table'!$AX$611:$AX$615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Table'!$AY$606:$AY$610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Table'!$AY$611:$AY$615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Table'!$AZ$606:$AZ$610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Table'!$AZ$611:$AZ$615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Table'!$BB$606:$BB$610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Table'!$BB$611:$BB$615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Table'!$BD$606:$BD$610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Table'!$BD$611:$BD$615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Table'!$BE$606:$BE$610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Table'!$BE$611:$BE$615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91559324.92180723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Table'!$BF$606:$BF$610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Table'!$BF$611:$BF$615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Table'!$BG$606:$BG$610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Table'!$BG$611:$BG$615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107810000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Table'!$BH$606:$BH$610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Table'!$BH$611:$BH$615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Table'!$BI$606:$BI$610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Table'!$BI$611:$BI$615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Table'!$BN$606:$BN$610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Table'!$BN$611:$BN$615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Table'!$BO$606:$BO$610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Table'!$BO$611:$BO$615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Table'!$BQ$606:$BQ$610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Table'!$BQ$611:$BQ$615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Table'!$BR$606:$BR$610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Table'!$BR$611:$BR$615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252789324.92180723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Table'!$BS$606:$BS$610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Table'!$BS$611:$BS$615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Table'!$BT$606:$BT$610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Table'!$BT$611:$BT$615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Table'!$BU$606:$BU$610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Table'!$BU$611:$BU$615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Table'!$BV$606:$BV$610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Table'!$AS$611:$AT$615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18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Table'!$BV$611:$BV$615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515</xdr:row>
      <xdr:rowOff>99060</xdr:rowOff>
    </xdr:from>
    <xdr:to>
      <xdr:col>22</xdr:col>
      <xdr:colOff>312420</xdr:colOff>
      <xdr:row>516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515</xdr:row>
      <xdr:rowOff>129540</xdr:rowOff>
    </xdr:from>
    <xdr:to>
      <xdr:col>23</xdr:col>
      <xdr:colOff>68580</xdr:colOff>
      <xdr:row>516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533</xdr:row>
      <xdr:rowOff>125730</xdr:rowOff>
    </xdr:from>
    <xdr:to>
      <xdr:col>54</xdr:col>
      <xdr:colOff>213360</xdr:colOff>
      <xdr:row>548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678180</xdr:colOff>
      <xdr:row>622</xdr:row>
      <xdr:rowOff>160020</xdr:rowOff>
    </xdr:from>
    <xdr:to>
      <xdr:col>76</xdr:col>
      <xdr:colOff>182880</xdr:colOff>
      <xdr:row>645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CC06A08-42BC-486C-BC02-4D0C310A747C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646"/>
  <sheetViews>
    <sheetView tabSelected="1" topLeftCell="A479" zoomScaleNormal="100" workbookViewId="0">
      <selection activeCell="O516" sqref="O516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9" t="s">
        <v>5</v>
      </c>
      <c r="C1" s="609"/>
      <c r="D1" s="609"/>
    </row>
    <row r="2" spans="2:90" ht="15.6" x14ac:dyDescent="0.3">
      <c r="B2" s="609" t="s">
        <v>6</v>
      </c>
      <c r="C2" s="609"/>
      <c r="D2" s="60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2" t="s">
        <v>13</v>
      </c>
      <c r="C3" s="612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0" t="s">
        <v>11</v>
      </c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11"/>
      <c r="AE4" s="282"/>
      <c r="AF4" s="404"/>
      <c r="AG4" s="404"/>
      <c r="AH4" s="404"/>
      <c r="AI4" s="404"/>
      <c r="AJ4" s="12"/>
      <c r="AL4" s="593" t="s">
        <v>14</v>
      </c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5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3" t="s">
        <v>12</v>
      </c>
      <c r="G6" s="613"/>
      <c r="H6" s="613"/>
      <c r="I6" s="613"/>
      <c r="J6" s="613"/>
      <c r="K6" s="613"/>
      <c r="L6" s="613"/>
      <c r="M6" s="292"/>
      <c r="N6" s="499"/>
      <c r="O6" s="292"/>
      <c r="P6" s="293"/>
      <c r="Q6" s="619" t="s">
        <v>111</v>
      </c>
      <c r="R6" s="613"/>
      <c r="S6" s="613"/>
      <c r="T6" s="613"/>
      <c r="U6" s="620"/>
      <c r="V6" s="3"/>
      <c r="W6" s="8" t="s">
        <v>7</v>
      </c>
      <c r="X6" s="30"/>
      <c r="Y6" s="614">
        <v>1.2500000000000001E-2</v>
      </c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5"/>
      <c r="AK6" s="3"/>
      <c r="AL6" s="601" t="s">
        <v>25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81"/>
      <c r="BC6" s="581"/>
      <c r="BD6" s="85"/>
      <c r="BE6" s="596" t="s">
        <v>24</v>
      </c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81"/>
      <c r="BS6" s="581"/>
      <c r="BT6" s="581"/>
      <c r="BU6" s="597"/>
      <c r="BV6" s="3"/>
    </row>
    <row r="7" spans="2:90" ht="16.2" x14ac:dyDescent="0.3">
      <c r="D7" s="598" t="s">
        <v>20</v>
      </c>
      <c r="E7" s="599"/>
      <c r="F7" s="599"/>
      <c r="G7" s="599"/>
      <c r="H7" s="599"/>
      <c r="I7" s="599"/>
      <c r="J7" s="599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6" t="s">
        <v>33</v>
      </c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8"/>
      <c r="AK7" s="3"/>
      <c r="AL7" s="598" t="s">
        <v>68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00"/>
      <c r="BA7" s="598" t="s">
        <v>23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00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91" t="s">
        <v>1</v>
      </c>
      <c r="BB8" s="592"/>
      <c r="BC8" s="592"/>
      <c r="BD8" s="63"/>
      <c r="BE8" s="592" t="s">
        <v>22</v>
      </c>
      <c r="BF8" s="592"/>
      <c r="BG8" s="592"/>
      <c r="BH8" s="592"/>
      <c r="BI8" s="605"/>
      <c r="BJ8" s="606" t="s">
        <v>111</v>
      </c>
      <c r="BK8" s="607"/>
      <c r="BL8" s="607"/>
      <c r="BM8" s="608"/>
      <c r="BN8" s="591" t="s">
        <v>22</v>
      </c>
      <c r="BO8" s="592"/>
      <c r="BP8" s="592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SUM(D102:D501)</f>
        <v>31455012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SUM(D109:D508)</f>
        <v>31226177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SUM(D116:D515)</f>
        <v>31677852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SUM(D123:D525)</f>
        <v>362282982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SUM(D124:D526)</f>
        <v>362221263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SUM(D125:D527)</f>
        <v>362162914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SUM(D126:D528)</f>
        <v>362097426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SUM(D127:D529)</f>
        <v>362031378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SUM(D128:D530)</f>
        <v>361959383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SUM(D129:D531)</f>
        <v>438885995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SUM(D130:D532)</f>
        <v>438811008.23262841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SUM(D131:D533)</f>
        <v>438747749.23262841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SUM(D132:D534)</f>
        <v>769682470.23262835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SUM(D133:D535)</f>
        <v>813973591.23262835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SUM(D134:D536)</f>
        <v>813906112.30462837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SUM(D135:D537)</f>
        <v>813834145.30462837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SUM(D136:D538)</f>
        <v>813764702.34662843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SUM(D137:D539)</f>
        <v>814687668.34662843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SUM(D138:D540)</f>
        <v>814620255.34662843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SUM(D139:D541)</f>
        <v>814564125.34662843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SUM(D140:D542)</f>
        <v>814502554.34662843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SUM(D141:D543)</f>
        <v>814437825.34662843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SUM(D142:D544)</f>
        <v>814370904.34662843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SUM(D143:D545)</f>
        <v>814302335.34662843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SUM(D144:D546)</f>
        <v>814231252.34662843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SUM(D145:D547)</f>
        <v>814172711.34662843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SUM(D146:D548)</f>
        <v>814123673.34662843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SUM(D147:D549)</f>
        <v>814075027.34662843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SUM(D148:D550)</f>
        <v>814020463.34662843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SUM(D149:D551)</f>
        <v>813965315.34662843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SUM(D150:D552)</f>
        <v>813906605.34662843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SUM(D151:D553)</f>
        <v>813843359.34662843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SUM(D152:D554)</f>
        <v>813789160.34662843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SUM(D153:D555)</f>
        <v>813741311.34662843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SUM(D154:D556)</f>
        <v>813691511.34662843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SUM(D155:D557)</f>
        <v>813636992.34662843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SUM(D156:D558)</f>
        <v>813582647.34662843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SUM(D157:D559)</f>
        <v>813527283.34662843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SUM(D158:D560)</f>
        <v>813466683.34662843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SUM(D159:D561)</f>
        <v>813413160.34662843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SUM(D160:D562)</f>
        <v>813376317.34662843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SUM(D161:D563)</f>
        <v>813335705.34662843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SUM(D162:D564)</f>
        <v>813291706.34662843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SUM(D163:D565)</f>
        <v>813246733.34662843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SUM(D164:D566)</f>
        <v>813201376.34662843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SUM(D165:D567)</f>
        <v>813150895.34662843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SUM(D166:D568)</f>
        <v>813107066.34662843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SUM(D167:D569)</f>
        <v>813074348.34662843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SUM(D168:D570)</f>
        <v>813032864.34662843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SUM(D169:D571)</f>
        <v>812992766.34662843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SUM(D170:D572)</f>
        <v>812948129.34662843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SUM(D171:D573)</f>
        <v>812902123.34662843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SUM(D172:D574)</f>
        <v>812852522.34662843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SUM(D173:D575)</f>
        <v>812809862.34662843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SUM(D174:D576)</f>
        <v>812775881.34662843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SUM(D175:D577)</f>
        <v>812737321.34662843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SUM(D176:D578)</f>
        <v>812695342.34662843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SUM(D177:D579)</f>
        <v>812654131.34662843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SUM(D178:D580)</f>
        <v>812608667.34662843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SUM(D179:D581)</f>
        <v>812555818.34662843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SUM(D180:D582)</f>
        <v>812513726.34662843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SUM(D181:D583)</f>
        <v>812482616.34662843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SUM(D182:D587)</f>
        <v>812457196.34662843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SUM(D183:D588)</f>
        <v>812428757.34662843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SUM(D184:D589)</f>
        <v>812393514.34662843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SUM(D185:D590)</f>
        <v>846068989.06091416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SUM(D186:D591)</f>
        <v>896879531.91805696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SUM(D187:D592)</f>
        <v>965411678.4894855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SUM(D188:D594)</f>
        <v>965379821.4894855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SUM(D189:D595)</f>
        <v>1142172751.060914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SUM(D190:D599)</f>
        <v>1142136304.060914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SUM(D191:D600)</f>
        <v>1142096150.060914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SUM(D192:D601)</f>
        <v>1142049855.060914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SUM(D193:D602)</f>
        <v>1141998510.060914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SUM(D194:D603)</f>
        <v>1141954897.060914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SUM(D195:D604)</f>
        <v>1141921511.060914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SUM(D196:D610)</f>
        <v>1141884707.060914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SUM(D197:D611)</f>
        <v>1141849011.060914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SUM(D198:D612)</f>
        <v>1141807395.060914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SUM(D199:D613)</f>
        <v>1141762040.060914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SUM(D200:D615)</f>
        <v>1141708411.060914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SUM(D201:D616)</f>
        <v>1141665205.060914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SUM(D202:D617)</f>
        <v>1141631423.060914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SUM(D203:D618)</f>
        <v>1141594005.060914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SUM(D204:D619)</f>
        <v>1141549778.060914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SUM(D205:D620)</f>
        <v>1141508849.060914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SUM(D206:D621)</f>
        <v>1141461460.060914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SUM(D207:D622)</f>
        <v>1141410057.060914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SUM(D208:D623)</f>
        <v>1141361132.060914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SUM(D209:D624)</f>
        <v>1141327066.060914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SUM(D210:D625)</f>
        <v>1141289349.060914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SUM(D211:D626)</f>
        <v>1141244681.060914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SUM(D212:D627)</f>
        <v>1141195323.060914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SUM(D213:D628)</f>
        <v>1141138005.060914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SUM(D214:D629)</f>
        <v>1141077022.060914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SUM(D215:D630)</f>
        <v>1141022787.060914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SUM(D216:D631)</f>
        <v>1140980852.060914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SUM(D217:D632)</f>
        <v>1140935061.060914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SUM(D218:D633)</f>
        <v>1140883527.060914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SUM(D219:D634)</f>
        <v>1140823834.060914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SUM(D220:D635)</f>
        <v>1140757705.060914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SUM(D221:D636)</f>
        <v>1140686018.060914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SUM(D222:D637)</f>
        <v>1140631786.060914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SUM(D223:D638)</f>
        <v>1140586845.060914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SUM(D224:D639)</f>
        <v>1140529518.060914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SUM(D225:D640)</f>
        <v>1140467446.060914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SUM(D226:D641)</f>
        <v>1140403783.060914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SUM(D227:D642)</f>
        <v>1140329482.060914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SUM(D228:D643)</f>
        <v>1140248068.060914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SUM(D229:D644)</f>
        <v>1140168619.060914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SUM(D230:D645)</f>
        <v>1140107730.060914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SUM(D231:D646)</f>
        <v>1140037889.060914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SUM(D232:D647)</f>
        <v>1139962817.060914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SUM(D233:D648)</f>
        <v>1139881236.060914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SUM(D234:D649)</f>
        <v>1139789706.060914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SUM(D235:D650)</f>
        <v>1139688245.060914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SUM(D236:D651)</f>
        <v>1139601952.060914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SUM(D237:D652)</f>
        <v>1139530631.060914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SUM(D238:D653)</f>
        <v>1139441726.060914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SUM(D239:D654)</f>
        <v>1139347259.060914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SUM(D240:D655)</f>
        <v>1139238870.060914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SUM(D241:D656)</f>
        <v>1139120551.060914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SUM(D242:D657)</f>
        <v>1138988010.060914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SUM(D243:D658)</f>
        <v>1138863620.060914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SUM(D244:D659)</f>
        <v>1138760894.060914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SUM(D245:D660)</f>
        <v>1138635205.060914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SUM(D246:D661)</f>
        <v>1138499552.060914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SUM(D247:D662)</f>
        <v>1138356646.060914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SUM(D248:D663)</f>
        <v>1138195105.060914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SUM(D249:D664)</f>
        <v>1138011578.060914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SUM(D250:D665)</f>
        <v>1137854325.060914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SUM(D251:D666)</f>
        <v>1137716076.060914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SUM(D252:D667)</f>
        <v>1137553927.060914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SUM(D253:D668)</f>
        <v>1137396666.060914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SUM(D254:D669)</f>
        <v>1137222898.060914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SUM(D255:D670)</f>
        <v>1137030712.060914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SUM(D256:D671)</f>
        <v>1136826533.060914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SUM(D257:D672)</f>
        <v>1136653694.060914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SUM(D258:D673)</f>
        <v>1136517067.060914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SUM(D259:D674)</f>
        <v>1136344767.060914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SUM(D260:D675)</f>
        <v>1136167685.060914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SUM(D261:D676)</f>
        <v>1135986782.060914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SUM(D262:D677)</f>
        <v>1135878719.060914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SUM(D263:D678)</f>
        <v>1135714707.060914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SUM(D264:D679)</f>
        <v>1135571334.060914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SUM(D265:D680)</f>
        <v>1135433146.060914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SUM(D266:D681)</f>
        <v>1135271578.060914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SUM(D267:D682)</f>
        <v>1135089302.060914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SUM(D268:D683)</f>
        <v>1134885565.060914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SUM(D269:D684)</f>
        <v>1134666989.060914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SUM(D270:D685)</f>
        <v>1134431717.060914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SUM(D271:D686)</f>
        <v>1134219234.060914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SUM(D272:D687)</f>
        <v>1134036455.060914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SUM(D273:D688)</f>
        <v>1133836370.060914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SUM(D274:D689)</f>
        <v>1133626614.060914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SUM(D275:D690)</f>
        <v>1133399661.060914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SUM(D276:D691)</f>
        <v>1133172347.060914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SUM(D277:D692)</f>
        <v>1132925586.060914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SUM(D278:D693)</f>
        <v>1132705288.060914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SUM(D279:D694)</f>
        <v>1132517387.060914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SUM(D280:D695)</f>
        <v>1132317655.060914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SUM(D281:D696)</f>
        <v>1132117620.060914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SUM(D282:D697)</f>
        <v>1131867447.060914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SUM(D283:D698)</f>
        <v>1131629575.060914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SUM(D284:D699)</f>
        <v>1131374895.060914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SUM(D285:D700)</f>
        <v>1131185245.060914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SUM(D286:D701)</f>
        <v>1130996965.060914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SUM(D287:D702)</f>
        <v>1130796856.060914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SUM(D288:D703)</f>
        <v>1130597776.060914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SUM(D289:D704)</f>
        <v>1130365434.060914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SUM(D290:D705)</f>
        <v>1130172404.060914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SUM(D291:D706)</f>
        <v>1130073564.060914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SUM(D292:D707)</f>
        <v>1129912960.060914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SUM(D293:D708)</f>
        <v>1129785220.060914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SUM(D294:D709)</f>
        <v>1129598829.060914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SUM(D295:D710)</f>
        <v>1129399207.060914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SUM(D296:D711)</f>
        <v>1129164432.060914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SUM(D297:D712)</f>
        <v>1128936019.060914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SUM(D298:D713)</f>
        <v>1128769975.060914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SUM(D299:D714)</f>
        <v>1128537748.060914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SUM(D300:D715)</f>
        <v>1128343411.060914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SUM(D301:D716)</f>
        <v>1128153249.060914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SUM(D302:D717)</f>
        <v>1127918538.060914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SUM(D303:D718)</f>
        <v>1127657565.060914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SUM(D304:D719)</f>
        <v>1127383375.060914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SUM(D305:D720)</f>
        <v>1127076926.060914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SUM(D306:D721)</f>
        <v>1126827232.060914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SUM(D307:D722)</f>
        <v>1126606405.060914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SUM(D308:D723)</f>
        <v>1126391722.060914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SUM(D309:D724)</f>
        <v>1126168094.060914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SUM(D310:D725)</f>
        <v>1125930021.060914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SUM(D311:D726)</f>
        <v>1125695602.060914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SUM(D312:D727)</f>
        <v>1125446796.060914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SUM(D313:D728)</f>
        <v>1125244029.060914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SUM(D314:D729)</f>
        <v>1125069469.060914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SUM(D315:D730)</f>
        <v>1124920141.060914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SUM(D316:D731)</f>
        <v>1124745763.060914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SUM(D317:D732)</f>
        <v>1124555682.060914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SUM(D318:D733)</f>
        <v>1124361924.060914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SUM(D319:D734)</f>
        <v>1124169859.060914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SUM(D320:D735)</f>
        <v>1123996792.060914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SUM(D321:D736)</f>
        <v>1123861610.060914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SUM(D322:D737)</f>
        <v>1123709366.060914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SUM(D323:D738)</f>
        <v>1123557639.060914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SUM(D324:D739)</f>
        <v>1123397608.060914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SUM(D325:D740)</f>
        <v>1123234975.060914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SUM(D326:D741)</f>
        <v>1123065942.060914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SUM(D327:D742)</f>
        <v>1122925210.060914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SUM(D328:D743)</f>
        <v>1122817394.060914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SUM(D329:D744)</f>
        <v>1122690942.060914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SUM(D330:D745)</f>
        <v>1122574715.060914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SUM(D331:D746)</f>
        <v>1122461256.060914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SUM(D332:D747)</f>
        <v>1122339519.060914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SUM(D333:D748)</f>
        <v>1122213394.060914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SUM(D334:D749)</f>
        <v>1122107411.060914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SUM(D335:D750)</f>
        <v>1122016155.060914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SUM(D336:D751)</f>
        <v>1121925809.060914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SUM(D337:D752)</f>
        <v>1121830267.060914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SUM(D338:D753)</f>
        <v>1121733461.060914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SUM(D339:D754)</f>
        <v>1121629217.060914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SUM(D340:D755)</f>
        <v>1121528929.060914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SUM(D341:D756)</f>
        <v>1121442445.060914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SUM(D342:D757)</f>
        <v>1121378148.060914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SUM(D343:D758)</f>
        <v>1121325363.060914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SUM(D344:D759)</f>
        <v>1121261965.060914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SUM(D345:D760)</f>
        <v>1121190325.060914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SUM(D346:D761)</f>
        <v>1121121401.060914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SUM(D347:D762)</f>
        <v>1121035862.060914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SUM(D348:D763)</f>
        <v>1120966245.060914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SUM(D349:D764)</f>
        <v>1120909020.060914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SUM(D350:D765)</f>
        <v>1120837966.060914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SUM(D351:D766)</f>
        <v>1120764262.060914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SUM(D352:D767)</f>
        <v>1120688963.060914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SUM(D353:D768)</f>
        <v>1120611586.060914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SUM(D354:D769)</f>
        <v>1120530961.060914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SUM(D355:D770)</f>
        <v>1120466641.060914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SUM(D356:D771)</f>
        <v>1120417229.060914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SUM(D357:D772)</f>
        <v>1120362048.060914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SUM(D358:D773)</f>
        <v>1120305158.060914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SUM(D359:D774)</f>
        <v>1120237933.060914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SUM(D360:D775)</f>
        <v>1120169612.060914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SUM(D361:D776)</f>
        <v>1120100372.060914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SUM(D362:D777)</f>
        <v>1120042144.060914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SUM(D363:D778)</f>
        <v>1120000177.060914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SUM(D364:D779)</f>
        <v>1119954809.060914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SUM(D365:D780)</f>
        <v>1119899126.060914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495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SUM(D366:D781)</f>
        <v>1119837766.060914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SUM(D367:D782)</f>
        <v>1119774993.060914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SUM(D368:D783)</f>
        <v>1119708208.060914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SUM(D369:D784)</f>
        <v>1119658490.060914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SUM(D370:D785)</f>
        <v>1119621594.060914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SUM(D371:D786)</f>
        <v>1119574827.060914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SUM(D372:D787)</f>
        <v>1119521596.060914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SUM(D373:D788)</f>
        <v>1119458101.060914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SUM(D374:D789)</f>
        <v>1119395472.060914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SUM(D375:D790)</f>
        <v>1119329059.060914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SUM(D376:D791)</f>
        <v>1119273151.060914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SUM(D377:D792)</f>
        <v>1119233646.060914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SUM(D378:D793)</f>
        <v>1119187898.060914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SUM(D379:D794)</f>
        <v>1119129193.060914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SUM(D380:D795)</f>
        <v>1119062655.060914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SUM(D381:D796)</f>
        <v>1118995609.060914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SUM(D382:D797)</f>
        <v>1118918633.060914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SUM(D383:D798)</f>
        <v>1118854974.060914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SUM(D384:D799)</f>
        <v>1118810878.060914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SUM(D385:D800)</f>
        <v>1118750680.060914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SUM(D386:D801)</f>
        <v>1118688221.060914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SUM(D387:D802)</f>
        <v>1118619465.060914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SUM(D388:D803)</f>
        <v>1118575214.060914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SUM(D389:D804)</f>
        <v>1118505190.060914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SUM(D390:D805)</f>
        <v>1118439036.060914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SUM(D391:D806)</f>
        <v>1118402053.060914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SUM(D392:D807)</f>
        <v>1118344409.060914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SUM(D393:D808)</f>
        <v>1118282126.060914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SUM(D394:D809)</f>
        <v>1118206943.060914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SUM(D395:D810)</f>
        <v>1118126782.060914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SUM(D396:D811)</f>
        <v>1118041414.060914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SUM(D397:D812)</f>
        <v>1117974634.060914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SUM(D398:D813)</f>
        <v>1117926760.060914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SUM(D399:D814)</f>
        <v>1117870238.060914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SUM(D400:D815)</f>
        <v>1117792518.060914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SUM(D401:D816)</f>
        <v>1117714079.060914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SUM(D402:D817)</f>
        <v>1117639600.060914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SUM(D403:D818)</f>
        <v>1117557827.060914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SUM(D404:D819)</f>
        <v>1117494246.060914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SUM(D405:D820)</f>
        <v>1117451065.060914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SUM(D406:D821)</f>
        <v>1117399415.060914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SUM(D407:D822)</f>
        <v>1117339098.060914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SUM(D408:D823)</f>
        <v>1117274041.060914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SUM(D409:D824)</f>
        <v>1117206971.060914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SUM(D410:D825)</f>
        <v>1117140456.060914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SUM(D411:D826)</f>
        <v>1117087176.060914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SUM(D412:D827)</f>
        <v>1117052440.060914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00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SUM(D413:D828)</f>
        <v>1117004984.060914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SUM(D414:D829)</f>
        <v>1116952938.060914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SUM(D415:D830)</f>
        <v>1116896334.060914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SUM(D416:D831)</f>
        <v>1116837065.060914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SUM(D417:D832)</f>
        <v>1116777159.060914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>
        <v>5235</v>
      </c>
      <c r="E447" s="16"/>
      <c r="F447" s="16"/>
      <c r="G447" s="16"/>
      <c r="H447" s="16">
        <f t="shared" ref="H447" si="550">+H446+D447</f>
        <v>33653168</v>
      </c>
      <c r="I447" s="16"/>
      <c r="J447" s="436">
        <f t="shared" ref="J447" si="551">+D447/H446</f>
        <v>1.5558162220544126E-4</v>
      </c>
      <c r="K447" s="16"/>
      <c r="L447" s="16"/>
      <c r="M447" s="16"/>
      <c r="N447" s="16">
        <f t="shared" ref="N447" si="552">SUM(D441:D447)</f>
        <v>119090</v>
      </c>
      <c r="O447" s="16">
        <f t="shared" ref="O447" si="553">+H447/BW447</f>
        <v>76833.716894977173</v>
      </c>
      <c r="P447" s="41"/>
      <c r="Q447" s="17">
        <f t="shared" ref="Q447" si="554">SUM(D441:D447)</f>
        <v>119090</v>
      </c>
      <c r="R447" s="16"/>
      <c r="S447" s="60">
        <f t="shared" ref="S447" si="555">+(Q447-Q440)/Q440</f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ref="Z447" si="556">SUM(W442:W447)</f>
        <v>2453</v>
      </c>
      <c r="AA447" s="33">
        <f t="shared" ref="AA447" si="557">+AA446+W447</f>
        <v>595684</v>
      </c>
      <c r="AB447" s="33"/>
      <c r="AC447" s="46">
        <f t="shared" ref="AC447" si="558">+AA447/H447</f>
        <v>1.770068125532788E-2</v>
      </c>
      <c r="AD447" s="33"/>
      <c r="AE447" s="33">
        <f t="shared" ref="AE447" si="559">+AA447/BW447</f>
        <v>1360.0091324200914</v>
      </c>
      <c r="AF447" s="50"/>
      <c r="AG447" s="33">
        <f t="shared" ref="AG447" si="560">SUM(W441:W447)</f>
        <v>3122</v>
      </c>
      <c r="AH447" s="33">
        <f t="shared" ref="AH447" si="561">SUM(D418:D833)</f>
        <v>1116735125.060914</v>
      </c>
      <c r="AI447" s="213">
        <f t="shared" ref="AI447" si="562">+(AG447-AG440)/AG440</f>
        <v>-0.16657768286171917</v>
      </c>
      <c r="AJ447" s="50"/>
      <c r="AK447" s="111"/>
      <c r="AL447" s="23">
        <f t="shared" ref="AL447" si="563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64">+AL447/AP446</f>
        <v>8.2454278391447624E-4</v>
      </c>
      <c r="AS447" s="25"/>
      <c r="AT447" s="25"/>
      <c r="AU447" s="24"/>
      <c r="AV447" s="298">
        <f t="shared" ref="AV447" si="565">+AP447/H447</f>
        <v>0.82797078717819372</v>
      </c>
      <c r="AW447" s="298"/>
      <c r="AX447" s="24">
        <f t="shared" ref="AX447" si="566">+AP447/BW447</f>
        <v>63616.07305936073</v>
      </c>
      <c r="AY447" s="308"/>
      <c r="AZ447" s="111"/>
      <c r="BA447" s="65">
        <f t="shared" ref="BA447" si="567">+BC447-BC446</f>
        <v>439228</v>
      </c>
      <c r="BB447" s="66"/>
      <c r="BC447" s="66">
        <v>479930123</v>
      </c>
      <c r="BD447" s="66"/>
      <c r="BE447" s="66">
        <f t="shared" ref="BE447" si="568">+D447</f>
        <v>5235</v>
      </c>
      <c r="BF447" s="66"/>
      <c r="BG447" s="144">
        <f t="shared" ref="BG447" si="569">+BE447/BA447</f>
        <v>1.1918639066726164E-2</v>
      </c>
      <c r="BH447" s="66"/>
      <c r="BI447" s="170"/>
      <c r="BJ447" s="66"/>
      <c r="BK447" s="66">
        <f t="shared" ref="BK447" si="570">SUM(BA441:BA447)</f>
        <v>5561510</v>
      </c>
      <c r="BL447" s="66"/>
      <c r="BM447" s="144">
        <f t="shared" ref="BM447" si="571">+Q447/BK447</f>
        <v>2.1413249279422314E-2</v>
      </c>
      <c r="BN447" s="65">
        <f t="shared" ref="BN447" si="572">+BC447/BW447</f>
        <v>1095730.8744292238</v>
      </c>
      <c r="BO447" s="66"/>
      <c r="BP447" s="66">
        <f t="shared" ref="BP447" si="573">+BP446+BE447</f>
        <v>32746190</v>
      </c>
      <c r="BQ447" s="66"/>
      <c r="BR447" s="435">
        <f t="shared" ref="BR447" si="574">+BP447/BC447</f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424"/>
        <v>44348</v>
      </c>
      <c r="C448" s="61"/>
      <c r="D448" s="17">
        <v>12976</v>
      </c>
      <c r="E448" s="16"/>
      <c r="F448" s="16"/>
      <c r="G448" s="16"/>
      <c r="H448" s="16">
        <f t="shared" ref="H448" si="575">+H447+D448</f>
        <v>33666144</v>
      </c>
      <c r="I448" s="16"/>
      <c r="J448" s="436">
        <f t="shared" ref="J448" si="576">+D448/H447</f>
        <v>3.855803412029441E-4</v>
      </c>
      <c r="K448" s="16"/>
      <c r="L448" s="16"/>
      <c r="M448" s="16"/>
      <c r="N448" s="16">
        <f t="shared" ref="N448" si="577">SUM(D442:D448)</f>
        <v>109328</v>
      </c>
      <c r="O448" s="16">
        <f t="shared" ref="O448" si="578">+H448/BW448</f>
        <v>76688.255125284733</v>
      </c>
      <c r="P448" s="41"/>
      <c r="Q448" s="17">
        <f t="shared" ref="Q448" si="579">SUM(D442:D448)</f>
        <v>109328</v>
      </c>
      <c r="R448" s="16"/>
      <c r="S448" s="60">
        <f t="shared" ref="S448" si="580">+(Q448-Q441)/Q441</f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ref="Z448" si="581">SUM(W443:W448)</f>
        <v>2133</v>
      </c>
      <c r="AA448" s="33">
        <f t="shared" ref="AA448" si="582">+AA447+W448</f>
        <v>595971</v>
      </c>
      <c r="AB448" s="33"/>
      <c r="AC448" s="46">
        <f t="shared" ref="AC448" si="583">+AA448/H448</f>
        <v>1.7702383736016812E-2</v>
      </c>
      <c r="AD448" s="33"/>
      <c r="AE448" s="33">
        <f t="shared" ref="AE448" si="584">+AA448/BW448</f>
        <v>1357.5649202733484</v>
      </c>
      <c r="AF448" s="50"/>
      <c r="AG448" s="33">
        <f t="shared" ref="AG448" si="585">SUM(W442:W448)</f>
        <v>2740</v>
      </c>
      <c r="AH448" s="33">
        <f t="shared" ref="AH448" si="586">SUM(D419:D834)</f>
        <v>1116704424.060914</v>
      </c>
      <c r="AI448" s="213">
        <f t="shared" ref="AI448" si="587">+(AG448-AG441)/AG441</f>
        <v>-0.25583921781640412</v>
      </c>
      <c r="AJ448" s="50"/>
      <c r="AK448" s="111"/>
      <c r="AL448" s="23">
        <f t="shared" ref="AL448" si="588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89">+AL448/AP447</f>
        <v>2.7662375322281495E-3</v>
      </c>
      <c r="AS448" s="25"/>
      <c r="AT448" s="25"/>
      <c r="AU448" s="24"/>
      <c r="AV448" s="298">
        <f t="shared" ref="AV448" si="590">+AP448/H448</f>
        <v>0.82994114205654201</v>
      </c>
      <c r="AW448" s="298"/>
      <c r="AX448" s="24">
        <f t="shared" ref="AX448" si="591">+AP448/BW448</f>
        <v>63646.738041002282</v>
      </c>
      <c r="AY448" s="308"/>
      <c r="AZ448" s="111"/>
      <c r="BA448" s="65">
        <f t="shared" ref="BA448" si="592">+BC448-BC447</f>
        <v>1018663</v>
      </c>
      <c r="BB448" s="66"/>
      <c r="BC448" s="66">
        <v>480948786</v>
      </c>
      <c r="BD448" s="66"/>
      <c r="BE448" s="66">
        <f t="shared" ref="BE448" si="593">+D448</f>
        <v>12976</v>
      </c>
      <c r="BF448" s="66"/>
      <c r="BG448" s="144">
        <f t="shared" ref="BG448" si="594">+BE448/BA448</f>
        <v>1.2738265746375396E-2</v>
      </c>
      <c r="BH448" s="66"/>
      <c r="BI448" s="170"/>
      <c r="BJ448" s="66"/>
      <c r="BK448" s="66">
        <f t="shared" ref="BK448" si="595">SUM(BA442:BA448)</f>
        <v>5721964</v>
      </c>
      <c r="BL448" s="66"/>
      <c r="BM448" s="144">
        <f t="shared" ref="BM448" si="596">+Q448/BK448</f>
        <v>1.91067262918816E-2</v>
      </c>
      <c r="BN448" s="65">
        <f t="shared" ref="BN448" si="597">+BC448/BW448</f>
        <v>1095555.3211845104</v>
      </c>
      <c r="BO448" s="66"/>
      <c r="BP448" s="66">
        <f t="shared" ref="BP448" si="598">+BP447+BE448</f>
        <v>32759166</v>
      </c>
      <c r="BQ448" s="66"/>
      <c r="BR448" s="435">
        <f t="shared" ref="BR448" si="599">+BP448/BC448</f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424"/>
        <v>44349</v>
      </c>
      <c r="C449" s="61"/>
      <c r="D449" s="17">
        <v>16974</v>
      </c>
      <c r="E449" s="16"/>
      <c r="F449" s="16"/>
      <c r="G449" s="16"/>
      <c r="H449" s="16">
        <f t="shared" ref="H449" si="600">+H448+D449</f>
        <v>33683118</v>
      </c>
      <c r="I449" s="16"/>
      <c r="J449" s="436">
        <f t="shared" ref="J449" si="601">+D449/H448</f>
        <v>5.0418604518533518E-4</v>
      </c>
      <c r="K449" s="16"/>
      <c r="L449" s="16"/>
      <c r="M449" s="16"/>
      <c r="N449" s="16">
        <f t="shared" ref="N449" si="602">SUM(D443:D449)</f>
        <v>102802</v>
      </c>
      <c r="O449" s="16">
        <f t="shared" ref="O449" si="603">+H449/BW449</f>
        <v>76552.540909090909</v>
      </c>
      <c r="P449" s="41"/>
      <c r="Q449" s="17">
        <f t="shared" ref="Q449" si="604">SUM(D443:D449)</f>
        <v>102802</v>
      </c>
      <c r="R449" s="16"/>
      <c r="S449" s="60">
        <f t="shared" ref="S449" si="605">+(Q449-Q442)/Q442</f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ref="Z449" si="606">SUM(W444:W449)</f>
        <v>2017</v>
      </c>
      <c r="AA449" s="33">
        <f t="shared" ref="AA449" si="607">+AA448+W449</f>
        <v>596485</v>
      </c>
      <c r="AB449" s="33"/>
      <c r="AC449" s="46">
        <f t="shared" ref="AC449" si="608">+AA449/H449</f>
        <v>1.7708722808856353E-2</v>
      </c>
      <c r="AD449" s="33"/>
      <c r="AE449" s="33">
        <f t="shared" ref="AE449" si="609">+AA449/BW449</f>
        <v>1355.6477272727273</v>
      </c>
      <c r="AF449" s="50"/>
      <c r="AG449" s="33">
        <f t="shared" ref="AG449" si="610">SUM(W443:W449)</f>
        <v>2647</v>
      </c>
      <c r="AH449" s="33">
        <f t="shared" ref="AH449" si="611">SUM(D420:D835)</f>
        <v>1116663970.060914</v>
      </c>
      <c r="AI449" s="213">
        <f t="shared" ref="AI449" si="612">+(AG449-AG442)/AG442</f>
        <v>-0.27539009033670958</v>
      </c>
      <c r="AJ449" s="50"/>
      <c r="AK449" s="111"/>
      <c r="AL449" s="23">
        <f t="shared" ref="AL449" si="613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14">+AL449/AP448</f>
        <v>1.6317645683652914E-3</v>
      </c>
      <c r="AS449" s="25"/>
      <c r="AT449" s="25"/>
      <c r="AU449" s="24"/>
      <c r="AV449" s="298">
        <f t="shared" ref="AV449" si="615">+AP449/H449</f>
        <v>0.83087649427229393</v>
      </c>
      <c r="AW449" s="298"/>
      <c r="AX449" s="24">
        <f t="shared" ref="AX449" si="616">+AP449/BW449</f>
        <v>63605.706818181818</v>
      </c>
      <c r="AY449" s="308"/>
      <c r="AZ449" s="111"/>
      <c r="BA449" s="65">
        <f t="shared" ref="BA449" si="617">+BC449-BC448</f>
        <v>659207</v>
      </c>
      <c r="BB449" s="66"/>
      <c r="BC449" s="66">
        <v>481607993</v>
      </c>
      <c r="BD449" s="66"/>
      <c r="BE449" s="66">
        <f t="shared" ref="BE449" si="618">+D449</f>
        <v>16974</v>
      </c>
      <c r="BF449" s="66"/>
      <c r="BG449" s="144">
        <f t="shared" ref="BG449" si="619">+BE449/BA449</f>
        <v>2.5749119775730536E-2</v>
      </c>
      <c r="BH449" s="66"/>
      <c r="BI449" s="170"/>
      <c r="BJ449" s="66"/>
      <c r="BK449" s="66">
        <f t="shared" ref="BK449" si="620">SUM(BA443:BA449)</f>
        <v>5467750</v>
      </c>
      <c r="BL449" s="66"/>
      <c r="BM449" s="144">
        <f t="shared" ref="BM449" si="621">+Q449/BK449</f>
        <v>1.8801517991861368E-2</v>
      </c>
      <c r="BN449" s="65">
        <f t="shared" ref="BN449" si="622">+BC449/BW449</f>
        <v>1094563.6204545454</v>
      </c>
      <c r="BO449" s="66"/>
      <c r="BP449" s="66">
        <f t="shared" ref="BP449" si="623">+BP448+BE449</f>
        <v>32776140</v>
      </c>
      <c r="BQ449" s="66"/>
      <c r="BR449" s="435">
        <f t="shared" ref="BR449" si="624">+BP449/BC449</f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424"/>
        <v>44350</v>
      </c>
      <c r="C450" s="61"/>
      <c r="D450" s="17">
        <v>17821</v>
      </c>
      <c r="E450" s="16"/>
      <c r="F450" s="16"/>
      <c r="G450" s="16"/>
      <c r="H450" s="16">
        <f t="shared" ref="H450" si="625">+H449+D450</f>
        <v>33700939</v>
      </c>
      <c r="I450" s="16"/>
      <c r="J450" s="436">
        <f t="shared" ref="J450" si="626">+D450/H449</f>
        <v>5.2907809781742884E-4</v>
      </c>
      <c r="K450" s="16"/>
      <c r="L450" s="16"/>
      <c r="M450" s="16"/>
      <c r="N450" s="16">
        <f t="shared" ref="N450" si="627">SUM(D444:D450)</f>
        <v>96230</v>
      </c>
      <c r="O450" s="16">
        <f t="shared" ref="O450" si="628">+H450/BW450</f>
        <v>76419.36281179139</v>
      </c>
      <c r="P450" s="41"/>
      <c r="Q450" s="17">
        <f t="shared" ref="Q450" si="629">SUM(D444:D450)</f>
        <v>96230</v>
      </c>
      <c r="R450" s="16"/>
      <c r="S450" s="60">
        <f t="shared" ref="S450" si="630">+(Q450-Q443)/Q443</f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ref="Z450" si="631">SUM(W445:W450)</f>
        <v>1964</v>
      </c>
      <c r="AA450" s="33">
        <f t="shared" ref="AA450" si="632">+AA449+W450</f>
        <v>597059</v>
      </c>
      <c r="AB450" s="33"/>
      <c r="AC450" s="46">
        <f t="shared" ref="AC450" si="633">+AA450/H450</f>
        <v>1.7716390632320365E-2</v>
      </c>
      <c r="AD450" s="33"/>
      <c r="AE450" s="33">
        <f t="shared" ref="AE450" si="634">+AA450/BW450</f>
        <v>1353.875283446712</v>
      </c>
      <c r="AF450" s="50"/>
      <c r="AG450" s="33">
        <f t="shared" ref="AG450" si="635">SUM(W444:W450)</f>
        <v>2591</v>
      </c>
      <c r="AH450" s="33">
        <f t="shared" ref="AH450" si="636">SUM(D421:D836)</f>
        <v>1116621616.060914</v>
      </c>
      <c r="AI450" s="213">
        <f t="shared" ref="AI450" si="637">+(AG450-AG443)/AG443</f>
        <v>-0.28504415011037526</v>
      </c>
      <c r="AJ450" s="50"/>
      <c r="AK450" s="111"/>
      <c r="AL450" s="23">
        <f t="shared" ref="AL450" si="638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39">+AL450/AP449</f>
        <v>1.3958152911593732E-3</v>
      </c>
      <c r="AS450" s="25"/>
      <c r="AT450" s="25"/>
      <c r="AU450" s="24"/>
      <c r="AV450" s="298">
        <f t="shared" ref="AV450" si="640">+AP450/H450</f>
        <v>0.83159626501801631</v>
      </c>
      <c r="AW450" s="298"/>
      <c r="AX450" s="24">
        <f t="shared" ref="AX450" si="641">+AP450/BW450</f>
        <v>63550.056689342404</v>
      </c>
      <c r="AY450" s="308"/>
      <c r="AZ450" s="111"/>
      <c r="BA450" s="65">
        <f t="shared" ref="BA450" si="642">+BC450-BC449</f>
        <v>782831</v>
      </c>
      <c r="BB450" s="66"/>
      <c r="BC450" s="66">
        <v>482390824</v>
      </c>
      <c r="BD450" s="66"/>
      <c r="BE450" s="66">
        <f t="shared" ref="BE450" si="643">+D450</f>
        <v>17821</v>
      </c>
      <c r="BF450" s="66"/>
      <c r="BG450" s="144">
        <f t="shared" ref="BG450" si="644">+BE450/BA450</f>
        <v>2.2764811306654947E-2</v>
      </c>
      <c r="BH450" s="66"/>
      <c r="BI450" s="170"/>
      <c r="BJ450" s="66"/>
      <c r="BK450" s="66">
        <f t="shared" ref="BK450" si="645">SUM(BA444:BA450)</f>
        <v>5242175</v>
      </c>
      <c r="BL450" s="66"/>
      <c r="BM450" s="144">
        <f t="shared" ref="BM450" si="646">+Q450/BK450</f>
        <v>1.835688430851698E-2</v>
      </c>
      <c r="BN450" s="65">
        <f t="shared" ref="BN450" si="647">+BC450/BW450</f>
        <v>1093856.7437641723</v>
      </c>
      <c r="BO450" s="66"/>
      <c r="BP450" s="66">
        <f t="shared" ref="BP450" si="648">+BP449+BE450</f>
        <v>32793961</v>
      </c>
      <c r="BQ450" s="66"/>
      <c r="BR450" s="435">
        <f t="shared" ref="BR450" si="649">+BP450/BC450</f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424"/>
        <v>44351</v>
      </c>
      <c r="C451" s="61"/>
      <c r="D451" s="17">
        <v>16925</v>
      </c>
      <c r="E451" s="16"/>
      <c r="F451" s="16"/>
      <c r="G451" s="16"/>
      <c r="H451" s="16">
        <f t="shared" ref="H451" si="650">+H450+D451</f>
        <v>33717864</v>
      </c>
      <c r="I451" s="16"/>
      <c r="J451" s="436">
        <f t="shared" ref="J451" si="651">+D451/H450</f>
        <v>5.0221152591623636E-4</v>
      </c>
      <c r="K451" s="16"/>
      <c r="L451" s="16"/>
      <c r="M451" s="16"/>
      <c r="N451" s="16">
        <f t="shared" ref="N451" si="652">SUM(D445:D451)</f>
        <v>90342</v>
      </c>
      <c r="O451" s="16">
        <f t="shared" ref="O451" si="653">+H451/BW451</f>
        <v>76284.760180995479</v>
      </c>
      <c r="P451" s="41"/>
      <c r="Q451" s="17">
        <f t="shared" ref="Q451" si="654">SUM(D445:D451)</f>
        <v>90342</v>
      </c>
      <c r="R451" s="16"/>
      <c r="S451" s="60">
        <f t="shared" ref="S451" si="655">+(Q451-Q444)/Q444</f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ref="Z451" si="656">SUM(W446:W451)</f>
        <v>2134</v>
      </c>
      <c r="AA451" s="33">
        <f t="shared" ref="AA451" si="657">+AA450+W451</f>
        <v>597579</v>
      </c>
      <c r="AB451" s="33"/>
      <c r="AC451" s="46">
        <f t="shared" ref="AC451" si="658">+AA451/H451</f>
        <v>1.7722919814849483E-2</v>
      </c>
      <c r="AD451" s="33"/>
      <c r="AE451" s="33">
        <f t="shared" ref="AE451" si="659">+AA451/BW451</f>
        <v>1351.9886877828055</v>
      </c>
      <c r="AF451" s="50"/>
      <c r="AG451" s="33">
        <f t="shared" ref="AG451" si="660">SUM(W445:W451)</f>
        <v>2484</v>
      </c>
      <c r="AH451" s="33">
        <f t="shared" ref="AH451" si="661">SUM(D422:D837)</f>
        <v>1116575487.060914</v>
      </c>
      <c r="AI451" s="213">
        <f t="shared" ref="AI451" si="662">+(AG451-AG444)/AG444</f>
        <v>-0.30884808013355591</v>
      </c>
      <c r="AJ451" s="50"/>
      <c r="AK451" s="111"/>
      <c r="AL451" s="23">
        <f t="shared" ref="AL451" si="663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64">+AL451/AP450</f>
        <v>1.0497554465876257E-3</v>
      </c>
      <c r="AS451" s="25"/>
      <c r="AT451" s="25"/>
      <c r="AU451" s="24"/>
      <c r="AV451" s="298">
        <f t="shared" ref="AV451" si="665">+AP451/H451</f>
        <v>0.8320513719374395</v>
      </c>
      <c r="AW451" s="298"/>
      <c r="AX451" s="24">
        <f t="shared" ref="AX451" si="666">+AP451/BW451</f>
        <v>63472.839366515836</v>
      </c>
      <c r="AY451" s="308"/>
      <c r="AZ451" s="111"/>
      <c r="BA451" s="65">
        <f t="shared" ref="BA451" si="667">+BC451-BC450</f>
        <v>973509</v>
      </c>
      <c r="BB451" s="66"/>
      <c r="BC451" s="66">
        <v>483364333</v>
      </c>
      <c r="BD451" s="66"/>
      <c r="BE451" s="66">
        <f t="shared" ref="BE451" si="668">+D451</f>
        <v>16925</v>
      </c>
      <c r="BF451" s="66"/>
      <c r="BG451" s="144">
        <f t="shared" ref="BG451" si="669">+BE451/BA451</f>
        <v>1.7385560893633238E-2</v>
      </c>
      <c r="BH451" s="66"/>
      <c r="BI451" s="170"/>
      <c r="BJ451" s="66"/>
      <c r="BK451" s="66">
        <f t="shared" ref="BK451" si="670">SUM(BA445:BA451)</f>
        <v>5222916</v>
      </c>
      <c r="BL451" s="66"/>
      <c r="BM451" s="144">
        <f t="shared" ref="BM451" si="671">+Q451/BK451</f>
        <v>1.7297233958960857E-2</v>
      </c>
      <c r="BN451" s="65">
        <f t="shared" ref="BN451" si="672">+BC451/BW451</f>
        <v>1093584.463800905</v>
      </c>
      <c r="BO451" s="66"/>
      <c r="BP451" s="66">
        <f t="shared" ref="BP451" si="673">+BP450+BE451</f>
        <v>32810886</v>
      </c>
      <c r="BQ451" s="66"/>
      <c r="BR451" s="435">
        <f t="shared" ref="BR451" si="674">+BP451/BC451</f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424"/>
        <v>44352</v>
      </c>
      <c r="C452" s="61"/>
      <c r="D452" s="17">
        <v>11603</v>
      </c>
      <c r="E452" s="16"/>
      <c r="F452" s="16"/>
      <c r="G452" s="16"/>
      <c r="H452" s="16">
        <f t="shared" ref="H452" si="675">+H451+D452</f>
        <v>33729467</v>
      </c>
      <c r="I452" s="16"/>
      <c r="J452" s="436">
        <f t="shared" ref="J452" si="676">+D452/H451</f>
        <v>3.4412025625348035E-4</v>
      </c>
      <c r="K452" s="16"/>
      <c r="L452" s="16"/>
      <c r="M452" s="16"/>
      <c r="N452" s="16">
        <f t="shared" ref="N452" si="677">SUM(D446:D452)</f>
        <v>89284</v>
      </c>
      <c r="O452" s="16">
        <f t="shared" ref="O452" si="678">+H452/BW452</f>
        <v>76138.751693002254</v>
      </c>
      <c r="P452" s="41"/>
      <c r="Q452" s="17">
        <f t="shared" ref="Q452" si="679">SUM(D446:D452)</f>
        <v>89284</v>
      </c>
      <c r="R452" s="16"/>
      <c r="S452" s="60">
        <f t="shared" ref="S452" si="680">+(Q452-Q445)/Q445</f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ref="Z452" si="681">SUM(W447:W452)</f>
        <v>2398</v>
      </c>
      <c r="AA452" s="33">
        <f t="shared" ref="AA452" si="682">+AA451+W452</f>
        <v>597967</v>
      </c>
      <c r="AB452" s="33"/>
      <c r="AC452" s="46">
        <f t="shared" ref="AC452" si="683">+AA452/H452</f>
        <v>1.7728326391875684E-2</v>
      </c>
      <c r="AD452" s="33"/>
      <c r="AE452" s="33">
        <f t="shared" ref="AE452" si="684">+AA452/BW452</f>
        <v>1349.8126410835214</v>
      </c>
      <c r="AF452" s="50"/>
      <c r="AG452" s="33">
        <f t="shared" ref="AG452" si="685">SUM(W446:W452)</f>
        <v>2522</v>
      </c>
      <c r="AH452" s="33">
        <f t="shared" ref="AH452" si="686">SUM(D423:D838)</f>
        <v>1116527668.060914</v>
      </c>
      <c r="AI452" s="213">
        <f t="shared" ref="AI452" si="687">+(AG452-AG445)/AG445</f>
        <v>-0.27445339470655927</v>
      </c>
      <c r="AJ452" s="50"/>
      <c r="AK452" s="111"/>
      <c r="AL452" s="23">
        <f t="shared" ref="AL452" si="688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89">+AL452/AP451</f>
        <v>1.7286048348966023E-3</v>
      </c>
      <c r="AS452" s="25"/>
      <c r="AT452" s="25"/>
      <c r="AU452" s="24"/>
      <c r="AV452" s="298">
        <f t="shared" ref="AV452" si="690">+AP452/H452</f>
        <v>0.83320293795333322</v>
      </c>
      <c r="AW452" s="298"/>
      <c r="AX452" s="24">
        <f t="shared" ref="AX452" si="691">+AP452/BW452</f>
        <v>63439.031602708805</v>
      </c>
      <c r="AY452" s="308"/>
      <c r="AZ452" s="111"/>
      <c r="BA452" s="65">
        <f t="shared" ref="BA452" si="692">+BC452-BC451</f>
        <v>2921876</v>
      </c>
      <c r="BB452" s="66"/>
      <c r="BC452" s="66">
        <v>486286209</v>
      </c>
      <c r="BD452" s="66"/>
      <c r="BE452" s="66">
        <f t="shared" ref="BE452" si="693">+D452</f>
        <v>11603</v>
      </c>
      <c r="BF452" s="66"/>
      <c r="BG452" s="144">
        <f t="shared" ref="BG452" si="694">+BE452/BA452</f>
        <v>3.971078854817932E-3</v>
      </c>
      <c r="BH452" s="66"/>
      <c r="BI452" s="170"/>
      <c r="BJ452" s="66"/>
      <c r="BK452" s="66">
        <f t="shared" ref="BK452" si="695">SUM(BA446:BA452)</f>
        <v>7369073</v>
      </c>
      <c r="BL452" s="66"/>
      <c r="BM452" s="144">
        <f t="shared" ref="BM452" si="696">+Q452/BK452</f>
        <v>1.2116042275602373E-2</v>
      </c>
      <c r="BN452" s="65">
        <f t="shared" ref="BN452" si="697">+BC452/BW452</f>
        <v>1097711.5327313771</v>
      </c>
      <c r="BO452" s="66"/>
      <c r="BP452" s="66">
        <f t="shared" ref="BP452" si="698">+BP451+BE452</f>
        <v>32822489</v>
      </c>
      <c r="BQ452" s="66"/>
      <c r="BR452" s="435">
        <f t="shared" ref="BR452" si="699">+BP452/BC452</f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424"/>
        <v>44353</v>
      </c>
      <c r="C453" s="61"/>
      <c r="D453" s="17">
        <v>6408</v>
      </c>
      <c r="E453" s="16"/>
      <c r="F453" s="16"/>
      <c r="G453" s="16"/>
      <c r="H453" s="16">
        <f t="shared" ref="H453" si="700">+H452+D453</f>
        <v>33735875</v>
      </c>
      <c r="I453" s="16"/>
      <c r="J453" s="436">
        <f t="shared" ref="J453" si="701">+D453/H452</f>
        <v>1.8998224905243834E-4</v>
      </c>
      <c r="K453" s="16"/>
      <c r="L453" s="16"/>
      <c r="M453" s="16"/>
      <c r="N453" s="16">
        <f t="shared" ref="N453" si="702">SUM(D447:D453)</f>
        <v>87942</v>
      </c>
      <c r="O453" s="16">
        <f t="shared" ref="O453" si="703">+H453/BW453</f>
        <v>75981.700450450444</v>
      </c>
      <c r="P453" s="41"/>
      <c r="Q453" s="17">
        <f t="shared" ref="Q453" si="704">SUM(D447:D453)</f>
        <v>87942</v>
      </c>
      <c r="R453" s="16"/>
      <c r="S453" s="60">
        <f t="shared" ref="S453" si="705">+(Q453-Q446)/Q446</f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ref="Z453" si="706">SUM(W448:W453)</f>
        <v>2447</v>
      </c>
      <c r="AA453" s="33">
        <f t="shared" ref="AA453" si="707">+AA452+W453</f>
        <v>598131</v>
      </c>
      <c r="AB453" s="33"/>
      <c r="AC453" s="46">
        <f t="shared" ref="AC453" si="708">+AA453/H453</f>
        <v>1.7729820258108021E-2</v>
      </c>
      <c r="AD453" s="33"/>
      <c r="AE453" s="33">
        <f t="shared" ref="AE453" si="709">+AA453/BW453</f>
        <v>1347.1418918918919</v>
      </c>
      <c r="AF453" s="50"/>
      <c r="AG453" s="33">
        <f t="shared" ref="AG453" si="710">SUM(W447:W453)</f>
        <v>2562</v>
      </c>
      <c r="AH453" s="33">
        <f t="shared" ref="AH453" si="711">SUM(D424:D839)</f>
        <v>1116478177.060914</v>
      </c>
      <c r="AI453" s="213">
        <f t="shared" ref="AI453" si="712">+(AG453-AG446)/AG446</f>
        <v>-0.2402135231316726</v>
      </c>
      <c r="AJ453" s="50"/>
      <c r="AK453" s="111"/>
      <c r="AL453" s="23">
        <f t="shared" ref="AL453" si="713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14">+AL453/AP452</f>
        <v>6.8482595276152703E-4</v>
      </c>
      <c r="AS453" s="25"/>
      <c r="AT453" s="25"/>
      <c r="AU453" s="24"/>
      <c r="AV453" s="298">
        <f t="shared" ref="AV453" si="715">+AP453/H453</f>
        <v>0.83361516486529552</v>
      </c>
      <c r="AW453" s="298"/>
      <c r="AX453" s="24">
        <f t="shared" ref="AX453" si="716">+AP453/BW453</f>
        <v>63339.497747747744</v>
      </c>
      <c r="AY453" s="308"/>
      <c r="AZ453" s="111"/>
      <c r="BA453" s="65">
        <f t="shared" ref="BA453" si="717">+BC453-BC452</f>
        <v>582741</v>
      </c>
      <c r="BB453" s="66"/>
      <c r="BC453" s="66">
        <v>486868950</v>
      </c>
      <c r="BD453" s="66"/>
      <c r="BE453" s="66">
        <f t="shared" ref="BE453" si="718">+D453</f>
        <v>6408</v>
      </c>
      <c r="BF453" s="66"/>
      <c r="BG453" s="144">
        <f t="shared" ref="BG453" si="719">+BE453/BA453</f>
        <v>1.0996308823302291E-2</v>
      </c>
      <c r="BH453" s="66"/>
      <c r="BI453" s="170"/>
      <c r="BJ453" s="66"/>
      <c r="BK453" s="66">
        <f t="shared" ref="BK453" si="720">SUM(BA447:BA453)</f>
        <v>7378055</v>
      </c>
      <c r="BL453" s="66"/>
      <c r="BM453" s="144">
        <f t="shared" ref="BM453" si="721">+Q453/BK453</f>
        <v>1.1919401522487973E-2</v>
      </c>
      <c r="BN453" s="65">
        <f t="shared" ref="BN453" si="722">+BC453/BW453</f>
        <v>1096551.6891891891</v>
      </c>
      <c r="BO453" s="66"/>
      <c r="BP453" s="66">
        <f t="shared" ref="BP453" si="723">+BP452+BE453</f>
        <v>32828897</v>
      </c>
      <c r="BQ453" s="66"/>
      <c r="BR453" s="435">
        <f t="shared" ref="BR453" si="724">+BP453/BC453</f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424"/>
        <v>44354</v>
      </c>
      <c r="C454" s="61"/>
      <c r="D454" s="17">
        <v>12283</v>
      </c>
      <c r="E454" s="16"/>
      <c r="F454" s="16"/>
      <c r="G454" s="16"/>
      <c r="H454" s="16">
        <f t="shared" ref="H454" si="725">+H453+D454</f>
        <v>33748158</v>
      </c>
      <c r="I454" s="16"/>
      <c r="J454" s="436">
        <f t="shared" ref="J454" si="726">+D454/H453</f>
        <v>3.6409312045411599E-4</v>
      </c>
      <c r="K454" s="16"/>
      <c r="L454" s="16"/>
      <c r="M454" s="16"/>
      <c r="N454" s="16">
        <f t="shared" ref="N454" si="727">SUM(D448:D454)</f>
        <v>94990</v>
      </c>
      <c r="O454" s="16">
        <f t="shared" ref="O454" si="728">+H454/BW454</f>
        <v>75838.557303370791</v>
      </c>
      <c r="P454" s="41"/>
      <c r="Q454" s="17">
        <f t="shared" ref="Q454" si="729">SUM(D448:D454)</f>
        <v>94990</v>
      </c>
      <c r="R454" s="16"/>
      <c r="S454" s="60">
        <f t="shared" ref="S454" si="730">+(Q454-Q447)/Q447</f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ref="Z454" si="731">SUM(W449:W454)</f>
        <v>2472</v>
      </c>
      <c r="AA454" s="33">
        <f t="shared" ref="AA454" si="732">+AA453+W454</f>
        <v>598443</v>
      </c>
      <c r="AB454" s="33"/>
      <c r="AC454" s="46">
        <f t="shared" ref="AC454" si="733">+AA454/H454</f>
        <v>1.7732612251015301E-2</v>
      </c>
      <c r="AD454" s="33"/>
      <c r="AE454" s="33">
        <f t="shared" ref="AE454" si="734">+AA454/BW454</f>
        <v>1344.8157303370785</v>
      </c>
      <c r="AF454" s="50"/>
      <c r="AG454" s="33">
        <f t="shared" ref="AG454" si="735">SUM(W448:W454)</f>
        <v>2759</v>
      </c>
      <c r="AH454" s="33">
        <f t="shared" ref="AH454" si="736">SUM(D425:D840)</f>
        <v>1116442422.060914</v>
      </c>
      <c r="AI454" s="213">
        <f t="shared" ref="AI454" si="737">+(AG454-AG447)/AG447</f>
        <v>-0.11627162075592569</v>
      </c>
      <c r="AJ454" s="50"/>
      <c r="AK454" s="111"/>
      <c r="AL454" s="23">
        <f t="shared" ref="AL454" si="738">+AP454-AP453</f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ref="AR454" si="739">+AL454/AP453</f>
        <v>1.9529393600629982E-3</v>
      </c>
      <c r="AS454" s="25"/>
      <c r="AT454" s="25"/>
      <c r="AU454" s="24"/>
      <c r="AV454" s="298">
        <f t="shared" ref="AV454" si="740">+AP454/H454</f>
        <v>0.83493916912443045</v>
      </c>
      <c r="AW454" s="298"/>
      <c r="AX454" s="24">
        <f t="shared" ref="AX454" si="741">+AP454/BW454</f>
        <v>63320.582022471914</v>
      </c>
      <c r="AY454" s="308"/>
      <c r="AZ454" s="111"/>
      <c r="BA454" s="65">
        <f t="shared" ref="BA454" si="742">+BC454-BC453</f>
        <v>2864658</v>
      </c>
      <c r="BB454" s="66"/>
      <c r="BC454" s="66">
        <v>489733608</v>
      </c>
      <c r="BD454" s="66"/>
      <c r="BE454" s="66">
        <f t="shared" ref="BE454" si="743">+D454</f>
        <v>12283</v>
      </c>
      <c r="BF454" s="66"/>
      <c r="BG454" s="144">
        <f t="shared" ref="BG454" si="744">+BE454/BA454</f>
        <v>4.2877718736407623E-3</v>
      </c>
      <c r="BH454" s="66"/>
      <c r="BI454" s="170"/>
      <c r="BJ454" s="66"/>
      <c r="BK454" s="66">
        <f t="shared" ref="BK454" si="745">SUM(BA448:BA454)</f>
        <v>9803485</v>
      </c>
      <c r="BL454" s="66"/>
      <c r="BM454" s="144">
        <f t="shared" ref="BM454" si="746">+Q454/BK454</f>
        <v>9.6894114694927366E-3</v>
      </c>
      <c r="BN454" s="65">
        <f t="shared" ref="BN454" si="747">+BC454/BW454</f>
        <v>1100524.9617977529</v>
      </c>
      <c r="BO454" s="66"/>
      <c r="BP454" s="66">
        <f t="shared" ref="BP454" si="748">+BP453+BE454</f>
        <v>32841180</v>
      </c>
      <c r="BQ454" s="66"/>
      <c r="BR454" s="435">
        <f t="shared" ref="BR454" si="749">+BP454/BC454</f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424"/>
        <v>44355</v>
      </c>
      <c r="C455" s="61"/>
      <c r="D455" s="17">
        <v>13542</v>
      </c>
      <c r="E455" s="16"/>
      <c r="F455" s="16"/>
      <c r="G455" s="16"/>
      <c r="H455" s="16">
        <f t="shared" ref="H455" si="750">+H454+D455</f>
        <v>33761700</v>
      </c>
      <c r="I455" s="16"/>
      <c r="J455" s="436">
        <f t="shared" ref="J455" si="751">+D455/H454</f>
        <v>4.0126634466983353E-4</v>
      </c>
      <c r="K455" s="16"/>
      <c r="L455" s="16"/>
      <c r="M455" s="16"/>
      <c r="N455" s="16">
        <f t="shared" ref="N455" si="752">SUM(D449:D455)</f>
        <v>95556</v>
      </c>
      <c r="O455" s="16">
        <f t="shared" ref="O455" si="753">+H455/BW455</f>
        <v>75698.87892376681</v>
      </c>
      <c r="P455" s="41"/>
      <c r="Q455" s="17">
        <f t="shared" ref="Q455" si="754">SUM(D449:D455)</f>
        <v>95556</v>
      </c>
      <c r="R455" s="16"/>
      <c r="S455" s="60">
        <f t="shared" ref="S455" si="755">+(Q455-Q448)/Q448</f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ref="Z455" si="756">SUM(W450:W455)</f>
        <v>2359</v>
      </c>
      <c r="AA455" s="33">
        <f t="shared" ref="AA455" si="757">+AA454+W455</f>
        <v>598844</v>
      </c>
      <c r="AB455" s="33"/>
      <c r="AC455" s="46">
        <f t="shared" ref="AC455" si="758">+AA455/H455</f>
        <v>1.7737376968576819E-2</v>
      </c>
      <c r="AD455" s="33"/>
      <c r="AE455" s="33">
        <f t="shared" ref="AE455" si="759">+AA455/BW455</f>
        <v>1342.6995515695066</v>
      </c>
      <c r="AF455" s="50"/>
      <c r="AG455" s="33">
        <f t="shared" ref="AG455" si="760">SUM(W449:W455)</f>
        <v>2873</v>
      </c>
      <c r="AH455" s="33">
        <f t="shared" ref="AH455" si="761">SUM(D426:D841)</f>
        <v>1116420222.060914</v>
      </c>
      <c r="AI455" s="213">
        <f t="shared" ref="AI455" si="762">+(AG455-AG448)/AG448</f>
        <v>4.8540145985401462E-2</v>
      </c>
      <c r="AJ455" s="50"/>
      <c r="AK455" s="111"/>
      <c r="AL455" s="23">
        <f t="shared" ref="AL455" si="763">+AP455-AP454</f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ref="AR455" si="764">+AL455/AP454</f>
        <v>1.533271447425778E-3</v>
      </c>
      <c r="AS455" s="25"/>
      <c r="AT455" s="25"/>
      <c r="AU455" s="24"/>
      <c r="AV455" s="298">
        <f t="shared" ref="AV455" si="765">+AP455/H455</f>
        <v>0.83588394541744049</v>
      </c>
      <c r="AW455" s="298"/>
      <c r="AX455" s="24">
        <f t="shared" ref="AX455" si="766">+AP455/BW455</f>
        <v>63275.477578475336</v>
      </c>
      <c r="AY455" s="308"/>
      <c r="AZ455" s="111"/>
      <c r="BA455" s="65">
        <f t="shared" ref="BA455" si="767">+BC455-BC454</f>
        <v>589126</v>
      </c>
      <c r="BB455" s="66"/>
      <c r="BC455" s="66">
        <v>490322734</v>
      </c>
      <c r="BD455" s="66"/>
      <c r="BE455" s="66">
        <f t="shared" ref="BE455" si="768">+D455</f>
        <v>13542</v>
      </c>
      <c r="BF455" s="66"/>
      <c r="BG455" s="144">
        <f t="shared" ref="BG455" si="769">+BE455/BA455</f>
        <v>2.2986593699819733E-2</v>
      </c>
      <c r="BH455" s="66"/>
      <c r="BI455" s="170"/>
      <c r="BJ455" s="66"/>
      <c r="BK455" s="66">
        <f t="shared" ref="BK455" si="770">SUM(BA449:BA455)</f>
        <v>9373948</v>
      </c>
      <c r="BL455" s="66"/>
      <c r="BM455" s="144">
        <f t="shared" ref="BM455" si="771">+Q455/BK455</f>
        <v>1.0193783878468282E-2</v>
      </c>
      <c r="BN455" s="65">
        <f t="shared" ref="BN455" si="772">+BC455/BW455</f>
        <v>1099378.32735426</v>
      </c>
      <c r="BO455" s="66"/>
      <c r="BP455" s="66">
        <f t="shared" ref="BP455" si="773">+BP454+BE455</f>
        <v>32854722</v>
      </c>
      <c r="BQ455" s="66"/>
      <c r="BR455" s="435">
        <f t="shared" ref="BR455" si="774">+BP455/BC455</f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424"/>
        <v>44356</v>
      </c>
      <c r="C456" s="61"/>
      <c r="D456" s="17">
        <v>14201</v>
      </c>
      <c r="E456" s="16"/>
      <c r="F456" s="16"/>
      <c r="G456" s="16"/>
      <c r="H456" s="16">
        <f t="shared" ref="H456" si="775">+H455+D456</f>
        <v>33775901</v>
      </c>
      <c r="I456" s="16"/>
      <c r="J456" s="436">
        <f t="shared" ref="J456" si="776">+D456/H455</f>
        <v>4.2062455385836616E-4</v>
      </c>
      <c r="K456" s="16"/>
      <c r="L456" s="16"/>
      <c r="M456" s="16"/>
      <c r="N456" s="16">
        <f t="shared" ref="N456" si="777">SUM(D450:D456)</f>
        <v>92783</v>
      </c>
      <c r="O456" s="16">
        <f t="shared" ref="O456" si="778">+H456/BW456</f>
        <v>75561.299776286352</v>
      </c>
      <c r="P456" s="41"/>
      <c r="Q456" s="17">
        <f t="shared" ref="Q456" si="779">SUM(D450:D456)</f>
        <v>92783</v>
      </c>
      <c r="R456" s="16"/>
      <c r="S456" s="60">
        <f t="shared" ref="S456" si="780">+(Q456-Q449)/Q449</f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ref="Z456" si="781">SUM(W451:W456)</f>
        <v>2237</v>
      </c>
      <c r="AA456" s="33">
        <f t="shared" ref="AA456" si="782">+AA455+W456</f>
        <v>599296</v>
      </c>
      <c r="AB456" s="33"/>
      <c r="AC456" s="46">
        <f t="shared" ref="AC456" si="783">+AA456/H456</f>
        <v>1.7743301651671706E-2</v>
      </c>
      <c r="AD456" s="33"/>
      <c r="AE456" s="33">
        <f t="shared" ref="AE456" si="784">+AA456/BW456</f>
        <v>1340.7069351230425</v>
      </c>
      <c r="AF456" s="50"/>
      <c r="AG456" s="33">
        <f t="shared" ref="AG456" si="785">SUM(W450:W456)</f>
        <v>2811</v>
      </c>
      <c r="AH456" s="33">
        <f t="shared" ref="AH456" si="786">SUM(D427:D842)</f>
        <v>1116390070.060914</v>
      </c>
      <c r="AI456" s="213">
        <f t="shared" ref="AI456" si="787">+(AG456-AG449)/AG449</f>
        <v>6.1956932376275031E-2</v>
      </c>
      <c r="AJ456" s="50"/>
      <c r="AK456" s="111"/>
      <c r="AL456" s="23">
        <f t="shared" ref="AL456" si="788">+AP456-AP455</f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ref="AR456" si="789">+AL456/AP455</f>
        <v>1.1774267852829306E-3</v>
      </c>
      <c r="AS456" s="25"/>
      <c r="AT456" s="25"/>
      <c r="AU456" s="24"/>
      <c r="AV456" s="298">
        <f t="shared" ref="AV456" si="790">+AP456/H456</f>
        <v>0.83651627827781705</v>
      </c>
      <c r="AW456" s="298"/>
      <c r="AX456" s="24">
        <f t="shared" ref="AX456" si="791">+AP456/BW456</f>
        <v>63208.25727069351</v>
      </c>
      <c r="AY456" s="308"/>
      <c r="AZ456" s="111"/>
      <c r="BA456" s="65">
        <f t="shared" ref="BA456" si="792">+BC456-BC455</f>
        <v>758547</v>
      </c>
      <c r="BB456" s="66"/>
      <c r="BC456" s="66">
        <v>491081281</v>
      </c>
      <c r="BD456" s="66"/>
      <c r="BE456" s="66">
        <f t="shared" ref="BE456" si="793">+D456</f>
        <v>14201</v>
      </c>
      <c r="BF456" s="66"/>
      <c r="BG456" s="144">
        <f t="shared" ref="BG456" si="794">+BE456/BA456</f>
        <v>1.8721318520803588E-2</v>
      </c>
      <c r="BH456" s="66"/>
      <c r="BI456" s="170"/>
      <c r="BJ456" s="66"/>
      <c r="BK456" s="66">
        <f t="shared" ref="BK456" si="795">SUM(BA450:BA456)</f>
        <v>9473288</v>
      </c>
      <c r="BL456" s="66"/>
      <c r="BM456" s="144">
        <f t="shared" ref="BM456" si="796">+Q456/BK456</f>
        <v>9.7941707250956585E-3</v>
      </c>
      <c r="BN456" s="65">
        <f t="shared" ref="BN456" si="797">+BC456/BW456</f>
        <v>1098615.8411633109</v>
      </c>
      <c r="BO456" s="66"/>
      <c r="BP456" s="66">
        <f t="shared" ref="BP456" si="798">+BP455+BE456</f>
        <v>32868923</v>
      </c>
      <c r="BQ456" s="66"/>
      <c r="BR456" s="435">
        <f t="shared" ref="BR456" si="799">+BP456/BC456</f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424"/>
        <v>44357</v>
      </c>
      <c r="C457" s="61"/>
      <c r="D457" s="17">
        <v>16764</v>
      </c>
      <c r="E457" s="16"/>
      <c r="F457" s="16"/>
      <c r="G457" s="16"/>
      <c r="H457" s="16">
        <f t="shared" ref="H457" si="800">+H456+D457</f>
        <v>33792665</v>
      </c>
      <c r="I457" s="16"/>
      <c r="J457" s="436">
        <f t="shared" ref="J457" si="801">+D457/H456</f>
        <v>4.9633020892618084E-4</v>
      </c>
      <c r="K457" s="16"/>
      <c r="L457" s="16"/>
      <c r="M457" s="16"/>
      <c r="N457" s="16">
        <f t="shared" ref="N457" si="802">SUM(D451:D457)</f>
        <v>91726</v>
      </c>
      <c r="O457" s="16">
        <f t="shared" ref="O457" si="803">+H457/BW457</f>
        <v>75430.055803571435</v>
      </c>
      <c r="P457" s="41"/>
      <c r="Q457" s="17">
        <f t="shared" ref="Q457" si="804">SUM(D451:D457)</f>
        <v>91726</v>
      </c>
      <c r="R457" s="16"/>
      <c r="S457" s="60">
        <f t="shared" ref="S457" si="805">+(Q457-Q450)/Q450</f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ref="Z457" si="806">SUM(W452:W457)</f>
        <v>2198</v>
      </c>
      <c r="AA457" s="33">
        <f t="shared" ref="AA457" si="807">+AA456+W457</f>
        <v>599777</v>
      </c>
      <c r="AB457" s="33"/>
      <c r="AC457" s="46">
        <f t="shared" ref="AC457" si="808">+AA457/H457</f>
        <v>1.7748733341984124E-2</v>
      </c>
      <c r="AD457" s="33"/>
      <c r="AE457" s="33">
        <f t="shared" ref="AE457" si="809">+AA457/BW457</f>
        <v>1338.7879464285713</v>
      </c>
      <c r="AF457" s="50"/>
      <c r="AG457" s="33">
        <f t="shared" ref="AG457" si="810">SUM(W451:W457)</f>
        <v>2718</v>
      </c>
      <c r="AH457" s="33">
        <f t="shared" ref="AH457" si="811">SUM(D428:D843)</f>
        <v>1116355166.060914</v>
      </c>
      <c r="AI457" s="213">
        <f t="shared" ref="AI457" si="812">+(AG457-AG450)/AG450</f>
        <v>4.901582400617522E-2</v>
      </c>
      <c r="AJ457" s="50"/>
      <c r="AK457" s="111"/>
      <c r="AL457" s="23">
        <f t="shared" ref="AL457" si="813">+AP457-AP456</f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ref="AR457" si="814">+AL457/AP456</f>
        <v>1.6248620421021509E-3</v>
      </c>
      <c r="AS457" s="25"/>
      <c r="AT457" s="25"/>
      <c r="AU457" s="24"/>
      <c r="AV457" s="298">
        <f t="shared" ref="AV457" si="815">+AP457/H457</f>
        <v>0.83745984520605288</v>
      </c>
      <c r="AW457" s="298"/>
      <c r="AX457" s="24">
        <f t="shared" ref="AX457" si="816">+AP457/BW457</f>
        <v>63169.642857142855</v>
      </c>
      <c r="AY457" s="308"/>
      <c r="AZ457" s="111"/>
      <c r="BA457" s="65">
        <f t="shared" ref="BA457" si="817">+BC457-BC456</f>
        <v>918719</v>
      </c>
      <c r="BB457" s="66"/>
      <c r="BC457" s="66">
        <v>492000000</v>
      </c>
      <c r="BD457" s="66"/>
      <c r="BE457" s="66">
        <f t="shared" ref="BE457" si="818">+D457</f>
        <v>16764</v>
      </c>
      <c r="BF457" s="66"/>
      <c r="BG457" s="144">
        <f t="shared" ref="BG457" si="819">+BE457/BA457</f>
        <v>1.8247146298269654E-2</v>
      </c>
      <c r="BH457" s="66"/>
      <c r="BI457" s="170"/>
      <c r="BJ457" s="66"/>
      <c r="BK457" s="66">
        <f t="shared" ref="BK457" si="820">SUM(BA451:BA457)</f>
        <v>9609176</v>
      </c>
      <c r="BL457" s="66"/>
      <c r="BM457" s="144">
        <f t="shared" ref="BM457" si="821">+Q457/BK457</f>
        <v>9.5456675993862532E-3</v>
      </c>
      <c r="BN457" s="65">
        <f t="shared" ref="BN457" si="822">+BC457/BW457</f>
        <v>1098214.2857142857</v>
      </c>
      <c r="BO457" s="66"/>
      <c r="BP457" s="66">
        <f t="shared" ref="BP457" si="823">+BP456+BE457</f>
        <v>32885687</v>
      </c>
      <c r="BQ457" s="66"/>
      <c r="BR457" s="435">
        <f t="shared" ref="BR457" si="824">+BP457/BC457</f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424"/>
        <v>44358</v>
      </c>
      <c r="C458" s="61"/>
      <c r="D458" s="17">
        <v>16145</v>
      </c>
      <c r="E458" s="16"/>
      <c r="F458" s="16"/>
      <c r="G458" s="16"/>
      <c r="H458" s="16">
        <f t="shared" ref="H458" si="825">+H457+D458</f>
        <v>33808810</v>
      </c>
      <c r="I458" s="16"/>
      <c r="J458" s="436">
        <f t="shared" ref="J458" si="826">+D458/H457</f>
        <v>4.7776640285695138E-4</v>
      </c>
      <c r="K458" s="16"/>
      <c r="L458" s="16"/>
      <c r="M458" s="16"/>
      <c r="N458" s="16">
        <f t="shared" ref="N458" si="827">SUM(D452:D458)</f>
        <v>90946</v>
      </c>
      <c r="O458" s="16">
        <f t="shared" ref="O458" si="828">+H458/BW458</f>
        <v>75298.017817371932</v>
      </c>
      <c r="P458" s="41"/>
      <c r="Q458" s="17">
        <f t="shared" ref="Q458" si="829">SUM(D452:D458)</f>
        <v>90946</v>
      </c>
      <c r="R458" s="16"/>
      <c r="S458" s="60">
        <f t="shared" ref="S458" si="830">+(Q458-Q451)/Q451</f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ref="Z458" si="831">SUM(W453:W458)</f>
        <v>2231</v>
      </c>
      <c r="AA458" s="33">
        <f t="shared" ref="AA458" si="832">+AA457+W458</f>
        <v>600198</v>
      </c>
      <c r="AB458" s="33"/>
      <c r="AC458" s="46">
        <f t="shared" ref="AC458" si="833">+AA458/H458</f>
        <v>1.7752710018483348E-2</v>
      </c>
      <c r="AD458" s="33"/>
      <c r="AE458" s="33">
        <f t="shared" ref="AE458" si="834">+AA458/BW458</f>
        <v>1336.7438752783964</v>
      </c>
      <c r="AF458" s="50"/>
      <c r="AG458" s="33">
        <f t="shared" ref="AG458" si="835">SUM(W452:W458)</f>
        <v>2619</v>
      </c>
      <c r="AH458" s="33">
        <f t="shared" ref="AH458" si="836">SUM(D429:D844)</f>
        <v>1116319350.060914</v>
      </c>
      <c r="AI458" s="213">
        <f t="shared" ref="AI458" si="837">+(AG458-AG451)/AG451</f>
        <v>5.434782608695652E-2</v>
      </c>
      <c r="AJ458" s="50"/>
      <c r="AK458" s="111"/>
      <c r="AL458" s="23">
        <f t="shared" ref="AL458" si="838">+AP458-AP457</f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ref="AR458" si="839">+AL458/AP457</f>
        <v>1.6368904593639577E-3</v>
      </c>
      <c r="AS458" s="25"/>
      <c r="AT458" s="25"/>
      <c r="AU458" s="24"/>
      <c r="AV458" s="298">
        <f t="shared" ref="AV458" si="840">+AP458/H458</f>
        <v>0.83843010150312891</v>
      </c>
      <c r="AW458" s="298"/>
      <c r="AX458" s="24">
        <f t="shared" ref="AX458" si="841">+AP458/BW458</f>
        <v>63132.124721603563</v>
      </c>
      <c r="AY458" s="308"/>
      <c r="AZ458" s="111"/>
      <c r="BA458" s="65">
        <f t="shared" ref="BA458" si="842">+BC458-BC457</f>
        <v>1246114</v>
      </c>
      <c r="BB458" s="66"/>
      <c r="BC458" s="66">
        <v>493246114</v>
      </c>
      <c r="BD458" s="66"/>
      <c r="BE458" s="66">
        <f t="shared" ref="BE458" si="843">+D458</f>
        <v>16145</v>
      </c>
      <c r="BF458" s="66"/>
      <c r="BG458" s="144">
        <f t="shared" ref="BG458" si="844">+BE458/BA458</f>
        <v>1.2956278478534066E-2</v>
      </c>
      <c r="BH458" s="66"/>
      <c r="BI458" s="170"/>
      <c r="BJ458" s="66"/>
      <c r="BK458" s="66">
        <f t="shared" ref="BK458" si="845">SUM(BA452:BA458)</f>
        <v>9881781</v>
      </c>
      <c r="BL458" s="66"/>
      <c r="BM458" s="144">
        <f t="shared" ref="BM458" si="846">+Q458/BK458</f>
        <v>9.2034016944921165E-3</v>
      </c>
      <c r="BN458" s="65">
        <f t="shared" ref="BN458" si="847">+BC458/BW458</f>
        <v>1098543.6837416482</v>
      </c>
      <c r="BO458" s="66"/>
      <c r="BP458" s="66">
        <f t="shared" ref="BP458" si="848">+BP457+BE458</f>
        <v>32901832</v>
      </c>
      <c r="BQ458" s="66"/>
      <c r="BR458" s="435">
        <f t="shared" ref="BR458" si="849">+BP458/BC458</f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424"/>
        <v>44359</v>
      </c>
      <c r="C459" s="61"/>
      <c r="D459" s="17">
        <v>9427</v>
      </c>
      <c r="E459" s="16"/>
      <c r="F459" s="16"/>
      <c r="G459" s="16"/>
      <c r="H459" s="16">
        <f t="shared" ref="H459" si="850">+H458+D459</f>
        <v>33818237</v>
      </c>
      <c r="I459" s="16"/>
      <c r="J459" s="436">
        <f t="shared" ref="J459" si="851">+D459/H458</f>
        <v>2.7883264746674018E-4</v>
      </c>
      <c r="K459" s="16"/>
      <c r="L459" s="16"/>
      <c r="M459" s="16"/>
      <c r="N459" s="16">
        <f t="shared" ref="N459" si="852">SUM(D453:D459)</f>
        <v>88770</v>
      </c>
      <c r="O459" s="16">
        <f t="shared" ref="O459" si="853">+H459/BW459</f>
        <v>75151.637777777782</v>
      </c>
      <c r="P459" s="41"/>
      <c r="Q459" s="17">
        <f t="shared" ref="Q459" si="854">SUM(D453:D459)</f>
        <v>88770</v>
      </c>
      <c r="R459" s="16"/>
      <c r="S459" s="60">
        <f t="shared" ref="S459" si="855">+(Q459-Q452)/Q452</f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ref="Z459" si="856">SUM(W454:W459)</f>
        <v>2375</v>
      </c>
      <c r="AA459" s="33">
        <f t="shared" ref="AA459" si="857">+AA458+W459</f>
        <v>600506</v>
      </c>
      <c r="AB459" s="33"/>
      <c r="AC459" s="46">
        <f t="shared" ref="AC459" si="858">+AA459/H459</f>
        <v>1.7756868875216648E-2</v>
      </c>
      <c r="AD459" s="33"/>
      <c r="AE459" s="33">
        <f t="shared" ref="AE459" si="859">+AA459/BW459</f>
        <v>1334.4577777777777</v>
      </c>
      <c r="AF459" s="50"/>
      <c r="AG459" s="33">
        <f t="shared" ref="AG459" si="860">SUM(W453:W459)</f>
        <v>2539</v>
      </c>
      <c r="AH459" s="33">
        <f t="shared" ref="AH459" si="861">SUM(D430:D845)</f>
        <v>1116279525.060914</v>
      </c>
      <c r="AI459" s="213">
        <f t="shared" ref="AI459" si="862">+(AG459-AG452)/AG452</f>
        <v>6.7406819984139575E-3</v>
      </c>
      <c r="AJ459" s="50"/>
      <c r="AK459" s="111"/>
      <c r="AL459" s="23">
        <f t="shared" ref="AL459" si="863">+AP459-AP458</f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ref="AR459" si="864">+AL459/AP458</f>
        <v>1.2452761070535989E-3</v>
      </c>
      <c r="AS459" s="25"/>
      <c r="AT459" s="25"/>
      <c r="AU459" s="24"/>
      <c r="AV459" s="298">
        <f t="shared" ref="AV459" si="865">+AP459/H459</f>
        <v>0.83924017091724801</v>
      </c>
      <c r="AW459" s="298"/>
      <c r="AX459" s="24">
        <f t="shared" ref="AX459" si="866">+AP459/BW459</f>
        <v>63070.273333333331</v>
      </c>
      <c r="AY459" s="308"/>
      <c r="AZ459" s="111"/>
      <c r="BA459" s="65">
        <f t="shared" ref="BA459" si="867">+BC459-BC458</f>
        <v>648739</v>
      </c>
      <c r="BB459" s="66"/>
      <c r="BC459" s="66">
        <v>493894853</v>
      </c>
      <c r="BD459" s="66"/>
      <c r="BE459" s="66">
        <f t="shared" ref="BE459" si="868">+D459</f>
        <v>9427</v>
      </c>
      <c r="BF459" s="66"/>
      <c r="BG459" s="144">
        <f t="shared" ref="BG459" si="869">+BE459/BA459</f>
        <v>1.4531267582186364E-2</v>
      </c>
      <c r="BH459" s="66"/>
      <c r="BI459" s="170"/>
      <c r="BJ459" s="66"/>
      <c r="BK459" s="66">
        <f t="shared" ref="BK459" si="870">SUM(BA453:BA459)</f>
        <v>7608644</v>
      </c>
      <c r="BL459" s="66"/>
      <c r="BM459" s="144">
        <f t="shared" ref="BM459" si="871">+Q459/BK459</f>
        <v>1.1666993487932936E-2</v>
      </c>
      <c r="BN459" s="65">
        <f t="shared" ref="BN459" si="872">+BC459/BW459</f>
        <v>1097544.1177777778</v>
      </c>
      <c r="BO459" s="66"/>
      <c r="BP459" s="66">
        <f t="shared" ref="BP459" si="873">+BP458+BE459</f>
        <v>32911259</v>
      </c>
      <c r="BQ459" s="66"/>
      <c r="BR459" s="435">
        <f t="shared" ref="BR459" si="874">+BP459/BC459</f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424"/>
        <v>44360</v>
      </c>
      <c r="C460" s="61"/>
      <c r="D460" s="17">
        <v>5285</v>
      </c>
      <c r="E460" s="16"/>
      <c r="F460" s="16"/>
      <c r="G460" s="16"/>
      <c r="H460" s="16">
        <f t="shared" ref="H460" si="875">+H459+D460</f>
        <v>33823522</v>
      </c>
      <c r="I460" s="16"/>
      <c r="J460" s="436">
        <f t="shared" ref="J460" si="876">+D460/H459</f>
        <v>1.5627662672066555E-4</v>
      </c>
      <c r="K460" s="16"/>
      <c r="L460" s="16"/>
      <c r="M460" s="16"/>
      <c r="N460" s="16">
        <f t="shared" ref="N460" si="877">SUM(D454:D460)</f>
        <v>87647</v>
      </c>
      <c r="O460" s="16">
        <f t="shared" ref="O460" si="878">+H460/BW460</f>
        <v>74996.722838137473</v>
      </c>
      <c r="P460" s="41"/>
      <c r="Q460" s="17">
        <f t="shared" ref="Q460" si="879">SUM(D454:D460)</f>
        <v>87647</v>
      </c>
      <c r="R460" s="16"/>
      <c r="S460" s="60">
        <f t="shared" ref="S460" si="880">+(Q460-Q453)/Q453</f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ref="Z460" si="881">SUM(W455:W460)</f>
        <v>2163</v>
      </c>
      <c r="AA460" s="33">
        <f t="shared" ref="AA460" si="882">+AA459+W460</f>
        <v>600606</v>
      </c>
      <c r="AB460" s="33"/>
      <c r="AC460" s="46">
        <f t="shared" ref="AC460" si="883">+AA460/H460</f>
        <v>1.7757050847632013E-2</v>
      </c>
      <c r="AD460" s="33"/>
      <c r="AE460" s="33">
        <f t="shared" ref="AE460" si="884">+AA460/BW460</f>
        <v>1331.7206208425721</v>
      </c>
      <c r="AF460" s="50"/>
      <c r="AG460" s="33">
        <f t="shared" ref="AG460" si="885">SUM(W454:W460)</f>
        <v>2475</v>
      </c>
      <c r="AH460" s="33">
        <f t="shared" ref="AH460" si="886">SUM(D431:D846)</f>
        <v>1116240430.060914</v>
      </c>
      <c r="AI460" s="213">
        <f t="shared" ref="AI460" si="887">+(AG460-AG453)/AG453</f>
        <v>-3.3957845433255272E-2</v>
      </c>
      <c r="AJ460" s="50"/>
      <c r="AK460" s="111"/>
      <c r="AL460" s="23">
        <f t="shared" ref="AL460" si="888">+AP460-AP459</f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ref="AR460" si="889">+AL460/AP459</f>
        <v>6.5214734196138114E-4</v>
      </c>
      <c r="AS460" s="25"/>
      <c r="AT460" s="25"/>
      <c r="AU460" s="24"/>
      <c r="AV460" s="298">
        <f t="shared" ref="AV460" si="890">+AP460/H460</f>
        <v>0.83965626051598052</v>
      </c>
      <c r="AW460" s="298"/>
      <c r="AX460" s="24">
        <f t="shared" ref="AX460" si="891">+AP460/BW460</f>
        <v>62971.467849223947</v>
      </c>
      <c r="AY460" s="308"/>
      <c r="AZ460" s="111"/>
      <c r="BA460" s="65">
        <f t="shared" ref="BA460" si="892">+BC460-BC459</f>
        <v>454808</v>
      </c>
      <c r="BB460" s="66"/>
      <c r="BC460" s="66">
        <v>494349661</v>
      </c>
      <c r="BD460" s="66"/>
      <c r="BE460" s="66">
        <f t="shared" ref="BE460" si="893">+D460</f>
        <v>5285</v>
      </c>
      <c r="BF460" s="66"/>
      <c r="BG460" s="144">
        <f t="shared" ref="BG460" si="894">+BE460/BA460</f>
        <v>1.1620288121580976E-2</v>
      </c>
      <c r="BH460" s="66"/>
      <c r="BI460" s="170"/>
      <c r="BJ460" s="66"/>
      <c r="BK460" s="66">
        <f t="shared" ref="BK460" si="895">SUM(BA454:BA460)</f>
        <v>7480711</v>
      </c>
      <c r="BL460" s="66"/>
      <c r="BM460" s="144">
        <f t="shared" ref="BM460" si="896">+Q460/BK460</f>
        <v>1.1716399684468495E-2</v>
      </c>
      <c r="BN460" s="65">
        <f t="shared" ref="BN460" si="897">+BC460/BW460</f>
        <v>1096118.9822616407</v>
      </c>
      <c r="BO460" s="66"/>
      <c r="BP460" s="66">
        <f t="shared" ref="BP460" si="898">+BP459+BE460</f>
        <v>32916544</v>
      </c>
      <c r="BQ460" s="66"/>
      <c r="BR460" s="435">
        <f t="shared" ref="BR460" si="899">+BP460/BC460</f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424"/>
        <v>44361</v>
      </c>
      <c r="C461" s="61"/>
      <c r="D461" s="17">
        <v>11521</v>
      </c>
      <c r="E461" s="16"/>
      <c r="F461" s="16"/>
      <c r="G461" s="16"/>
      <c r="H461" s="16">
        <f t="shared" ref="H461" si="900">+H460+D461</f>
        <v>33835043</v>
      </c>
      <c r="I461" s="16"/>
      <c r="J461" s="436">
        <f t="shared" ref="J461" si="901">+D461/H460</f>
        <v>3.4062094420563298E-4</v>
      </c>
      <c r="K461" s="16"/>
      <c r="L461" s="16"/>
      <c r="M461" s="16"/>
      <c r="N461" s="16">
        <f t="shared" ref="N461" si="902">SUM(D455:D461)</f>
        <v>86885</v>
      </c>
      <c r="O461" s="16">
        <f t="shared" ref="O461" si="903">+H461/BW461</f>
        <v>74856.289823008847</v>
      </c>
      <c r="P461" s="41"/>
      <c r="Q461" s="17">
        <f t="shared" ref="Q461" si="904">SUM(D455:D461)</f>
        <v>86885</v>
      </c>
      <c r="R461" s="16"/>
      <c r="S461" s="60">
        <f t="shared" ref="S461" si="905">+(Q461-Q454)/Q454</f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ref="Z461" si="906">SUM(W456:W461)</f>
        <v>2014</v>
      </c>
      <c r="AA461" s="33">
        <f t="shared" ref="AA461" si="907">+AA460+W461</f>
        <v>600858</v>
      </c>
      <c r="AB461" s="33"/>
      <c r="AC461" s="46">
        <f t="shared" ref="AC461" si="908">+AA461/H461</f>
        <v>1.7758452383228832E-2</v>
      </c>
      <c r="AD461" s="33"/>
      <c r="AE461" s="33">
        <f t="shared" ref="AE461" si="909">+AA461/BW461</f>
        <v>1329.3318584070796</v>
      </c>
      <c r="AF461" s="50"/>
      <c r="AG461" s="33">
        <f t="shared" ref="AG461" si="910">SUM(W455:W461)</f>
        <v>2415</v>
      </c>
      <c r="AH461" s="33">
        <f t="shared" ref="AH461" si="911">SUM(D432:D847)</f>
        <v>1116214788.060914</v>
      </c>
      <c r="AI461" s="213">
        <f t="shared" ref="AI461" si="912">+(AG461-AG454)/AG454</f>
        <v>-0.12468285610728524</v>
      </c>
      <c r="AJ461" s="50"/>
      <c r="AK461" s="111"/>
      <c r="AL461" s="23">
        <f t="shared" ref="AL461" si="913">+AP461-AP460</f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ref="AR461" si="914">+AL461/AP460</f>
        <v>5.1461732642651093E-3</v>
      </c>
      <c r="AS461" s="25"/>
      <c r="AT461" s="25"/>
      <c r="AU461" s="24"/>
      <c r="AV461" s="298">
        <f t="shared" ref="AV461" si="915">+AP461/H461</f>
        <v>0.84368989866512067</v>
      </c>
      <c r="AW461" s="298"/>
      <c r="AX461" s="24">
        <f t="shared" ref="AX461" si="916">+AP461/BW461</f>
        <v>63155.495575221241</v>
      </c>
      <c r="AY461" s="308"/>
      <c r="AZ461" s="111"/>
      <c r="BA461" s="65">
        <f t="shared" ref="BA461" si="917">+BC461-BC460</f>
        <v>1054127</v>
      </c>
      <c r="BB461" s="66"/>
      <c r="BC461" s="66">
        <v>495403788</v>
      </c>
      <c r="BD461" s="66"/>
      <c r="BE461" s="66">
        <f t="shared" ref="BE461" si="918">+D461</f>
        <v>11521</v>
      </c>
      <c r="BF461" s="66"/>
      <c r="BG461" s="144">
        <f t="shared" ref="BG461" si="919">+BE461/BA461</f>
        <v>1.0929423115051603E-2</v>
      </c>
      <c r="BH461" s="66"/>
      <c r="BI461" s="170"/>
      <c r="BJ461" s="66"/>
      <c r="BK461" s="66">
        <f t="shared" ref="BK461" si="920">SUM(BA455:BA461)</f>
        <v>5670180</v>
      </c>
      <c r="BL461" s="66"/>
      <c r="BM461" s="144">
        <f t="shared" ref="BM461" si="921">+Q461/BK461</f>
        <v>1.5323146707864653E-2</v>
      </c>
      <c r="BN461" s="65">
        <f t="shared" ref="BN461" si="922">+BC461/BW461</f>
        <v>1096026.0796460176</v>
      </c>
      <c r="BO461" s="66"/>
      <c r="BP461" s="66">
        <f t="shared" ref="BP461" si="923">+BP460+BE461</f>
        <v>32928065</v>
      </c>
      <c r="BQ461" s="66"/>
      <c r="BR461" s="435">
        <f t="shared" ref="BR461" si="924">+BP461/BC461</f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424"/>
        <v>44362</v>
      </c>
      <c r="C462" s="61"/>
      <c r="D462" s="17">
        <v>12580</v>
      </c>
      <c r="E462" s="16"/>
      <c r="F462" s="16"/>
      <c r="G462" s="16"/>
      <c r="H462" s="16">
        <f t="shared" ref="H462" si="925">+H461+D462</f>
        <v>33847623</v>
      </c>
      <c r="I462" s="16"/>
      <c r="J462" s="436">
        <f t="shared" ref="J462" si="926">+D462/H461</f>
        <v>3.7180387209793112E-4</v>
      </c>
      <c r="K462" s="16"/>
      <c r="L462" s="16"/>
      <c r="M462" s="16"/>
      <c r="N462" s="16">
        <f t="shared" ref="N462" si="927">SUM(D456:D462)</f>
        <v>85923</v>
      </c>
      <c r="O462" s="16">
        <f t="shared" ref="O462" si="928">+H462/BW462</f>
        <v>74718.814569536422</v>
      </c>
      <c r="P462" s="41"/>
      <c r="Q462" s="17">
        <f t="shared" ref="Q462" si="929">SUM(D456:D462)</f>
        <v>85923</v>
      </c>
      <c r="R462" s="16"/>
      <c r="S462" s="60">
        <f t="shared" ref="S462" si="930">+(Q462-Q455)/Q455</f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ref="Z462" si="931">SUM(W457:W462)</f>
        <v>1915</v>
      </c>
      <c r="AA462" s="33">
        <f t="shared" ref="AA462" si="932">+AA461+W462</f>
        <v>601211</v>
      </c>
      <c r="AB462" s="33"/>
      <c r="AC462" s="46">
        <f t="shared" ref="AC462" si="933">+AA462/H462</f>
        <v>1.7762281268613751E-2</v>
      </c>
      <c r="AD462" s="33"/>
      <c r="AE462" s="33">
        <f t="shared" ref="AE462" si="934">+AA462/BW462</f>
        <v>1327.176600441501</v>
      </c>
      <c r="AF462" s="50"/>
      <c r="AG462" s="33">
        <f t="shared" ref="AG462" si="935">SUM(W456:W462)</f>
        <v>2367</v>
      </c>
      <c r="AH462" s="33">
        <f t="shared" ref="AH462" si="936">SUM(D433:D848)</f>
        <v>1116196954.060914</v>
      </c>
      <c r="AI462" s="213">
        <f t="shared" ref="AI462" si="937">+(AG462-AG455)/AG455</f>
        <v>-0.17612252001392273</v>
      </c>
      <c r="AJ462" s="50"/>
      <c r="AK462" s="111"/>
      <c r="AL462" s="23">
        <f t="shared" ref="AL462" si="938">+AP462-AP461</f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ref="AR462" si="939">+AL462/AP461</f>
        <v>1.1355943911999194E-3</v>
      </c>
      <c r="AS462" s="25"/>
      <c r="AT462" s="25"/>
      <c r="AU462" s="24"/>
      <c r="AV462" s="298">
        <f t="shared" ref="AV462" si="940">+AP462/H462</f>
        <v>0.84433406150854373</v>
      </c>
      <c r="AW462" s="298"/>
      <c r="AX462" s="24">
        <f t="shared" ref="AX462" si="941">+AP462/BW462</f>
        <v>63087.640176600442</v>
      </c>
      <c r="AY462" s="308"/>
      <c r="AZ462" s="111"/>
      <c r="BA462" s="65">
        <f t="shared" ref="BA462" si="942">+BC462-BC461</f>
        <v>613617</v>
      </c>
      <c r="BB462" s="66"/>
      <c r="BC462" s="66">
        <v>496017405</v>
      </c>
      <c r="BD462" s="66"/>
      <c r="BE462" s="66">
        <f t="shared" ref="BE462" si="943">+D462</f>
        <v>12580</v>
      </c>
      <c r="BF462" s="66"/>
      <c r="BG462" s="144">
        <f t="shared" ref="BG462" si="944">+BE462/BA462</f>
        <v>2.0501387673418435E-2</v>
      </c>
      <c r="BH462" s="66"/>
      <c r="BI462" s="170"/>
      <c r="BJ462" s="66"/>
      <c r="BK462" s="66">
        <f t="shared" ref="BK462" si="945">SUM(BA456:BA462)</f>
        <v>5694671</v>
      </c>
      <c r="BL462" s="66"/>
      <c r="BM462" s="144">
        <f t="shared" ref="BM462" si="946">+Q462/BK462</f>
        <v>1.5088316778967565E-2</v>
      </c>
      <c r="BN462" s="65">
        <f t="shared" ref="BN462" si="947">+BC462/BW462</f>
        <v>1094961.1589403974</v>
      </c>
      <c r="BO462" s="66"/>
      <c r="BP462" s="66">
        <f t="shared" ref="BP462" si="948">+BP461+BE462</f>
        <v>32940645</v>
      </c>
      <c r="BQ462" s="66"/>
      <c r="BR462" s="435">
        <f t="shared" ref="BR462" si="949">+BP462/BC462</f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424"/>
        <v>44363</v>
      </c>
      <c r="C463" s="61"/>
      <c r="D463" s="17">
        <v>14063</v>
      </c>
      <c r="E463" s="16"/>
      <c r="F463" s="16"/>
      <c r="G463" s="16"/>
      <c r="H463" s="16">
        <f t="shared" ref="H463" si="950">+H462+D463</f>
        <v>33861686</v>
      </c>
      <c r="I463" s="16"/>
      <c r="J463" s="436">
        <f t="shared" ref="J463" si="951">+D463/H462</f>
        <v>4.1547969262125143E-4</v>
      </c>
      <c r="K463" s="16"/>
      <c r="L463" s="16"/>
      <c r="M463" s="16"/>
      <c r="N463" s="16">
        <f t="shared" ref="N463" si="952">SUM(D457:D463)</f>
        <v>85785</v>
      </c>
      <c r="O463" s="16">
        <f t="shared" ref="O463" si="953">+H463/BW463</f>
        <v>74585.211453744487</v>
      </c>
      <c r="P463" s="41"/>
      <c r="Q463" s="17">
        <f t="shared" ref="Q463" si="954">SUM(D457:D463)</f>
        <v>85785</v>
      </c>
      <c r="R463" s="16"/>
      <c r="S463" s="60">
        <f t="shared" ref="S463" si="955">+(Q463-Q456)/Q456</f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ref="Z463" si="956">SUM(W458:W463)</f>
        <v>1868</v>
      </c>
      <c r="AA463" s="33">
        <f t="shared" ref="AA463" si="957">+AA462+W463</f>
        <v>601645</v>
      </c>
      <c r="AB463" s="33"/>
      <c r="AC463" s="46">
        <f t="shared" ref="AC463" si="958">+AA463/H463</f>
        <v>1.7767721311927588E-2</v>
      </c>
      <c r="AD463" s="33"/>
      <c r="AE463" s="33">
        <f t="shared" ref="AE463" si="959">+AA463/BW463</f>
        <v>1325.2092511013216</v>
      </c>
      <c r="AF463" s="50"/>
      <c r="AG463" s="33">
        <f t="shared" ref="AG463" si="960">SUM(W457:W463)</f>
        <v>2349</v>
      </c>
      <c r="AH463" s="33">
        <f t="shared" ref="AH463" si="961">SUM(D434:D849)</f>
        <v>1116171924.060914</v>
      </c>
      <c r="AI463" s="213">
        <f t="shared" ref="AI463" si="962">+(AG463-AG456)/AG456</f>
        <v>-0.16435432230522945</v>
      </c>
      <c r="AJ463" s="50"/>
      <c r="AK463" s="111"/>
      <c r="AL463" s="23">
        <f t="shared" ref="AL463" si="963">+AP463-AP462</f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ref="AR463" si="964">+AL463/AP462</f>
        <v>1.3224533893265477E-3</v>
      </c>
      <c r="AS463" s="25"/>
      <c r="AT463" s="25"/>
      <c r="AU463" s="24"/>
      <c r="AV463" s="298">
        <f t="shared" ref="AV463" si="965">+AP463/H463</f>
        <v>0.84509953225601353</v>
      </c>
      <c r="AW463" s="298"/>
      <c r="AX463" s="24">
        <f t="shared" ref="AX463" si="966">+AP463/BW463</f>
        <v>63031.927312775333</v>
      </c>
      <c r="AY463" s="308"/>
      <c r="AZ463" s="111"/>
      <c r="BA463" s="65">
        <f t="shared" ref="BA463" si="967">+BC463-BC462</f>
        <v>607828</v>
      </c>
      <c r="BB463" s="66"/>
      <c r="BC463" s="66">
        <v>496625233</v>
      </c>
      <c r="BD463" s="66"/>
      <c r="BE463" s="66">
        <f t="shared" ref="BE463" si="968">+D463</f>
        <v>14063</v>
      </c>
      <c r="BF463" s="66"/>
      <c r="BG463" s="144">
        <f t="shared" ref="BG463" si="969">+BE463/BA463</f>
        <v>2.3136479398777287E-2</v>
      </c>
      <c r="BH463" s="66"/>
      <c r="BI463" s="170"/>
      <c r="BJ463" s="66"/>
      <c r="BK463" s="66">
        <f t="shared" ref="BK463" si="970">SUM(BA457:BA463)</f>
        <v>5543952</v>
      </c>
      <c r="BL463" s="66"/>
      <c r="BM463" s="144">
        <f t="shared" ref="BM463" si="971">+Q463/BK463</f>
        <v>1.5473618819210557E-2</v>
      </c>
      <c r="BN463" s="65">
        <f t="shared" ref="BN463" si="972">+BC463/BW463</f>
        <v>1093888.1784140968</v>
      </c>
      <c r="BO463" s="66"/>
      <c r="BP463" s="66">
        <f t="shared" ref="BP463" si="973">+BP462+BE463</f>
        <v>32954708</v>
      </c>
      <c r="BQ463" s="66"/>
      <c r="BR463" s="435">
        <f t="shared" ref="BR463" si="974">+BP463/BC463</f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424"/>
        <v>44364</v>
      </c>
      <c r="C464" s="61"/>
      <c r="D464" s="17">
        <v>13733</v>
      </c>
      <c r="E464" s="16"/>
      <c r="F464" s="16"/>
      <c r="G464" s="16"/>
      <c r="H464" s="16">
        <f t="shared" ref="H464" si="975">+H463+D464</f>
        <v>33875419</v>
      </c>
      <c r="I464" s="16"/>
      <c r="J464" s="436">
        <f t="shared" ref="J464" si="976">+D464/H463</f>
        <v>4.0556161320496562E-4</v>
      </c>
      <c r="K464" s="16"/>
      <c r="L464" s="16"/>
      <c r="M464" s="16"/>
      <c r="N464" s="16">
        <f t="shared" ref="N464" si="977">SUM(D458:D464)</f>
        <v>82754</v>
      </c>
      <c r="O464" s="16">
        <f t="shared" ref="O464" si="978">+H464/BW464</f>
        <v>74451.470329670323</v>
      </c>
      <c r="P464" s="41"/>
      <c r="Q464" s="17">
        <f t="shared" ref="Q464" si="979">SUM(D458:D464)</f>
        <v>82754</v>
      </c>
      <c r="R464" s="16"/>
      <c r="S464" s="60">
        <f t="shared" ref="S464" si="980">+(Q464-Q457)/Q457</f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ref="Z464" si="981">SUM(W459:W464)</f>
        <v>1822</v>
      </c>
      <c r="AA464" s="33">
        <f t="shared" ref="AA464" si="982">+AA463+W464</f>
        <v>602020</v>
      </c>
      <c r="AB464" s="33"/>
      <c r="AC464" s="46">
        <f t="shared" ref="AC464" si="983">+AA464/H464</f>
        <v>1.7771588301239906E-2</v>
      </c>
      <c r="AD464" s="33"/>
      <c r="AE464" s="33">
        <f t="shared" ref="AE464" si="984">+AA464/BW464</f>
        <v>1323.1208791208792</v>
      </c>
      <c r="AF464" s="50"/>
      <c r="AG464" s="33">
        <f t="shared" ref="AG464" si="985">SUM(W458:W464)</f>
        <v>2243</v>
      </c>
      <c r="AH464" s="33">
        <f t="shared" ref="AH464" si="986">SUM(D435:D850)</f>
        <v>1116144418.060914</v>
      </c>
      <c r="AI464" s="213">
        <f t="shared" ref="AI464" si="987">+(AG464-AG457)/AG457</f>
        <v>-0.17476085356880058</v>
      </c>
      <c r="AJ464" s="50"/>
      <c r="AK464" s="111"/>
      <c r="AL464" s="23">
        <f t="shared" ref="AL464" si="988">+AP464-AP463</f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ref="AR464" si="989">+AL464/AP463</f>
        <v>1.0241645596359723E-3</v>
      </c>
      <c r="AS464" s="25"/>
      <c r="AT464" s="25"/>
      <c r="AU464" s="24"/>
      <c r="AV464" s="298">
        <f t="shared" ref="AV464" si="990">+AP464/H464</f>
        <v>0.84562210138271643</v>
      </c>
      <c r="AW464" s="298"/>
      <c r="AX464" s="24">
        <f t="shared" ref="AX464" si="991">+AP464/BW464</f>
        <v>62957.808791208794</v>
      </c>
      <c r="AY464" s="308"/>
      <c r="AZ464" s="111"/>
      <c r="BA464" s="65">
        <f t="shared" ref="BA464" si="992">+BC464-BC463</f>
        <v>784478</v>
      </c>
      <c r="BB464" s="66"/>
      <c r="BC464" s="66">
        <v>497409711</v>
      </c>
      <c r="BD464" s="66"/>
      <c r="BE464" s="66">
        <f t="shared" ref="BE464" si="993">+D464</f>
        <v>13733</v>
      </c>
      <c r="BF464" s="66"/>
      <c r="BG464" s="144">
        <f t="shared" ref="BG464" si="994">+BE464/BA464</f>
        <v>1.750590838748824E-2</v>
      </c>
      <c r="BH464" s="66"/>
      <c r="BI464" s="170"/>
      <c r="BJ464" s="66"/>
      <c r="BK464" s="66">
        <f t="shared" ref="BK464" si="995">SUM(BA458:BA464)</f>
        <v>5409711</v>
      </c>
      <c r="BL464" s="66"/>
      <c r="BM464" s="144">
        <f t="shared" ref="BM464" si="996">+Q464/BK464</f>
        <v>1.5297305161033557E-2</v>
      </c>
      <c r="BN464" s="65">
        <f t="shared" ref="BN464" si="997">+BC464/BW464</f>
        <v>1093208.1560439561</v>
      </c>
      <c r="BO464" s="66"/>
      <c r="BP464" s="66">
        <f t="shared" ref="BP464" si="998">+BP463+BE464</f>
        <v>32968441</v>
      </c>
      <c r="BQ464" s="66"/>
      <c r="BR464" s="435">
        <f t="shared" ref="BR464" si="999">+BP464/BC464</f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424"/>
        <v>44365</v>
      </c>
      <c r="C465" s="61"/>
      <c r="D465" s="17">
        <v>13389</v>
      </c>
      <c r="E465" s="16"/>
      <c r="F465" s="16"/>
      <c r="G465" s="16"/>
      <c r="H465" s="16">
        <f t="shared" ref="H465" si="1000">+H464+D465</f>
        <v>33888808</v>
      </c>
      <c r="I465" s="16"/>
      <c r="J465" s="436">
        <f t="shared" ref="J465" si="1001">+D465/H464</f>
        <v>3.952423437183168E-4</v>
      </c>
      <c r="K465" s="16"/>
      <c r="L465" s="16"/>
      <c r="M465" s="16"/>
      <c r="N465" s="16">
        <f t="shared" ref="N465" si="1002">SUM(D459:D465)</f>
        <v>79998</v>
      </c>
      <c r="O465" s="16">
        <f t="shared" ref="O465" si="1003">+H465/BW465</f>
        <v>74317.561403508778</v>
      </c>
      <c r="P465" s="41"/>
      <c r="Q465" s="17">
        <f t="shared" ref="Q465" si="1004">SUM(D459:D465)</f>
        <v>79998</v>
      </c>
      <c r="R465" s="16"/>
      <c r="S465" s="60">
        <f t="shared" ref="S465" si="1005">+(Q465-Q458)/Q458</f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ref="Z465" si="1006">SUM(W460:W465)</f>
        <v>1907</v>
      </c>
      <c r="AA465" s="33">
        <f t="shared" ref="AA465" si="1007">+AA464+W465</f>
        <v>602413</v>
      </c>
      <c r="AB465" s="33"/>
      <c r="AC465" s="46">
        <f t="shared" ref="AC465" si="1008">+AA465/H465</f>
        <v>1.7776163741138374E-2</v>
      </c>
      <c r="AD465" s="33"/>
      <c r="AE465" s="33">
        <f t="shared" ref="AE465" si="1009">+AA465/BW465</f>
        <v>1321.0811403508771</v>
      </c>
      <c r="AF465" s="50"/>
      <c r="AG465" s="33">
        <f t="shared" ref="AG465" si="1010">SUM(W459:W465)</f>
        <v>2215</v>
      </c>
      <c r="AH465" s="33">
        <f t="shared" ref="AH465" si="1011">SUM(D436:D851)</f>
        <v>1116115877.060914</v>
      </c>
      <c r="AI465" s="213">
        <f t="shared" ref="AI465" si="1012">+(AG465-AG458)/AG458</f>
        <v>-0.15425735013363878</v>
      </c>
      <c r="AJ465" s="50"/>
      <c r="AK465" s="111"/>
      <c r="AL465" s="23">
        <f t="shared" ref="AL465" si="1013">+AP465-AP464</f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ref="AR465" si="1014">+AL465/AP464</f>
        <v>1.0516723863527233E-3</v>
      </c>
      <c r="AS465" s="25"/>
      <c r="AT465" s="25"/>
      <c r="AU465" s="24"/>
      <c r="AV465" s="298">
        <f t="shared" ref="AV465" si="1015">+AP465/H465</f>
        <v>0.8461769738256949</v>
      </c>
      <c r="AW465" s="298"/>
      <c r="AX465" s="24">
        <f t="shared" ref="AX465" si="1016">+AP465/BW465</f>
        <v>62885.809210526313</v>
      </c>
      <c r="AY465" s="308"/>
      <c r="AZ465" s="111"/>
      <c r="BA465" s="65">
        <f t="shared" ref="BA465" si="1017">+BC465-BC464</f>
        <v>820364</v>
      </c>
      <c r="BB465" s="66"/>
      <c r="BC465" s="66">
        <v>498230075</v>
      </c>
      <c r="BD465" s="66"/>
      <c r="BE465" s="66">
        <f t="shared" ref="BE465" si="1018">+D465</f>
        <v>13389</v>
      </c>
      <c r="BF465" s="66"/>
      <c r="BG465" s="144">
        <f t="shared" ref="BG465" si="1019">+BE465/BA465</f>
        <v>1.6320803935813859E-2</v>
      </c>
      <c r="BH465" s="66"/>
      <c r="BI465" s="170"/>
      <c r="BJ465" s="66"/>
      <c r="BK465" s="66">
        <f t="shared" ref="BK465" si="1020">SUM(BA459:BA465)</f>
        <v>4983961</v>
      </c>
      <c r="BL465" s="66"/>
      <c r="BM465" s="144">
        <f t="shared" ref="BM465" si="1021">+Q465/BK465</f>
        <v>1.6051088682275002E-2</v>
      </c>
      <c r="BN465" s="65">
        <f t="shared" ref="BN465" si="1022">+BC465/BW465</f>
        <v>1092609.8135964912</v>
      </c>
      <c r="BO465" s="66"/>
      <c r="BP465" s="66">
        <f t="shared" ref="BP465" si="1023">+BP464+BE465</f>
        <v>32981830</v>
      </c>
      <c r="BQ465" s="66"/>
      <c r="BR465" s="435">
        <f t="shared" ref="BR465" si="1024">+BP465/BC465</f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424"/>
        <v>44366</v>
      </c>
      <c r="C466" s="61"/>
      <c r="D466" s="17">
        <v>7782</v>
      </c>
      <c r="E466" s="16"/>
      <c r="F466" s="16"/>
      <c r="G466" s="16"/>
      <c r="H466" s="16">
        <f t="shared" ref="H466" si="1025">+H465+D466</f>
        <v>33896590</v>
      </c>
      <c r="I466" s="16"/>
      <c r="J466" s="436">
        <f t="shared" ref="J466" si="1026">+D466/H465</f>
        <v>2.2963333499366516E-4</v>
      </c>
      <c r="K466" s="16"/>
      <c r="L466" s="16"/>
      <c r="M466" s="16"/>
      <c r="N466" s="16">
        <f t="shared" ref="N466" si="1027">SUM(D460:D466)</f>
        <v>78353</v>
      </c>
      <c r="O466" s="16">
        <f t="shared" ref="O466" si="1028">+H466/BW466</f>
        <v>74171.969365426703</v>
      </c>
      <c r="P466" s="41"/>
      <c r="Q466" s="17">
        <f t="shared" ref="Q466" si="1029">SUM(D460:D466)</f>
        <v>78353</v>
      </c>
      <c r="R466" s="16"/>
      <c r="S466" s="60">
        <f t="shared" ref="S466" si="1030">+(Q466-Q459)/Q459</f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ref="Z466" si="1031">SUM(W461:W466)</f>
        <v>1977</v>
      </c>
      <c r="AA466" s="33">
        <f t="shared" ref="AA466" si="1032">+AA465+W466</f>
        <v>602583</v>
      </c>
      <c r="AB466" s="33"/>
      <c r="AC466" s="46">
        <f t="shared" ref="AC466" si="1033">+AA466/H466</f>
        <v>1.7777097932269881E-2</v>
      </c>
      <c r="AD466" s="33"/>
      <c r="AE466" s="33">
        <f t="shared" ref="AE466" si="1034">+AA466/BW466</f>
        <v>1318.562363238512</v>
      </c>
      <c r="AF466" s="50"/>
      <c r="AG466" s="33">
        <f t="shared" ref="AG466" si="1035">SUM(W460:W466)</f>
        <v>2077</v>
      </c>
      <c r="AH466" s="33">
        <f t="shared" ref="AH466" si="1036">SUM(D437:D852)</f>
        <v>1116085663.060914</v>
      </c>
      <c r="AI466" s="213">
        <f t="shared" ref="AI466" si="1037">+(AG466-AG459)/AG459</f>
        <v>-0.18196140212682158</v>
      </c>
      <c r="AJ466" s="50"/>
      <c r="AK466" s="111"/>
      <c r="AL466" s="23">
        <f t="shared" ref="AL466" si="1038">+AP466-AP465</f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ref="AR466" si="1039">+AL466/AP465</f>
        <v>6.5957758508887368E-4</v>
      </c>
      <c r="AS466" s="25"/>
      <c r="AT466" s="25"/>
      <c r="AU466" s="24"/>
      <c r="AV466" s="298">
        <f t="shared" ref="AV466" si="1040">+AP466/H466</f>
        <v>0.84654069922667741</v>
      </c>
      <c r="AW466" s="298"/>
      <c r="AX466" s="24">
        <f t="shared" ref="AX466" si="1041">+AP466/BW466</f>
        <v>62789.590809628011</v>
      </c>
      <c r="AY466" s="308"/>
      <c r="AZ466" s="111"/>
      <c r="BA466" s="65">
        <f t="shared" ref="BA466" si="1042">+BC466-BC465</f>
        <v>459136</v>
      </c>
      <c r="BB466" s="66"/>
      <c r="BC466" s="66">
        <v>498689211</v>
      </c>
      <c r="BD466" s="66"/>
      <c r="BE466" s="66">
        <f t="shared" ref="BE466" si="1043">+D466</f>
        <v>7782</v>
      </c>
      <c r="BF466" s="66"/>
      <c r="BG466" s="144">
        <f t="shared" ref="BG466" si="1044">+BE466/BA466</f>
        <v>1.6949226373013659E-2</v>
      </c>
      <c r="BH466" s="66"/>
      <c r="BI466" s="170"/>
      <c r="BJ466" s="66"/>
      <c r="BK466" s="66">
        <f t="shared" ref="BK466" si="1045">SUM(BA460:BA466)</f>
        <v>4794358</v>
      </c>
      <c r="BL466" s="66"/>
      <c r="BM466" s="144">
        <f t="shared" ref="BM466" si="1046">+Q466/BK466</f>
        <v>1.6342751208816696E-2</v>
      </c>
      <c r="BN466" s="65">
        <f t="shared" ref="BN466" si="1047">+BC466/BW466</f>
        <v>1091223.6564551422</v>
      </c>
      <c r="BO466" s="66"/>
      <c r="BP466" s="66">
        <f t="shared" ref="BP466" si="1048">+BP465+BE466</f>
        <v>32989612</v>
      </c>
      <c r="BQ466" s="66"/>
      <c r="BR466" s="435">
        <f t="shared" ref="BR466" si="1049">+BP466/BC466</f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424"/>
        <v>44367</v>
      </c>
      <c r="C467" s="61"/>
      <c r="D467" s="17">
        <v>4422</v>
      </c>
      <c r="E467" s="16"/>
      <c r="F467" s="16"/>
      <c r="G467" s="16"/>
      <c r="H467" s="16">
        <f t="shared" ref="H467" si="1050">+H466+D467</f>
        <v>33901012</v>
      </c>
      <c r="I467" s="16"/>
      <c r="J467" s="436">
        <f t="shared" ref="J467" si="1051">+D467/H466</f>
        <v>1.3045560040110229E-4</v>
      </c>
      <c r="K467" s="16"/>
      <c r="L467" s="16"/>
      <c r="M467" s="16"/>
      <c r="N467" s="16">
        <f t="shared" ref="N467" si="1052">SUM(D461:D467)</f>
        <v>77490</v>
      </c>
      <c r="O467" s="16">
        <f t="shared" ref="O467" si="1053">+H467/BW467</f>
        <v>74019.676855895203</v>
      </c>
      <c r="P467" s="41"/>
      <c r="Q467" s="17">
        <f t="shared" ref="Q467" si="1054">SUM(D461:D467)</f>
        <v>77490</v>
      </c>
      <c r="R467" s="16"/>
      <c r="S467" s="60">
        <f t="shared" ref="S467" si="1055">+(Q467-Q460)/Q460</f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ref="Z467" si="1056">SUM(W462:W467)</f>
        <v>1811</v>
      </c>
      <c r="AA467" s="33">
        <f t="shared" ref="AA467" si="1057">+AA466+W467</f>
        <v>602669</v>
      </c>
      <c r="AB467" s="33"/>
      <c r="AC467" s="46">
        <f t="shared" ref="AC467" si="1058">+AA467/H467</f>
        <v>1.7777315910215304E-2</v>
      </c>
      <c r="AD467" s="33"/>
      <c r="AE467" s="33">
        <f t="shared" ref="AE467" si="1059">+AA467/BW467</f>
        <v>1315.8711790393013</v>
      </c>
      <c r="AF467" s="50"/>
      <c r="AG467" s="33">
        <f t="shared" ref="AG467" si="1060">SUM(W461:W467)</f>
        <v>2063</v>
      </c>
      <c r="AH467" s="33">
        <f t="shared" ref="AH467" si="1061">SUM(D438:D853)</f>
        <v>1116056649.060914</v>
      </c>
      <c r="AI467" s="213">
        <f t="shared" ref="AI467" si="1062">+(AG467-AG460)/AG460</f>
        <v>-0.16646464646464645</v>
      </c>
      <c r="AJ467" s="50"/>
      <c r="AK467" s="111"/>
      <c r="AL467" s="23">
        <f t="shared" ref="AL467" si="1063">+AP467-AP466</f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ref="AR467" si="1064">+AL467/AP466</f>
        <v>5.7404042949459597E-4</v>
      </c>
      <c r="AS467" s="25"/>
      <c r="AT467" s="25"/>
      <c r="AU467" s="24"/>
      <c r="AV467" s="298">
        <f t="shared" ref="AV467" si="1065">+AP467/H467</f>
        <v>0.84691616285673121</v>
      </c>
      <c r="AW467" s="298"/>
      <c r="AX467" s="24">
        <f t="shared" ref="AX467" si="1066">+AP467/BW467</f>
        <v>62688.46069868996</v>
      </c>
      <c r="AY467" s="308"/>
      <c r="AZ467" s="111"/>
      <c r="BA467" s="65">
        <f t="shared" ref="BA467" si="1067">+BC467-BC466</f>
        <v>372514</v>
      </c>
      <c r="BB467" s="66"/>
      <c r="BC467" s="66">
        <v>499061725</v>
      </c>
      <c r="BD467" s="66"/>
      <c r="BE467" s="66">
        <f t="shared" ref="BE467" si="1068">+D467</f>
        <v>4422</v>
      </c>
      <c r="BF467" s="66"/>
      <c r="BG467" s="144">
        <f t="shared" ref="BG467" si="1069">+BE467/BA467</f>
        <v>1.1870694792678932E-2</v>
      </c>
      <c r="BH467" s="66"/>
      <c r="BI467" s="170"/>
      <c r="BJ467" s="66"/>
      <c r="BK467" s="66">
        <f t="shared" ref="BK467" si="1070">SUM(BA461:BA467)</f>
        <v>4712064</v>
      </c>
      <c r="BL467" s="66"/>
      <c r="BM467" s="144">
        <f t="shared" ref="BM467" si="1071">+Q467/BK467</f>
        <v>1.6445022818026241E-2</v>
      </c>
      <c r="BN467" s="65">
        <f t="shared" ref="BN467" si="1072">+BC467/BW467</f>
        <v>1089654.4213973798</v>
      </c>
      <c r="BO467" s="66"/>
      <c r="BP467" s="66">
        <f t="shared" ref="BP467" si="1073">+BP466+BE467</f>
        <v>32994034</v>
      </c>
      <c r="BQ467" s="66"/>
      <c r="BR467" s="435">
        <f t="shared" ref="BR467" si="1074">+BP467/BC467</f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424"/>
        <v>44368</v>
      </c>
      <c r="C468" s="61"/>
      <c r="D468" s="17">
        <v>9755</v>
      </c>
      <c r="E468" s="16"/>
      <c r="F468" s="16"/>
      <c r="G468" s="16"/>
      <c r="H468" s="16">
        <f t="shared" ref="H468" si="1075">+H467+D468</f>
        <v>33910767</v>
      </c>
      <c r="I468" s="16"/>
      <c r="J468" s="436">
        <f t="shared" ref="J468" si="1076">+D468/H467</f>
        <v>2.8774952204966626E-4</v>
      </c>
      <c r="K468" s="16"/>
      <c r="L468" s="16"/>
      <c r="M468" s="16"/>
      <c r="N468" s="16">
        <f t="shared" ref="N468" si="1077">SUM(D462:D468)</f>
        <v>75724</v>
      </c>
      <c r="O468" s="16">
        <f t="shared" ref="O468" si="1078">+H468/BW468</f>
        <v>73879.666666666672</v>
      </c>
      <c r="P468" s="41"/>
      <c r="Q468" s="17">
        <f t="shared" ref="Q468" si="1079">SUM(D462:D468)</f>
        <v>75724</v>
      </c>
      <c r="R468" s="16"/>
      <c r="S468" s="60">
        <f t="shared" ref="S468" si="1080">+(Q468-Q461)/Q461</f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ref="Z468" si="1081">SUM(W463:W468)</f>
        <v>1695</v>
      </c>
      <c r="AA468" s="33">
        <f t="shared" ref="AA468" si="1082">+AA467+W468</f>
        <v>602906</v>
      </c>
      <c r="AB468" s="33"/>
      <c r="AC468" s="46">
        <f t="shared" ref="AC468" si="1083">+AA468/H468</f>
        <v>1.7779190898277234E-2</v>
      </c>
      <c r="AD468" s="33"/>
      <c r="AE468" s="33">
        <f t="shared" ref="AE468" si="1084">+AA468/BW468</f>
        <v>1313.520697167756</v>
      </c>
      <c r="AF468" s="50"/>
      <c r="AG468" s="33">
        <f t="shared" ref="AG468" si="1085">SUM(W462:W468)</f>
        <v>2048</v>
      </c>
      <c r="AH468" s="33">
        <f t="shared" ref="AH468" si="1086">SUM(D439:D854)</f>
        <v>1116037010.060914</v>
      </c>
      <c r="AI468" s="213">
        <f t="shared" ref="AI468" si="1087">+(AG468-AG461)/AG461</f>
        <v>-0.15196687370600415</v>
      </c>
      <c r="AJ468" s="50"/>
      <c r="AK468" s="111"/>
      <c r="AL468" s="23">
        <f t="shared" ref="AL468" si="1088">+AP468-AP467</f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ref="AR468" si="1089">+AL468/AP467</f>
        <v>2.8150922380253221E-3</v>
      </c>
      <c r="AS468" s="25"/>
      <c r="AT468" s="25"/>
      <c r="AU468" s="24"/>
      <c r="AV468" s="298">
        <f t="shared" ref="AV468" si="1090">+AP468/H468</f>
        <v>0.84905599451643188</v>
      </c>
      <c r="AW468" s="298"/>
      <c r="AX468" s="24">
        <f t="shared" ref="AX468" si="1091">+AP468/BW468</f>
        <v>62727.973856209152</v>
      </c>
      <c r="AY468" s="308"/>
      <c r="AZ468" s="111"/>
      <c r="BA468" s="65">
        <f t="shared" ref="BA468" si="1092">+BC468-BC467</f>
        <v>1247281</v>
      </c>
      <c r="BB468" s="66"/>
      <c r="BC468" s="66">
        <v>500309006</v>
      </c>
      <c r="BD468" s="66"/>
      <c r="BE468" s="66">
        <f t="shared" ref="BE468" si="1093">+D468</f>
        <v>9755</v>
      </c>
      <c r="BF468" s="66"/>
      <c r="BG468" s="144">
        <f t="shared" ref="BG468" si="1094">+BE468/BA468</f>
        <v>7.8210122658807432E-3</v>
      </c>
      <c r="BH468" s="66"/>
      <c r="BI468" s="170"/>
      <c r="BJ468" s="66"/>
      <c r="BK468" s="66">
        <f t="shared" ref="BK468" si="1095">SUM(BA462:BA468)</f>
        <v>4905218</v>
      </c>
      <c r="BL468" s="66"/>
      <c r="BM468" s="144">
        <f t="shared" ref="BM468" si="1096">+Q468/BK468</f>
        <v>1.5437438254528138E-2</v>
      </c>
      <c r="BN468" s="65">
        <f t="shared" ref="BN468" si="1097">+BC468/BW468</f>
        <v>1089997.834422658</v>
      </c>
      <c r="BO468" s="66"/>
      <c r="BP468" s="66">
        <f t="shared" ref="BP468" si="1098">+BP467+BE468</f>
        <v>33003789</v>
      </c>
      <c r="BQ468" s="66"/>
      <c r="BR468" s="435">
        <f t="shared" ref="BR468" si="1099">+BP468/BC468</f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424"/>
        <v>44369</v>
      </c>
      <c r="C469" s="61"/>
      <c r="D469" s="17">
        <v>12874</v>
      </c>
      <c r="E469" s="16"/>
      <c r="F469" s="16"/>
      <c r="G469" s="16"/>
      <c r="H469" s="16">
        <f t="shared" ref="H469" si="1100">+H468+D469</f>
        <v>33923641</v>
      </c>
      <c r="I469" s="16"/>
      <c r="J469" s="436">
        <f t="shared" ref="J469" si="1101">+D469/H468</f>
        <v>3.7964343301347326E-4</v>
      </c>
      <c r="K469" s="16"/>
      <c r="L469" s="16"/>
      <c r="M469" s="16"/>
      <c r="N469" s="16">
        <f t="shared" ref="N469" si="1102">SUM(D463:D469)</f>
        <v>76018</v>
      </c>
      <c r="O469" s="16">
        <f t="shared" ref="O469" si="1103">+H469/BW469</f>
        <v>73747.045652173911</v>
      </c>
      <c r="P469" s="41"/>
      <c r="Q469" s="17">
        <f t="shared" ref="Q469" si="1104">SUM(D463:D469)</f>
        <v>76018</v>
      </c>
      <c r="R469" s="16"/>
      <c r="S469" s="60">
        <f t="shared" ref="S469" si="1105">+(Q469-Q462)/Q462</f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ref="Z469" si="1106">SUM(W464:W469)</f>
        <v>1692</v>
      </c>
      <c r="AA469" s="33">
        <f t="shared" ref="AA469" si="1107">+AA468+W469</f>
        <v>603337</v>
      </c>
      <c r="AB469" s="33"/>
      <c r="AC469" s="46">
        <f t="shared" ref="AC469" si="1108">+AA469/H469</f>
        <v>1.7785148710894566E-2</v>
      </c>
      <c r="AD469" s="33"/>
      <c r="AE469" s="33">
        <f t="shared" ref="AE469" si="1109">+AA469/BW469</f>
        <v>1311.6021739130435</v>
      </c>
      <c r="AF469" s="50"/>
      <c r="AG469" s="33">
        <f t="shared" ref="AG469" si="1110">SUM(W463:W469)</f>
        <v>2126</v>
      </c>
      <c r="AH469" s="33">
        <f t="shared" ref="AH469" si="1111">SUM(D440:D855)</f>
        <v>1116023469.060914</v>
      </c>
      <c r="AI469" s="213">
        <f t="shared" ref="AI469" si="1112">+(AG469-AG462)/AG462</f>
        <v>-0.10181664554288128</v>
      </c>
      <c r="AJ469" s="50"/>
      <c r="AK469" s="111"/>
      <c r="AL469" s="23">
        <f t="shared" ref="AL469" si="1113">+AP469-AP468</f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ref="AR469" si="1114">+AL469/AP468</f>
        <v>1.0292739615742352E-3</v>
      </c>
      <c r="AS469" s="25"/>
      <c r="AT469" s="25"/>
      <c r="AU469" s="24"/>
      <c r="AV469" s="298">
        <f t="shared" ref="AV469" si="1115">+AP469/H469</f>
        <v>0.84960735788944353</v>
      </c>
      <c r="AW469" s="298"/>
      <c r="AX469" s="24">
        <f t="shared" ref="AX469" si="1116">+AP469/BW469</f>
        <v>62656.032608695656</v>
      </c>
      <c r="AY469" s="308"/>
      <c r="AZ469" s="111"/>
      <c r="BA469" s="65">
        <f t="shared" ref="BA469" si="1117">+BC469-BC468</f>
        <v>481846</v>
      </c>
      <c r="BB469" s="66"/>
      <c r="BC469" s="66">
        <v>500790852</v>
      </c>
      <c r="BD469" s="66"/>
      <c r="BE469" s="66">
        <f t="shared" ref="BE469" si="1118">+D469</f>
        <v>12874</v>
      </c>
      <c r="BF469" s="66"/>
      <c r="BG469" s="144">
        <f t="shared" ref="BG469" si="1119">+BE469/BA469</f>
        <v>2.6718080050472558E-2</v>
      </c>
      <c r="BH469" s="66"/>
      <c r="BI469" s="170"/>
      <c r="BJ469" s="66"/>
      <c r="BK469" s="66">
        <f t="shared" ref="BK469" si="1120">SUM(BA463:BA469)</f>
        <v>4773447</v>
      </c>
      <c r="BL469" s="66"/>
      <c r="BM469" s="144">
        <f t="shared" ref="BM469" si="1121">+Q469/BK469</f>
        <v>1.5925179435322106E-2</v>
      </c>
      <c r="BN469" s="65">
        <f t="shared" ref="BN469" si="1122">+BC469/BW469</f>
        <v>1088675.7652173913</v>
      </c>
      <c r="BO469" s="66"/>
      <c r="BP469" s="66">
        <f t="shared" ref="BP469" si="1123">+BP468+BE469</f>
        <v>33016663</v>
      </c>
      <c r="BQ469" s="66"/>
      <c r="BR469" s="435">
        <f t="shared" ref="BR469" si="1124">+BP469/BC469</f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424"/>
        <v>44370</v>
      </c>
      <c r="C470" s="61"/>
      <c r="D470" s="17">
        <v>13365</v>
      </c>
      <c r="E470" s="16"/>
      <c r="F470" s="16"/>
      <c r="G470" s="16"/>
      <c r="H470" s="16">
        <f t="shared" ref="H470" si="1125">+H469+D470</f>
        <v>33937006</v>
      </c>
      <c r="I470" s="16"/>
      <c r="J470" s="436">
        <f t="shared" ref="J470" si="1126">+D470/H469</f>
        <v>3.9397304080655729E-4</v>
      </c>
      <c r="K470" s="16"/>
      <c r="L470" s="16"/>
      <c r="M470" s="16"/>
      <c r="N470" s="16">
        <f t="shared" ref="N470" si="1127">SUM(D464:D470)</f>
        <v>75320</v>
      </c>
      <c r="O470" s="16">
        <f t="shared" ref="O470" si="1128">+H470/BW470</f>
        <v>73616.065075921913</v>
      </c>
      <c r="P470" s="41"/>
      <c r="Q470" s="17">
        <f t="shared" ref="Q470" si="1129">SUM(D464:D470)</f>
        <v>75320</v>
      </c>
      <c r="R470" s="16"/>
      <c r="S470" s="60">
        <f t="shared" ref="S470" si="1130">+(Q470-Q463)/Q463</f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ref="Z470" si="1131">SUM(W465:W470)</f>
        <v>1646</v>
      </c>
      <c r="AA470" s="33">
        <f t="shared" ref="AA470" si="1132">+AA469+W470</f>
        <v>603666</v>
      </c>
      <c r="AB470" s="33"/>
      <c r="AC470" s="46">
        <f t="shared" ref="AC470" si="1133">+AA470/H470</f>
        <v>1.7787839033295984E-2</v>
      </c>
      <c r="AD470" s="33"/>
      <c r="AE470" s="33">
        <f t="shared" ref="AE470" si="1134">+AA470/BW470</f>
        <v>1309.4707158351409</v>
      </c>
      <c r="AF470" s="50"/>
      <c r="AG470" s="33">
        <f t="shared" ref="AG470" si="1135">SUM(W464:W470)</f>
        <v>2021</v>
      </c>
      <c r="AH470" s="33">
        <f t="shared" ref="AH470" si="1136">SUM(D441:D856)</f>
        <v>1116003103.060914</v>
      </c>
      <c r="AI470" s="213">
        <f t="shared" ref="AI470" si="1137">+(AG470-AG463)/AG463</f>
        <v>-0.13963388676032354</v>
      </c>
      <c r="AJ470" s="50"/>
      <c r="AK470" s="111"/>
      <c r="AL470" s="23">
        <f t="shared" ref="AL470" si="1138">+AP470-AP469</f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ref="AR470" si="1139">+AL470/AP469</f>
        <v>1.0216927999750188E-3</v>
      </c>
      <c r="AS470" s="25"/>
      <c r="AT470" s="25"/>
      <c r="AU470" s="24"/>
      <c r="AV470" s="298">
        <f t="shared" ref="AV470" si="1140">+AP470/H470</f>
        <v>0.85014046318641068</v>
      </c>
      <c r="AW470" s="298"/>
      <c r="AX470" s="24">
        <f t="shared" ref="AX470" si="1141">+AP470/BW470</f>
        <v>62583.995661605208</v>
      </c>
      <c r="AY470" s="308"/>
      <c r="AZ470" s="111"/>
      <c r="BA470" s="65">
        <f t="shared" ref="BA470" si="1142">+BC470-BC469</f>
        <v>889271</v>
      </c>
      <c r="BB470" s="66"/>
      <c r="BC470" s="66">
        <f>502180123-500000</f>
        <v>501680123</v>
      </c>
      <c r="BD470" s="66"/>
      <c r="BE470" s="66">
        <f t="shared" ref="BE470" si="1143">+D470</f>
        <v>13365</v>
      </c>
      <c r="BF470" s="66"/>
      <c r="BG470" s="144">
        <f t="shared" ref="BG470" si="1144">+BE470/BA470</f>
        <v>1.5029164337980211E-2</v>
      </c>
      <c r="BH470" s="66"/>
      <c r="BI470" s="170"/>
      <c r="BJ470" s="66"/>
      <c r="BK470" s="66">
        <f t="shared" ref="BK470" si="1145">SUM(BA464:BA470)</f>
        <v>5054890</v>
      </c>
      <c r="BL470" s="66"/>
      <c r="BM470" s="144">
        <f t="shared" ref="BM470" si="1146">+Q470/BK470</f>
        <v>1.4900423154608705E-2</v>
      </c>
      <c r="BN470" s="65">
        <f t="shared" ref="BN470" si="1147">+BC470/BW470</f>
        <v>1088243.2169197397</v>
      </c>
      <c r="BO470" s="66"/>
      <c r="BP470" s="66">
        <f t="shared" ref="BP470" si="1148">+BP469+BE470</f>
        <v>33030028</v>
      </c>
      <c r="BQ470" s="66"/>
      <c r="BR470" s="435">
        <f t="shared" ref="BR470" si="1149">+BP470/BC470</f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424"/>
        <v>44371</v>
      </c>
      <c r="C471" s="61"/>
      <c r="D471" s="17">
        <v>15460</v>
      </c>
      <c r="E471" s="16"/>
      <c r="F471" s="16"/>
      <c r="G471" s="16"/>
      <c r="H471" s="16">
        <f t="shared" ref="H471" si="1150">+H470+D471</f>
        <v>33952466</v>
      </c>
      <c r="I471" s="16"/>
      <c r="J471" s="436">
        <f t="shared" ref="J471" si="1151">+D471/H470</f>
        <v>4.555499091463755E-4</v>
      </c>
      <c r="K471" s="16"/>
      <c r="L471" s="16"/>
      <c r="M471" s="16"/>
      <c r="N471" s="16">
        <f t="shared" ref="N471" si="1152">SUM(D465:D471)</f>
        <v>77047</v>
      </c>
      <c r="O471" s="16">
        <f t="shared" ref="O471" si="1153">+H471/BW471</f>
        <v>73490.186147186148</v>
      </c>
      <c r="P471" s="41"/>
      <c r="Q471" s="17">
        <f t="shared" ref="Q471" si="1154">SUM(D465:D471)</f>
        <v>77047</v>
      </c>
      <c r="R471" s="16"/>
      <c r="S471" s="60">
        <f t="shared" ref="S471" si="1155">+(Q471-Q464)/Q464</f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ref="Z471" si="1156">SUM(W466:W471)</f>
        <v>1633</v>
      </c>
      <c r="AA471" s="33">
        <f t="shared" ref="AA471" si="1157">+AA470+W471</f>
        <v>604046</v>
      </c>
      <c r="AB471" s="33"/>
      <c r="AC471" s="46">
        <f t="shared" ref="AC471" si="1158">+AA471/H471</f>
        <v>1.7790931592421004E-2</v>
      </c>
      <c r="AD471" s="33"/>
      <c r="AE471" s="33">
        <f t="shared" ref="AE471" si="1159">+AA471/BW471</f>
        <v>1307.4588744588746</v>
      </c>
      <c r="AF471" s="50"/>
      <c r="AG471" s="33">
        <f t="shared" ref="AG471" si="1160">SUM(W465:W471)</f>
        <v>2026</v>
      </c>
      <c r="AH471" s="33">
        <f t="shared" ref="AH471" si="1161">SUM(D442:D857)</f>
        <v>1115980365.060914</v>
      </c>
      <c r="AI471" s="213">
        <f t="shared" ref="AI471" si="1162">+(AG471-AG464)/AG464</f>
        <v>-9.6745430227374057E-2</v>
      </c>
      <c r="AJ471" s="50"/>
      <c r="AK471" s="111" t="s">
        <v>26</v>
      </c>
      <c r="AL471" s="23">
        <f t="shared" ref="AL471" si="1163">+AP471-AP470</f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ref="AR471" si="1164">+AL471/AP470</f>
        <v>8.0807669082439554E-4</v>
      </c>
      <c r="AS471" s="25"/>
      <c r="AT471" s="25"/>
      <c r="AU471" s="24"/>
      <c r="AV471" s="298">
        <f t="shared" ref="AV471" si="1165">+AP471/H471</f>
        <v>0.85044002400296936</v>
      </c>
      <c r="AW471" s="298"/>
      <c r="AX471" s="24">
        <f t="shared" ref="AX471" si="1166">+AP471/BW471</f>
        <v>62498.995670995668</v>
      </c>
      <c r="AY471" s="308"/>
      <c r="AZ471" s="111" t="s">
        <v>26</v>
      </c>
      <c r="BA471" s="65">
        <f t="shared" ref="BA471" si="1167">+BC471-BC470</f>
        <v>500000</v>
      </c>
      <c r="BB471" s="66"/>
      <c r="BC471" s="66">
        <v>502180123</v>
      </c>
      <c r="BD471" s="66"/>
      <c r="BE471" s="66">
        <f t="shared" ref="BE471" si="1168">+D471</f>
        <v>15460</v>
      </c>
      <c r="BF471" s="66"/>
      <c r="BG471" s="144">
        <f t="shared" ref="BG471" si="1169">+BE471/BA471</f>
        <v>3.092E-2</v>
      </c>
      <c r="BH471" s="66"/>
      <c r="BI471" s="170"/>
      <c r="BJ471" s="66"/>
      <c r="BK471" s="66">
        <f t="shared" ref="BK471" si="1170">SUM(BA465:BA471)</f>
        <v>4770412</v>
      </c>
      <c r="BL471" s="66"/>
      <c r="BM471" s="144">
        <f t="shared" ref="BM471" si="1171">+Q471/BK471</f>
        <v>1.6151015887097383E-2</v>
      </c>
      <c r="BN471" s="65">
        <f t="shared" ref="BN471" si="1172">+BC471/BW471</f>
        <v>1086969.9632034632</v>
      </c>
      <c r="BO471" s="66"/>
      <c r="BP471" s="66">
        <f t="shared" ref="BP471" si="1173">+BP470+BE471</f>
        <v>33045488</v>
      </c>
      <c r="BQ471" s="66"/>
      <c r="BR471" s="435">
        <f t="shared" ref="BR471" si="1174">+BP471/BC471</f>
        <v>6.580405413616898E-2</v>
      </c>
      <c r="BS471" s="66"/>
      <c r="BT471" s="75"/>
      <c r="BU471" s="170"/>
      <c r="BV471" s="1"/>
      <c r="BW471" s="61">
        <f t="shared" ref="BW471:BW495" si="1175">+BW470+1</f>
        <v>462</v>
      </c>
    </row>
    <row r="472" spans="2:75" x14ac:dyDescent="0.3">
      <c r="B472" s="158">
        <f t="shared" si="424"/>
        <v>44372</v>
      </c>
      <c r="C472" s="61"/>
      <c r="D472" s="17">
        <v>15537</v>
      </c>
      <c r="E472" s="16"/>
      <c r="F472" s="16"/>
      <c r="G472" s="16"/>
      <c r="H472" s="16">
        <f t="shared" ref="H472" si="1176">+H471+D472</f>
        <v>33968003</v>
      </c>
      <c r="I472" s="16"/>
      <c r="J472" s="436">
        <f t="shared" ref="J472" si="1177">+D472/H471</f>
        <v>4.5761035442904206E-4</v>
      </c>
      <c r="K472" s="16"/>
      <c r="L472" s="16"/>
      <c r="M472" s="16"/>
      <c r="N472" s="16">
        <f t="shared" ref="N472" si="1178">SUM(D466:D472)</f>
        <v>79195</v>
      </c>
      <c r="O472" s="16">
        <f t="shared" ref="O472" si="1179">+H472/BW472</f>
        <v>73365.017278617714</v>
      </c>
      <c r="P472" s="41"/>
      <c r="Q472" s="17">
        <f t="shared" ref="Q472" si="1180">SUM(D466:D472)</f>
        <v>79195</v>
      </c>
      <c r="R472" s="16"/>
      <c r="S472" s="60">
        <f t="shared" ref="S472" si="1181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" si="1182">SUM(W467:W472)</f>
        <v>1850</v>
      </c>
      <c r="AA472" s="33">
        <f t="shared" ref="AA472" si="1183">+AA471+W472</f>
        <v>604433</v>
      </c>
      <c r="AB472" s="33"/>
      <c r="AC472" s="46">
        <f t="shared" ref="AC472" si="1184">+AA472/H472</f>
        <v>1.7794187076584984E-2</v>
      </c>
      <c r="AD472" s="33"/>
      <c r="AE472" s="33">
        <f t="shared" ref="AE472" si="1185">+AA472/BW472</f>
        <v>1305.4708423326133</v>
      </c>
      <c r="AF472" s="50"/>
      <c r="AG472" s="33">
        <f t="shared" ref="AG472" si="1186">SUM(W466:W472)</f>
        <v>2020</v>
      </c>
      <c r="AH472" s="33">
        <f t="shared" ref="AH472" si="1187">SUM(D443:D858)</f>
        <v>1115956865.060914</v>
      </c>
      <c r="AI472" s="213">
        <f t="shared" ref="AI472" si="1188">+(AG472-AG465)/AG465</f>
        <v>-8.8036117381489837E-2</v>
      </c>
      <c r="AJ472" s="50"/>
      <c r="AK472" s="111"/>
      <c r="AL472" s="23">
        <f t="shared" ref="AL472" si="1189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" si="1190">+AL472/AP471</f>
        <v>7.9391751957503317E-4</v>
      </c>
      <c r="AS472" s="25"/>
      <c r="AT472" s="25"/>
      <c r="AU472" s="24"/>
      <c r="AV472" s="298">
        <f t="shared" ref="AV472" si="1191">+AP472/H472</f>
        <v>0.85072590225571987</v>
      </c>
      <c r="AW472" s="298"/>
      <c r="AX472" s="24">
        <f t="shared" ref="AX472" si="1192">+AP472/BW472</f>
        <v>62413.520518358535</v>
      </c>
      <c r="AY472" s="308"/>
      <c r="AZ472" s="111"/>
      <c r="BA472" s="65">
        <f t="shared" ref="BA472" si="1193">+BC472-BC471</f>
        <v>826269</v>
      </c>
      <c r="BB472" s="66"/>
      <c r="BC472" s="66">
        <v>503006392</v>
      </c>
      <c r="BD472" s="66"/>
      <c r="BE472" s="66">
        <f t="shared" ref="BE472" si="1194">+D472</f>
        <v>15537</v>
      </c>
      <c r="BF472" s="66"/>
      <c r="BG472" s="144">
        <f t="shared" ref="BG472" si="1195">+BE472/BA472</f>
        <v>1.8803803603911075E-2</v>
      </c>
      <c r="BH472" s="66"/>
      <c r="BI472" s="170"/>
      <c r="BJ472" s="66"/>
      <c r="BK472" s="66">
        <f t="shared" ref="BK472" si="1196">SUM(BA466:BA472)</f>
        <v>4776317</v>
      </c>
      <c r="BL472" s="66"/>
      <c r="BM472" s="144">
        <f t="shared" ref="BM472" si="1197">+Q472/BK472</f>
        <v>1.6580767147574168E-2</v>
      </c>
      <c r="BN472" s="65">
        <f t="shared" ref="BN472" si="1198">+BC472/BW472</f>
        <v>1086406.8941684666</v>
      </c>
      <c r="BO472" s="66"/>
      <c r="BP472" s="66">
        <f t="shared" ref="BP472" si="1199">+BP471+BE472</f>
        <v>33061025</v>
      </c>
      <c r="BQ472" s="66"/>
      <c r="BR472" s="435">
        <f t="shared" ref="BR472" si="1200">+BP472/BC472</f>
        <v>6.5726848656030595E-2</v>
      </c>
      <c r="BS472" s="66"/>
      <c r="BT472" s="75"/>
      <c r="BU472" s="170"/>
      <c r="BV472" s="1"/>
      <c r="BW472" s="61">
        <f t="shared" si="1175"/>
        <v>463</v>
      </c>
    </row>
    <row r="473" spans="2:75" x14ac:dyDescent="0.3">
      <c r="B473" s="158">
        <f t="shared" si="424"/>
        <v>44373</v>
      </c>
      <c r="C473" s="61"/>
      <c r="D473" s="17">
        <v>6586</v>
      </c>
      <c r="E473" s="16"/>
      <c r="F473" s="16"/>
      <c r="G473" s="16"/>
      <c r="H473" s="16">
        <f t="shared" ref="H473" si="1201">+H472+D473</f>
        <v>33974589</v>
      </c>
      <c r="I473" s="16"/>
      <c r="J473" s="436">
        <f t="shared" ref="J473" si="1202">+D473/H472</f>
        <v>1.9388834839657781E-4</v>
      </c>
      <c r="K473" s="16"/>
      <c r="L473" s="16"/>
      <c r="M473" s="16"/>
      <c r="N473" s="16">
        <f t="shared" ref="N473" si="1203">SUM(D467:D473)</f>
        <v>77999</v>
      </c>
      <c r="O473" s="16">
        <f t="shared" ref="O473" si="1204">+H473/BW473</f>
        <v>73221.096982758623</v>
      </c>
      <c r="P473" s="41"/>
      <c r="Q473" s="17">
        <f t="shared" ref="Q473" si="1205">SUM(D467:D473)</f>
        <v>77999</v>
      </c>
      <c r="R473" s="16"/>
      <c r="S473" s="60">
        <f t="shared" ref="S473" si="1206">+(Q473-Q466)/Q466</f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ref="Z473" si="1207">SUM(W468:W473)</f>
        <v>1913</v>
      </c>
      <c r="AA473" s="33">
        <f t="shared" ref="AA473" si="1208">+AA472+W473</f>
        <v>604582</v>
      </c>
      <c r="AB473" s="33"/>
      <c r="AC473" s="46">
        <f t="shared" ref="AC473" si="1209">+AA473/H473</f>
        <v>1.7795123290527518E-2</v>
      </c>
      <c r="AD473" s="33"/>
      <c r="AE473" s="33">
        <f t="shared" ref="AE473" si="1210">+AA473/BW473</f>
        <v>1302.9784482758621</v>
      </c>
      <c r="AF473" s="50"/>
      <c r="AG473" s="33">
        <f t="shared" ref="AG473" si="1211">SUM(W467:W473)</f>
        <v>1999</v>
      </c>
      <c r="AH473" s="33">
        <f t="shared" ref="AH473" si="1212">SUM(D444:D859)</f>
        <v>1115932472.060914</v>
      </c>
      <c r="AI473" s="213">
        <f t="shared" ref="AI473" si="1213">+(AG473-AG466)/AG466</f>
        <v>-3.7554164660568129E-2</v>
      </c>
      <c r="AJ473" s="50"/>
      <c r="AK473" s="111"/>
      <c r="AL473" s="23">
        <f t="shared" ref="AL473" si="1214">+AP473-AP472</f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ref="AR473" si="1215">+AL473/AP472</f>
        <v>5.3451064557230978E-4</v>
      </c>
      <c r="AS473" s="25"/>
      <c r="AT473" s="25"/>
      <c r="AU473" s="24"/>
      <c r="AV473" s="298">
        <f t="shared" ref="AV473" si="1216">+AP473/H473</f>
        <v>0.85101562229347349</v>
      </c>
      <c r="AW473" s="298"/>
      <c r="AX473" s="24">
        <f t="shared" ref="AX473" si="1217">+AP473/BW473</f>
        <v>62312.297413793101</v>
      </c>
      <c r="AY473" s="308"/>
      <c r="AZ473" s="111"/>
      <c r="BA473" s="65">
        <f t="shared" ref="BA473" si="1218">+BC473-BC472</f>
        <v>451282</v>
      </c>
      <c r="BB473" s="66"/>
      <c r="BC473" s="66">
        <v>503457674</v>
      </c>
      <c r="BD473" s="66"/>
      <c r="BE473" s="66">
        <f t="shared" ref="BE473" si="1219">+D473</f>
        <v>6586</v>
      </c>
      <c r="BF473" s="66"/>
      <c r="BG473" s="144">
        <f t="shared" ref="BG473" si="1220">+BE473/BA473</f>
        <v>1.4593978931133969E-2</v>
      </c>
      <c r="BH473" s="66"/>
      <c r="BI473" s="170"/>
      <c r="BJ473" s="66"/>
      <c r="BK473" s="66">
        <f t="shared" ref="BK473" si="1221">SUM(BA467:BA473)</f>
        <v>4768463</v>
      </c>
      <c r="BL473" s="66"/>
      <c r="BM473" s="144">
        <f t="shared" ref="BM473" si="1222">+Q473/BK473</f>
        <v>1.6357262287659567E-2</v>
      </c>
      <c r="BN473" s="65">
        <f t="shared" ref="BN473" si="1223">+BC473/BW473</f>
        <v>1085038.0905172413</v>
      </c>
      <c r="BO473" s="66"/>
      <c r="BP473" s="66">
        <f t="shared" ref="BP473" si="1224">+BP472+BE473</f>
        <v>33067611</v>
      </c>
      <c r="BQ473" s="66"/>
      <c r="BR473" s="435">
        <f t="shared" ref="BR473" si="1225">+BP473/BC473</f>
        <v>6.56810149248018E-2</v>
      </c>
      <c r="BS473" s="66"/>
      <c r="BT473" s="75"/>
      <c r="BU473" s="170"/>
      <c r="BV473" s="1"/>
      <c r="BW473" s="61">
        <f t="shared" si="1175"/>
        <v>464</v>
      </c>
    </row>
    <row r="474" spans="2:75" x14ac:dyDescent="0.3">
      <c r="B474" s="347">
        <f t="shared" si="424"/>
        <v>44374</v>
      </c>
      <c r="C474" s="61"/>
      <c r="D474" s="17">
        <v>7306</v>
      </c>
      <c r="E474" s="16"/>
      <c r="F474" s="16"/>
      <c r="G474" s="16"/>
      <c r="H474" s="16">
        <f t="shared" ref="H474" si="1226">+H473+D474</f>
        <v>33981895</v>
      </c>
      <c r="I474" s="16"/>
      <c r="J474" s="436">
        <f t="shared" ref="J474" si="1227">+D474/H473</f>
        <v>2.1504307233856458E-4</v>
      </c>
      <c r="K474" s="16"/>
      <c r="L474" s="16"/>
      <c r="M474" s="16"/>
      <c r="N474" s="16">
        <f t="shared" ref="N474" si="1228">SUM(D468:D474)</f>
        <v>80883</v>
      </c>
      <c r="O474" s="16">
        <f t="shared" ref="O474" si="1229">+H474/BW474</f>
        <v>73079.344086021505</v>
      </c>
      <c r="P474" s="41"/>
      <c r="Q474" s="17">
        <f t="shared" ref="Q474" si="1230">SUM(D468:D474)</f>
        <v>80883</v>
      </c>
      <c r="R474" s="16"/>
      <c r="S474" s="60">
        <f t="shared" ref="S474" si="1231">+(Q474-Q467)/Q467</f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ref="Z474" si="1232">SUM(W469:W474)</f>
        <v>1782</v>
      </c>
      <c r="AA474" s="33">
        <f t="shared" ref="AA474" si="1233">+AA473+W474</f>
        <v>604688</v>
      </c>
      <c r="AB474" s="33"/>
      <c r="AC474" s="46">
        <f t="shared" ref="AC474" si="1234">+AA474/H474</f>
        <v>1.779441670336513E-2</v>
      </c>
      <c r="AD474" s="33"/>
      <c r="AE474" s="33">
        <f t="shared" ref="AE474" si="1235">+AA474/BW474</f>
        <v>1300.4043010752689</v>
      </c>
      <c r="AF474" s="50"/>
      <c r="AG474" s="33">
        <f t="shared" ref="AG474" si="1236">SUM(W468:W474)</f>
        <v>2019</v>
      </c>
      <c r="AH474" s="33">
        <f t="shared" ref="AH474" si="1237">SUM(D445:D860)</f>
        <v>1115909659.060914</v>
      </c>
      <c r="AI474" s="213">
        <f t="shared" ref="AI474" si="1238">+(AG474-AG467)/AG467</f>
        <v>-2.1328162869607366E-2</v>
      </c>
      <c r="AJ474" s="50"/>
      <c r="AK474" s="111"/>
      <c r="AL474" s="23">
        <f t="shared" ref="AL474" si="1239">+AP474-AP473</f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ref="AR474" si="1240">+AL474/AP473</f>
        <v>5.6037258932049242E-4</v>
      </c>
      <c r="AS474" s="25"/>
      <c r="AT474" s="25"/>
      <c r="AU474" s="24"/>
      <c r="AV474" s="298">
        <f t="shared" ref="AV474" si="1241">+AP474/H474</f>
        <v>0.85130943992381825</v>
      </c>
      <c r="AW474" s="298"/>
      <c r="AX474" s="24">
        <f t="shared" ref="AX474" si="1242">+AP474/BW474</f>
        <v>62213.135483870967</v>
      </c>
      <c r="AY474" s="308"/>
      <c r="AZ474" s="111"/>
      <c r="BA474" s="65">
        <f t="shared" ref="BA474" si="1243">+BC474-BC473</f>
        <v>366543</v>
      </c>
      <c r="BB474" s="66"/>
      <c r="BC474" s="66">
        <v>503824217</v>
      </c>
      <c r="BD474" s="66"/>
      <c r="BE474" s="66">
        <f t="shared" ref="BE474" si="1244">+D474</f>
        <v>7306</v>
      </c>
      <c r="BF474" s="66"/>
      <c r="BG474" s="144">
        <f t="shared" ref="BG474" si="1245">+BE474/BA474</f>
        <v>1.9932177125194041E-2</v>
      </c>
      <c r="BH474" s="66"/>
      <c r="BI474" s="170"/>
      <c r="BJ474" s="66"/>
      <c r="BK474" s="66">
        <f t="shared" ref="BK474" si="1246">SUM(BA468:BA474)</f>
        <v>4762492</v>
      </c>
      <c r="BL474" s="66"/>
      <c r="BM474" s="144">
        <f t="shared" ref="BM474" si="1247">+Q474/BK474</f>
        <v>1.6983335615051953E-2</v>
      </c>
      <c r="BN474" s="65">
        <f t="shared" ref="BN474" si="1248">+BC474/BW474</f>
        <v>1083492.9397849462</v>
      </c>
      <c r="BO474" s="66"/>
      <c r="BP474" s="66">
        <f t="shared" ref="BP474" si="1249">+BP473+BE474</f>
        <v>33074917</v>
      </c>
      <c r="BQ474" s="66"/>
      <c r="BR474" s="435">
        <f t="shared" ref="BR474" si="1250">+BP474/BC474</f>
        <v>6.5647731657170416E-2</v>
      </c>
      <c r="BS474" s="66"/>
      <c r="BT474" s="75"/>
      <c r="BU474" s="170"/>
      <c r="BV474" s="1"/>
      <c r="BW474" s="61">
        <f t="shared" si="1175"/>
        <v>465</v>
      </c>
    </row>
    <row r="475" spans="2:75" x14ac:dyDescent="0.3">
      <c r="B475" s="158">
        <f t="shared" si="424"/>
        <v>44375</v>
      </c>
      <c r="C475" s="61"/>
      <c r="D475" s="17">
        <v>11982</v>
      </c>
      <c r="E475" s="16"/>
      <c r="F475" s="16"/>
      <c r="G475" s="16"/>
      <c r="H475" s="16">
        <f t="shared" ref="H475" si="1251">+H474+D475</f>
        <v>33993877</v>
      </c>
      <c r="I475" s="16"/>
      <c r="J475" s="436">
        <f t="shared" ref="J475" si="1252">+D475/H474</f>
        <v>3.52599523952387E-4</v>
      </c>
      <c r="K475" s="16"/>
      <c r="L475" s="16"/>
      <c r="M475" s="16"/>
      <c r="N475" s="16">
        <f t="shared" ref="N475" si="1253">SUM(D469:D475)</f>
        <v>83110</v>
      </c>
      <c r="O475" s="16">
        <f t="shared" ref="O475" si="1254">+H475/BW475</f>
        <v>72948.2339055794</v>
      </c>
      <c r="P475" s="41"/>
      <c r="Q475" s="17">
        <f t="shared" ref="Q475" si="1255">SUM(D469:D475)</f>
        <v>83110</v>
      </c>
      <c r="R475" s="16"/>
      <c r="S475" s="60">
        <f t="shared" ref="S475" si="1256">+(Q475-Q468)/Q468</f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ref="Z475" si="1257">SUM(W470:W475)</f>
        <v>1515</v>
      </c>
      <c r="AA475" s="33">
        <f t="shared" ref="AA475" si="1258">+AA474+W475</f>
        <v>604852</v>
      </c>
      <c r="AB475" s="33"/>
      <c r="AC475" s="46">
        <f t="shared" ref="AC475" si="1259">+AA475/H475</f>
        <v>1.7792969010272056E-2</v>
      </c>
      <c r="AD475" s="33"/>
      <c r="AE475" s="33">
        <f t="shared" ref="AE475" si="1260">+AA475/BW475</f>
        <v>1297.9656652360516</v>
      </c>
      <c r="AF475" s="50"/>
      <c r="AG475" s="33">
        <f t="shared" ref="AG475" si="1261">SUM(W469:W475)</f>
        <v>1946</v>
      </c>
      <c r="AH475" s="33">
        <f t="shared" ref="AH475" si="1262">SUM(D446:D861)</f>
        <v>1115896998.060914</v>
      </c>
      <c r="AI475" s="213">
        <f t="shared" ref="AI475" si="1263">+(AG475-AG468)/AG468</f>
        <v>-4.98046875E-2</v>
      </c>
      <c r="AJ475" s="50"/>
      <c r="AK475" s="111"/>
      <c r="AL475" s="23">
        <f t="shared" ref="AL475" si="1264">+AP475-AP474</f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ref="AR475" si="1265">+AL475/AP474</f>
        <v>1.7197903232965221E-3</v>
      </c>
      <c r="AS475" s="25"/>
      <c r="AT475" s="25"/>
      <c r="AU475" s="24"/>
      <c r="AV475" s="298">
        <f t="shared" ref="AV475" si="1266">+AP475/H475</f>
        <v>0.85247293211068564</v>
      </c>
      <c r="AW475" s="298"/>
      <c r="AX475" s="24">
        <f t="shared" ref="AX475" si="1267">+AP475/BW475</f>
        <v>62186.394849785407</v>
      </c>
      <c r="AY475" s="308"/>
      <c r="AZ475" s="111"/>
      <c r="BA475" s="65">
        <f t="shared" ref="BA475" si="1268">+BC475-BC474</f>
        <v>1053856</v>
      </c>
      <c r="BB475" s="66"/>
      <c r="BC475" s="66">
        <v>504878073</v>
      </c>
      <c r="BD475" s="66"/>
      <c r="BE475" s="66">
        <f t="shared" ref="BE475" si="1269">+D475</f>
        <v>11982</v>
      </c>
      <c r="BF475" s="66"/>
      <c r="BG475" s="144">
        <f t="shared" ref="BG475" si="1270">+BE475/BA475</f>
        <v>1.1369674794279295E-2</v>
      </c>
      <c r="BH475" s="66"/>
      <c r="BI475" s="170"/>
      <c r="BJ475" s="66"/>
      <c r="BK475" s="66">
        <f t="shared" ref="BK475" si="1271">SUM(BA469:BA475)</f>
        <v>4569067</v>
      </c>
      <c r="BL475" s="66"/>
      <c r="BM475" s="144">
        <f t="shared" ref="BM475" si="1272">+Q475/BK475</f>
        <v>1.8189709190081914E-2</v>
      </c>
      <c r="BN475" s="65">
        <f t="shared" ref="BN475" si="1273">+BC475/BW475</f>
        <v>1083429.3412017168</v>
      </c>
      <c r="BO475" s="66"/>
      <c r="BP475" s="66">
        <f t="shared" ref="BP475" si="1274">+BP474+BE475</f>
        <v>33086899</v>
      </c>
      <c r="BQ475" s="66"/>
      <c r="BR475" s="435">
        <f t="shared" ref="BR475" si="1275">+BP475/BC475</f>
        <v>6.5534434489096932E-2</v>
      </c>
      <c r="BS475" s="66"/>
      <c r="BT475" s="75"/>
      <c r="BU475" s="170"/>
      <c r="BV475" s="1"/>
      <c r="BW475" s="61">
        <f t="shared" si="1175"/>
        <v>466</v>
      </c>
    </row>
    <row r="476" spans="2:75" x14ac:dyDescent="0.3">
      <c r="B476" s="158">
        <f t="shared" si="424"/>
        <v>44376</v>
      </c>
      <c r="C476" s="61"/>
      <c r="D476" s="17">
        <v>11427</v>
      </c>
      <c r="E476" s="16"/>
      <c r="F476" s="16"/>
      <c r="G476" s="16"/>
      <c r="H476" s="16">
        <f t="shared" ref="H476" si="1276">+H475+D476</f>
        <v>34005304</v>
      </c>
      <c r="I476" s="16"/>
      <c r="J476" s="436">
        <f t="shared" ref="J476" si="1277">+D476/H475</f>
        <v>3.3614877173321534E-4</v>
      </c>
      <c r="K476" s="16"/>
      <c r="L476" s="16"/>
      <c r="M476" s="16"/>
      <c r="N476" s="16">
        <f t="shared" ref="N476" si="1278">SUM(D470:D476)</f>
        <v>81663</v>
      </c>
      <c r="O476" s="16">
        <f t="shared" ref="O476" si="1279">+H476/BW476</f>
        <v>72816.496788008561</v>
      </c>
      <c r="P476" s="41"/>
      <c r="Q476" s="17">
        <f t="shared" ref="Q476" si="1280">SUM(D470:D476)</f>
        <v>81663</v>
      </c>
      <c r="R476" s="16"/>
      <c r="S476" s="60">
        <f t="shared" ref="S476" si="1281">+(Q476-Q469)/Q469</f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ref="Z476" si="1282">SUM(W471:W476)</f>
        <v>1480</v>
      </c>
      <c r="AA476" s="33">
        <f t="shared" ref="AA476" si="1283">+AA475+W476</f>
        <v>605146</v>
      </c>
      <c r="AB476" s="33"/>
      <c r="AC476" s="46">
        <f t="shared" ref="AC476" si="1284">+AA476/H476</f>
        <v>1.7795635645545177E-2</v>
      </c>
      <c r="AD476" s="33"/>
      <c r="AE476" s="33">
        <f t="shared" ref="AE476" si="1285">+AA476/BW476</f>
        <v>1295.8158458244111</v>
      </c>
      <c r="AF476" s="50"/>
      <c r="AG476" s="33">
        <f t="shared" ref="AG476" si="1286">SUM(W470:W476)</f>
        <v>1809</v>
      </c>
      <c r="AH476" s="33">
        <f t="shared" ref="AH476" si="1287">SUM(D447:D862)</f>
        <v>1115889248.060914</v>
      </c>
      <c r="AI476" s="213">
        <f t="shared" ref="AI476" si="1288">+(AG476-AG469)/AG469</f>
        <v>-0.14910630291627469</v>
      </c>
      <c r="AJ476" s="50"/>
      <c r="AK476" s="111"/>
      <c r="AL476" s="23">
        <f t="shared" ref="AL476" si="1289">+AP476-AP475</f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ref="AR476" si="1290">+AL476/AP475</f>
        <v>9.8392414332378834E-4</v>
      </c>
      <c r="AS476" s="25"/>
      <c r="AT476" s="25"/>
      <c r="AU476" s="24"/>
      <c r="AV476" s="298">
        <f t="shared" ref="AV476" si="1291">+AP476/H476</f>
        <v>0.8530249575183918</v>
      </c>
      <c r="AW476" s="298"/>
      <c r="AX476" s="24">
        <f t="shared" ref="AX476" si="1292">+AP476/BW476</f>
        <v>62114.289079229122</v>
      </c>
      <c r="AY476" s="308"/>
      <c r="AZ476" s="111"/>
      <c r="BA476" s="65">
        <f t="shared" ref="BA476" si="1293">+BC476-BC475</f>
        <v>514526</v>
      </c>
      <c r="BB476" s="66"/>
      <c r="BC476" s="66">
        <v>505392599</v>
      </c>
      <c r="BD476" s="66"/>
      <c r="BE476" s="66">
        <f t="shared" ref="BE476" si="1294">+D476</f>
        <v>11427</v>
      </c>
      <c r="BF476" s="66"/>
      <c r="BG476" s="144">
        <f t="shared" ref="BG476" si="1295">+BE476/BA476</f>
        <v>2.2208790226344248E-2</v>
      </c>
      <c r="BH476" s="66"/>
      <c r="BI476" s="170"/>
      <c r="BJ476" s="66"/>
      <c r="BK476" s="66">
        <f t="shared" ref="BK476" si="1296">SUM(BA470:BA476)</f>
        <v>4601747</v>
      </c>
      <c r="BL476" s="66"/>
      <c r="BM476" s="144">
        <f t="shared" ref="BM476" si="1297">+Q476/BK476</f>
        <v>1.7746086431957256E-2</v>
      </c>
      <c r="BN476" s="65">
        <f t="shared" ref="BN476" si="1298">+BC476/BW476</f>
        <v>1082211.1327623127</v>
      </c>
      <c r="BO476" s="66"/>
      <c r="BP476" s="66">
        <f t="shared" ref="BP476" si="1299">+BP475+BE476</f>
        <v>33098326</v>
      </c>
      <c r="BQ476" s="66"/>
      <c r="BR476" s="435">
        <f t="shared" ref="BR476" si="1300">+BP476/BC476</f>
        <v>6.5490325868424515E-2</v>
      </c>
      <c r="BS476" s="66"/>
      <c r="BT476" s="75"/>
      <c r="BU476" s="170"/>
      <c r="BV476" s="1"/>
      <c r="BW476" s="61">
        <f t="shared" si="1175"/>
        <v>467</v>
      </c>
    </row>
    <row r="477" spans="2:75" x14ac:dyDescent="0.3">
      <c r="B477" s="158">
        <f t="shared" si="424"/>
        <v>44377</v>
      </c>
      <c r="C477" s="61"/>
      <c r="D477" s="17">
        <v>14197</v>
      </c>
      <c r="E477" s="16"/>
      <c r="F477" s="16"/>
      <c r="G477" s="16"/>
      <c r="H477" s="16">
        <f t="shared" ref="H477" si="1301">+H476+D477</f>
        <v>34019501</v>
      </c>
      <c r="I477" s="16"/>
      <c r="J477" s="436">
        <f t="shared" ref="J477" si="1302">+D477/H476</f>
        <v>4.1749369451306772E-4</v>
      </c>
      <c r="K477" s="16"/>
      <c r="L477" s="16"/>
      <c r="M477" s="16"/>
      <c r="N477" s="16">
        <f t="shared" ref="N477" si="1303">SUM(D471:D477)</f>
        <v>82495</v>
      </c>
      <c r="O477" s="16">
        <f t="shared" ref="O477" si="1304">+H477/BW477</f>
        <v>72691.241452991453</v>
      </c>
      <c r="P477" s="41"/>
      <c r="Q477" s="17">
        <f t="shared" ref="Q477" si="1305">SUM(D471:D477)</f>
        <v>82495</v>
      </c>
      <c r="R477" s="16"/>
      <c r="S477" s="60">
        <f t="shared" ref="S477" si="1306">+(Q477-Q470)/Q470</f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ref="Z477" si="1307">SUM(W472:W477)</f>
        <v>1349</v>
      </c>
      <c r="AA477" s="33">
        <f t="shared" ref="AA477" si="1308">+AA476+W477</f>
        <v>605395</v>
      </c>
      <c r="AB477" s="33"/>
      <c r="AC477" s="46">
        <f t="shared" ref="AC477" si="1309">+AA477/H477</f>
        <v>1.7795528511720379E-2</v>
      </c>
      <c r="AD477" s="33"/>
      <c r="AE477" s="33">
        <f t="shared" ref="AE477" si="1310">+AA477/BW477</f>
        <v>1293.5790598290598</v>
      </c>
      <c r="AF477" s="50"/>
      <c r="AG477" s="33">
        <f t="shared" ref="AG477" si="1311">SUM(W471:W477)</f>
        <v>1729</v>
      </c>
      <c r="AH477" s="33">
        <f t="shared" ref="AH477" si="1312">SUM(D448:D863)</f>
        <v>1115884013.060914</v>
      </c>
      <c r="AI477" s="213">
        <f t="shared" ref="AI477" si="1313">+(AG477-AG470)/AG470</f>
        <v>-0.14448292924294903</v>
      </c>
      <c r="AJ477" s="50"/>
      <c r="AK477" s="111"/>
      <c r="AL477" s="23">
        <f t="shared" ref="AL477" si="1314">+AP477-AP476</f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ref="AR477" si="1315">+AL477/AP476</f>
        <v>6.6586519227370224E-4</v>
      </c>
      <c r="AS477" s="25"/>
      <c r="AT477" s="25"/>
      <c r="AU477" s="24"/>
      <c r="AV477" s="298">
        <f t="shared" ref="AV477" si="1316">+AP477/H477</f>
        <v>0.85323673618845852</v>
      </c>
      <c r="AW477" s="298"/>
      <c r="AX477" s="24">
        <f t="shared" ref="AX477" si="1317">+AP477/BW477</f>
        <v>62022.837606837609</v>
      </c>
      <c r="AY477" s="308"/>
      <c r="AZ477" s="111"/>
      <c r="BA477" s="65">
        <f t="shared" ref="BA477" si="1318">+BC477-BC476</f>
        <v>766529</v>
      </c>
      <c r="BB477" s="66"/>
      <c r="BC477" s="66">
        <v>506159128</v>
      </c>
      <c r="BD477" s="66"/>
      <c r="BE477" s="66">
        <f t="shared" ref="BE477" si="1319">+D477</f>
        <v>14197</v>
      </c>
      <c r="BF477" s="66"/>
      <c r="BG477" s="144">
        <f t="shared" ref="BG477" si="1320">+BE477/BA477</f>
        <v>1.8521151841613299E-2</v>
      </c>
      <c r="BH477" s="66"/>
      <c r="BI477" s="170"/>
      <c r="BJ477" s="66"/>
      <c r="BK477" s="66">
        <f t="shared" ref="BK477" si="1321">SUM(BA471:BA477)</f>
        <v>4479005</v>
      </c>
      <c r="BL477" s="66"/>
      <c r="BM477" s="144">
        <f t="shared" ref="BM477" si="1322">+Q477/BK477</f>
        <v>1.8418153138922595E-2</v>
      </c>
      <c r="BN477" s="65">
        <f t="shared" ref="BN477" si="1323">+BC477/BW477</f>
        <v>1081536.5982905983</v>
      </c>
      <c r="BO477" s="66"/>
      <c r="BP477" s="66">
        <f t="shared" ref="BP477" si="1324">+BP476+BE477</f>
        <v>33112523</v>
      </c>
      <c r="BQ477" s="66"/>
      <c r="BR477" s="435">
        <f t="shared" ref="BR477" si="1325">+BP477/BC477</f>
        <v>6.5419195601269492E-2</v>
      </c>
      <c r="BS477" s="66"/>
      <c r="BT477" s="75"/>
      <c r="BU477" s="170"/>
      <c r="BV477" s="1"/>
      <c r="BW477" s="61">
        <f t="shared" si="1175"/>
        <v>468</v>
      </c>
    </row>
    <row r="478" spans="2:75" x14ac:dyDescent="0.3">
      <c r="B478" s="158">
        <f t="shared" si="424"/>
        <v>44378</v>
      </c>
      <c r="C478" s="61"/>
      <c r="D478" s="17">
        <v>16949</v>
      </c>
      <c r="E478" s="16"/>
      <c r="F478" s="16"/>
      <c r="G478" s="16"/>
      <c r="H478" s="16">
        <f t="shared" ref="H478" si="1326">+H477+D478</f>
        <v>34036450</v>
      </c>
      <c r="I478" s="16"/>
      <c r="J478" s="436">
        <f t="shared" ref="J478" si="1327">+D478/H477</f>
        <v>4.9821424482387328E-4</v>
      </c>
      <c r="K478" s="16"/>
      <c r="L478" s="16"/>
      <c r="M478" s="16"/>
      <c r="N478" s="16">
        <f t="shared" ref="N478" si="1328">SUM(D472:D478)</f>
        <v>83984</v>
      </c>
      <c r="O478" s="16">
        <f t="shared" ref="O478" si="1329">+H478/BW478</f>
        <v>72572.388059701494</v>
      </c>
      <c r="P478" s="41"/>
      <c r="Q478" s="17">
        <f t="shared" ref="Q478" si="1330">SUM(D472:D478)</f>
        <v>83984</v>
      </c>
      <c r="R478" s="16"/>
      <c r="S478" s="60">
        <f t="shared" ref="S478" si="1331">+(Q478-Q471)/Q471</f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ref="Z478" si="1332">SUM(W473:W478)</f>
        <v>1277</v>
      </c>
      <c r="AA478" s="33">
        <f t="shared" ref="AA478" si="1333">+AA477+W478</f>
        <v>605710</v>
      </c>
      <c r="AB478" s="33"/>
      <c r="AC478" s="46">
        <f t="shared" ref="AC478" si="1334">+AA478/H478</f>
        <v>1.7795921725091778E-2</v>
      </c>
      <c r="AD478" s="33"/>
      <c r="AE478" s="33">
        <f t="shared" ref="AE478" si="1335">+AA478/BW478</f>
        <v>1291.4925373134329</v>
      </c>
      <c r="AF478" s="50"/>
      <c r="AG478" s="33">
        <f t="shared" ref="AG478" si="1336">SUM(W472:W478)</f>
        <v>1664</v>
      </c>
      <c r="AH478" s="33">
        <f t="shared" ref="AH478" si="1337">SUM(D449:D864)</f>
        <v>1115871037.060914</v>
      </c>
      <c r="AI478" s="213">
        <f t="shared" ref="AI478" si="1338">+(AG478-AG471)/AG471</f>
        <v>-0.17867719644619942</v>
      </c>
      <c r="AJ478" s="50"/>
      <c r="AK478" s="111"/>
      <c r="AL478" s="23">
        <f t="shared" ref="AL478" si="1339">+AP478-AP477</f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ref="AR478" si="1340">+AL478/AP477</f>
        <v>8.7502232428308729E-4</v>
      </c>
      <c r="AS478" s="25"/>
      <c r="AT478" s="25"/>
      <c r="AU478" s="24"/>
      <c r="AV478" s="298">
        <f t="shared" ref="AV478" si="1341">+AP478/H478</f>
        <v>0.85355808258499344</v>
      </c>
      <c r="AW478" s="298"/>
      <c r="AX478" s="24">
        <f t="shared" ref="AX478" si="1342">+AP478/BW478</f>
        <v>61944.748400852877</v>
      </c>
      <c r="AY478" s="308"/>
      <c r="AZ478" s="111"/>
      <c r="BA478" s="65">
        <f t="shared" ref="BA478" si="1343">+BC478-BC477</f>
        <v>445484</v>
      </c>
      <c r="BB478" s="66"/>
      <c r="BC478" s="66">
        <v>506604612</v>
      </c>
      <c r="BD478" s="66"/>
      <c r="BE478" s="66">
        <f t="shared" ref="BE478" si="1344">+D478</f>
        <v>16949</v>
      </c>
      <c r="BF478" s="66"/>
      <c r="BG478" s="144">
        <f t="shared" ref="BG478" si="1345">+BE478/BA478</f>
        <v>3.8046259798331705E-2</v>
      </c>
      <c r="BH478" s="66"/>
      <c r="BI478" s="170"/>
      <c r="BJ478" s="66"/>
      <c r="BK478" s="66">
        <f t="shared" ref="BK478" si="1346">SUM(BA472:BA478)</f>
        <v>4424489</v>
      </c>
      <c r="BL478" s="66"/>
      <c r="BM478" s="144">
        <f t="shared" ref="BM478" si="1347">+Q478/BK478</f>
        <v>1.8981627030827741E-2</v>
      </c>
      <c r="BN478" s="65">
        <f t="shared" ref="BN478" si="1348">+BC478/BW478</f>
        <v>1080180.4093816632</v>
      </c>
      <c r="BO478" s="66"/>
      <c r="BP478" s="66">
        <f t="shared" ref="BP478" si="1349">+BP477+BE478</f>
        <v>33129472</v>
      </c>
      <c r="BQ478" s="66"/>
      <c r="BR478" s="435">
        <f t="shared" ref="BR478" si="1350">+BP478/BC478</f>
        <v>6.5395125143471844E-2</v>
      </c>
      <c r="BS478" s="66"/>
      <c r="BT478" s="75"/>
      <c r="BU478" s="170"/>
      <c r="BV478" s="1"/>
      <c r="BW478" s="61">
        <f t="shared" si="1175"/>
        <v>469</v>
      </c>
    </row>
    <row r="479" spans="2:75" x14ac:dyDescent="0.3">
      <c r="B479" s="158">
        <f t="shared" si="424"/>
        <v>44379</v>
      </c>
      <c r="C479" s="61"/>
      <c r="D479" s="17">
        <v>18399</v>
      </c>
      <c r="E479" s="16"/>
      <c r="F479" s="16"/>
      <c r="G479" s="16"/>
      <c r="H479" s="16">
        <f t="shared" ref="H479" si="1351">+H478+D479</f>
        <v>34054849</v>
      </c>
      <c r="I479" s="16"/>
      <c r="J479" s="436">
        <f t="shared" ref="J479" si="1352">+D479/H478</f>
        <v>5.4056753862403398E-4</v>
      </c>
      <c r="K479" s="16"/>
      <c r="L479" s="16"/>
      <c r="M479" s="16"/>
      <c r="N479" s="16">
        <f t="shared" ref="N479" si="1353">SUM(D473:D479)</f>
        <v>86846</v>
      </c>
      <c r="O479" s="16">
        <f t="shared" ref="O479" si="1354">+H479/BW479</f>
        <v>72457.125531914891</v>
      </c>
      <c r="P479" s="41"/>
      <c r="Q479" s="17">
        <f t="shared" ref="Q479" si="1355">SUM(D473:D479)</f>
        <v>86846</v>
      </c>
      <c r="R479" s="16"/>
      <c r="S479" s="60">
        <f t="shared" ref="S479" si="1356">+(Q479-Q472)/Q472</f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ref="Z479" si="1357">SUM(W474:W479)</f>
        <v>1450</v>
      </c>
      <c r="AA479" s="33">
        <f t="shared" ref="AA479" si="1358">+AA478+W479</f>
        <v>606032</v>
      </c>
      <c r="AB479" s="33"/>
      <c r="AC479" s="46">
        <f t="shared" ref="AC479" si="1359">+AA479/H479</f>
        <v>1.7795762359715646E-2</v>
      </c>
      <c r="AD479" s="33"/>
      <c r="AE479" s="33">
        <f t="shared" ref="AE479" si="1360">+AA479/BW479</f>
        <v>1289.4297872340426</v>
      </c>
      <c r="AF479" s="50"/>
      <c r="AG479" s="33">
        <f t="shared" ref="AG479" si="1361">SUM(W473:W479)</f>
        <v>1599</v>
      </c>
      <c r="AH479" s="33">
        <f t="shared" ref="AH479" si="1362">SUM(D450:D865)</f>
        <v>1115854063.060914</v>
      </c>
      <c r="AI479" s="213">
        <f t="shared" ref="AI479" si="1363">+(AG479-AG472)/AG472</f>
        <v>-0.20841584158415841</v>
      </c>
      <c r="AJ479" s="50"/>
      <c r="AK479" s="111"/>
      <c r="AL479" s="23">
        <f t="shared" ref="AL479" si="1364">+AP479-AP478</f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ref="AR479" si="1365">+AL479/AP478</f>
        <v>7.1574892364875545E-4</v>
      </c>
      <c r="AS479" s="25"/>
      <c r="AT479" s="25"/>
      <c r="AU479" s="24"/>
      <c r="AV479" s="298">
        <f t="shared" ref="AV479" si="1366">+AP479/H479</f>
        <v>0.85370752928606441</v>
      </c>
      <c r="AW479" s="298"/>
      <c r="AX479" s="24">
        <f t="shared" ref="AX479" si="1367">+AP479/BW479</f>
        <v>61857.193617021279</v>
      </c>
      <c r="AY479" s="308"/>
      <c r="AZ479" s="111"/>
      <c r="BA479" s="65">
        <f t="shared" ref="BA479" si="1368">+BC479-BC478</f>
        <v>741973</v>
      </c>
      <c r="BB479" s="66"/>
      <c r="BC479" s="66">
        <v>507346585</v>
      </c>
      <c r="BD479" s="66"/>
      <c r="BE479" s="66">
        <f t="shared" ref="BE479" si="1369">+D479</f>
        <v>18399</v>
      </c>
      <c r="BF479" s="66"/>
      <c r="BG479" s="144">
        <f t="shared" ref="BG479" si="1370">+BE479/BA479</f>
        <v>2.4797398288077869E-2</v>
      </c>
      <c r="BH479" s="66"/>
      <c r="BI479" s="170"/>
      <c r="BJ479" s="66"/>
      <c r="BK479" s="66">
        <f t="shared" ref="BK479" si="1371">SUM(BA473:BA479)</f>
        <v>4340193</v>
      </c>
      <c r="BL479" s="66"/>
      <c r="BM479" s="144">
        <f t="shared" ref="BM479" si="1372">+Q479/BK479</f>
        <v>2.0009709245648752E-2</v>
      </c>
      <c r="BN479" s="65">
        <f t="shared" ref="BN479" si="1373">+BC479/BW479</f>
        <v>1079460.8191489361</v>
      </c>
      <c r="BO479" s="66"/>
      <c r="BP479" s="66">
        <f t="shared" ref="BP479" si="1374">+BP478+BE479</f>
        <v>33147871</v>
      </c>
      <c r="BQ479" s="66"/>
      <c r="BR479" s="435">
        <f t="shared" ref="BR479" si="1375">+BP479/BC479</f>
        <v>6.5335752678812253E-2</v>
      </c>
      <c r="BS479" s="66"/>
      <c r="BT479" s="75"/>
      <c r="BU479" s="170"/>
      <c r="BV479" s="1"/>
      <c r="BW479" s="61">
        <f t="shared" si="1175"/>
        <v>470</v>
      </c>
    </row>
    <row r="480" spans="2:75" x14ac:dyDescent="0.3">
      <c r="B480" s="158">
        <f t="shared" si="424"/>
        <v>44380</v>
      </c>
      <c r="C480" s="61"/>
      <c r="D480" s="17">
        <v>7978</v>
      </c>
      <c r="E480" s="16"/>
      <c r="F480" s="16"/>
      <c r="G480" s="16"/>
      <c r="H480" s="16">
        <f t="shared" ref="H480" si="1376">+H479+D480</f>
        <v>34062827</v>
      </c>
      <c r="I480" s="16"/>
      <c r="J480" s="436">
        <f t="shared" ref="J480" si="1377">+D480/H479</f>
        <v>2.3426913447773619E-4</v>
      </c>
      <c r="K480" s="16"/>
      <c r="L480" s="16"/>
      <c r="M480" s="16"/>
      <c r="N480" s="16">
        <f t="shared" ref="N480" si="1378">SUM(D474:D480)</f>
        <v>88238</v>
      </c>
      <c r="O480" s="16">
        <f t="shared" ref="O480" si="1379">+H480/BW480</f>
        <v>72320.227176220811</v>
      </c>
      <c r="P480" s="41"/>
      <c r="Q480" s="17">
        <f t="shared" ref="Q480" si="1380">SUM(D474:D480)</f>
        <v>88238</v>
      </c>
      <c r="R480" s="16"/>
      <c r="S480" s="60">
        <f t="shared" ref="S480" si="1381">+(Q480-Q473)/Q473</f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ref="Z480" si="1382">SUM(W475:W480)</f>
        <v>1440</v>
      </c>
      <c r="AA480" s="33">
        <f t="shared" ref="AA480" si="1383">+AA479+W480</f>
        <v>606128</v>
      </c>
      <c r="AB480" s="33"/>
      <c r="AC480" s="46">
        <f t="shared" ref="AC480" si="1384">+AA480/H480</f>
        <v>1.7794412659876996E-2</v>
      </c>
      <c r="AD480" s="33"/>
      <c r="AE480" s="33">
        <f t="shared" ref="AE480" si="1385">+AA480/BW480</f>
        <v>1286.8959660297239</v>
      </c>
      <c r="AF480" s="50"/>
      <c r="AG480" s="33">
        <f t="shared" ref="AG480" si="1386">SUM(W474:W480)</f>
        <v>1546</v>
      </c>
      <c r="AH480" s="33">
        <f t="shared" ref="AH480" si="1387">SUM(D451:D866)</f>
        <v>1115836242.060914</v>
      </c>
      <c r="AI480" s="213">
        <f t="shared" ref="AI480" si="1388">+(AG480-AG473)/AG473</f>
        <v>-0.22661330665332666</v>
      </c>
      <c r="AJ480" s="50"/>
      <c r="AK480" s="111"/>
      <c r="AL480" s="23">
        <f t="shared" ref="AL480" si="1389">+AP480-AP479</f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ref="AR480" si="1390">+AL480/AP479</f>
        <v>5.0012243368656862E-4</v>
      </c>
      <c r="AS480" s="25"/>
      <c r="AT480" s="25"/>
      <c r="AU480" s="24"/>
      <c r="AV480" s="298">
        <f t="shared" ref="AV480" si="1391">+AP480/H480</f>
        <v>0.85393443709178929</v>
      </c>
      <c r="AW480" s="298"/>
      <c r="AX480" s="24">
        <f t="shared" ref="AX480" si="1392">+AP480/BW480</f>
        <v>61756.732484076434</v>
      </c>
      <c r="AY480" s="308"/>
      <c r="AZ480" s="111"/>
      <c r="BA480" s="65">
        <f t="shared" ref="BA480" si="1393">+BC480-BC479</f>
        <v>255291</v>
      </c>
      <c r="BB480" s="66"/>
      <c r="BC480" s="66">
        <v>507601876</v>
      </c>
      <c r="BD480" s="66"/>
      <c r="BE480" s="66">
        <f t="shared" ref="BE480" si="1394">+D480</f>
        <v>7978</v>
      </c>
      <c r="BF480" s="66"/>
      <c r="BG480" s="144">
        <f t="shared" ref="BG480" si="1395">+BE480/BA480</f>
        <v>3.125061204664481E-2</v>
      </c>
      <c r="BH480" s="66"/>
      <c r="BI480" s="170"/>
      <c r="BJ480" s="66"/>
      <c r="BK480" s="66">
        <f t="shared" ref="BK480" si="1396">SUM(BA474:BA480)</f>
        <v>4144202</v>
      </c>
      <c r="BL480" s="66"/>
      <c r="BM480" s="144">
        <f t="shared" ref="BM480" si="1397">+Q480/BK480</f>
        <v>2.1291915789819125E-2</v>
      </c>
      <c r="BN480" s="65">
        <f t="shared" ref="BN480" si="1398">+BC480/BW480</f>
        <v>1077710.9893842887</v>
      </c>
      <c r="BO480" s="66"/>
      <c r="BP480" s="66">
        <f t="shared" ref="BP480" si="1399">+BP479+BE480</f>
        <v>33155849</v>
      </c>
      <c r="BQ480" s="66"/>
      <c r="BR480" s="435">
        <f t="shared" ref="BR480" si="1400">+BP480/BC480</f>
        <v>6.5318610051787906E-2</v>
      </c>
      <c r="BS480" s="66"/>
      <c r="BT480" s="75"/>
      <c r="BU480" s="170"/>
      <c r="BV480" s="1"/>
      <c r="BW480" s="61">
        <f t="shared" si="1175"/>
        <v>471</v>
      </c>
    </row>
    <row r="481" spans="2:75" x14ac:dyDescent="0.3">
      <c r="B481" s="347">
        <f t="shared" si="424"/>
        <v>44381</v>
      </c>
      <c r="C481" s="61"/>
      <c r="D481" s="17">
        <v>5749</v>
      </c>
      <c r="E481" s="16"/>
      <c r="F481" s="16"/>
      <c r="G481" s="16"/>
      <c r="H481" s="16">
        <f t="shared" ref="H481" si="1401">+H480+D481</f>
        <v>34068576</v>
      </c>
      <c r="I481" s="16"/>
      <c r="J481" s="436">
        <f t="shared" ref="J481" si="1402">+D481/H480</f>
        <v>1.6877636139830672E-4</v>
      </c>
      <c r="K481" s="16"/>
      <c r="L481" s="16"/>
      <c r="M481" s="16"/>
      <c r="N481" s="16">
        <f t="shared" ref="N481" si="1403">SUM(D475:D481)</f>
        <v>86681</v>
      </c>
      <c r="O481" s="16">
        <f t="shared" ref="O481" si="1404">+H481/BW481</f>
        <v>72179.186440677964</v>
      </c>
      <c r="P481" s="41"/>
      <c r="Q481" s="17">
        <f t="shared" ref="Q481" si="1405">SUM(D475:D481)</f>
        <v>86681</v>
      </c>
      <c r="R481" s="16"/>
      <c r="S481" s="60">
        <f t="shared" ref="S481" si="1406">+(Q481-Q474)/Q474</f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ref="Z481" si="1407">SUM(W476:W481)</f>
        <v>1331</v>
      </c>
      <c r="AA481" s="33">
        <f t="shared" ref="AA481" si="1408">+AA480+W481</f>
        <v>606183</v>
      </c>
      <c r="AB481" s="33"/>
      <c r="AC481" s="46">
        <f t="shared" ref="AC481" si="1409">+AA481/H481</f>
        <v>1.7793024281378828E-2</v>
      </c>
      <c r="AD481" s="33"/>
      <c r="AE481" s="33">
        <f t="shared" ref="AE481" si="1410">+AA481/BW481</f>
        <v>1284.2860169491526</v>
      </c>
      <c r="AF481" s="50"/>
      <c r="AG481" s="33">
        <f t="shared" ref="AG481" si="1411">SUM(W475:W481)</f>
        <v>1495</v>
      </c>
      <c r="AH481" s="33">
        <f t="shared" ref="AH481" si="1412">SUM(D452:D867)</f>
        <v>1115819317.060914</v>
      </c>
      <c r="AI481" s="213">
        <f t="shared" ref="AI481" si="1413">+(AG481-AG474)/AG474</f>
        <v>-0.25953442298167412</v>
      </c>
      <c r="AJ481" s="50"/>
      <c r="AK481" s="111"/>
      <c r="AL481" s="23">
        <f t="shared" ref="AL481" si="1414">+AP481-AP480</f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ref="AR481" si="1415">+AL481/AP480</f>
        <v>4.4180609893190601E-4</v>
      </c>
      <c r="AS481" s="25"/>
      <c r="AT481" s="25"/>
      <c r="AU481" s="24"/>
      <c r="AV481" s="298">
        <f t="shared" ref="AV481" si="1416">+AP481/H481</f>
        <v>0.85416754724353605</v>
      </c>
      <c r="AW481" s="298"/>
      <c r="AX481" s="24">
        <f t="shared" ref="AX481" si="1417">+AP481/BW481</f>
        <v>61653.118644067799</v>
      </c>
      <c r="AY481" s="308"/>
      <c r="AZ481" s="111"/>
      <c r="BA481" s="65">
        <f t="shared" ref="BA481" si="1418">+BC481-BC480</f>
        <v>483136</v>
      </c>
      <c r="BB481" s="66"/>
      <c r="BC481" s="66">
        <v>508085012</v>
      </c>
      <c r="BD481" s="66"/>
      <c r="BE481" s="66">
        <f t="shared" ref="BE481" si="1419">+D481</f>
        <v>5749</v>
      </c>
      <c r="BF481" s="66"/>
      <c r="BG481" s="144">
        <f t="shared" ref="BG481" si="1420">+BE481/BA481</f>
        <v>1.1899340972314213E-2</v>
      </c>
      <c r="BH481" s="66"/>
      <c r="BI481" s="170"/>
      <c r="BJ481" s="66"/>
      <c r="BK481" s="66">
        <f t="shared" ref="BK481" si="1421">SUM(BA475:BA481)</f>
        <v>4260795</v>
      </c>
      <c r="BL481" s="66"/>
      <c r="BM481" s="144">
        <f t="shared" ref="BM481" si="1422">+Q481/BK481</f>
        <v>2.0343856017480306E-2</v>
      </c>
      <c r="BN481" s="65">
        <f t="shared" ref="BN481" si="1423">+BC481/BW481</f>
        <v>1076451.2966101696</v>
      </c>
      <c r="BO481" s="66"/>
      <c r="BP481" s="66">
        <f t="shared" ref="BP481" si="1424">+BP480+BE481</f>
        <v>33161598</v>
      </c>
      <c r="BQ481" s="66"/>
      <c r="BR481" s="435">
        <f t="shared" ref="BR481" si="1425">+BP481/BC481</f>
        <v>6.5267813883083017E-2</v>
      </c>
      <c r="BS481" s="66"/>
      <c r="BT481" s="75"/>
      <c r="BU481" s="170"/>
      <c r="BV481" s="1"/>
      <c r="BW481" s="61">
        <f t="shared" si="1175"/>
        <v>472</v>
      </c>
    </row>
    <row r="482" spans="2:75" x14ac:dyDescent="0.3">
      <c r="B482" s="158">
        <f t="shared" si="424"/>
        <v>44382</v>
      </c>
      <c r="C482" s="61"/>
      <c r="D482" s="17">
        <v>5132</v>
      </c>
      <c r="E482" s="16"/>
      <c r="F482" s="16"/>
      <c r="G482" s="16"/>
      <c r="H482" s="16">
        <f t="shared" ref="H482" si="1426">+H481+D482</f>
        <v>34073708</v>
      </c>
      <c r="I482" s="16"/>
      <c r="J482" s="436">
        <f t="shared" ref="J482" si="1427">+D482/H481</f>
        <v>1.5063734979706812E-4</v>
      </c>
      <c r="K482" s="16"/>
      <c r="L482" s="16"/>
      <c r="M482" s="16"/>
      <c r="N482" s="16">
        <f t="shared" ref="N482" si="1428">SUM(D476:D482)</f>
        <v>79831</v>
      </c>
      <c r="O482" s="16">
        <f t="shared" ref="O482" si="1429">+H482/BW482</f>
        <v>72037.437632135305</v>
      </c>
      <c r="P482" s="41"/>
      <c r="Q482" s="17">
        <f t="shared" ref="Q482" si="1430">SUM(D476:D482)</f>
        <v>79831</v>
      </c>
      <c r="R482" s="16"/>
      <c r="S482" s="60">
        <f t="shared" ref="S482" si="1431">+(Q482-Q475)/Q475</f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ref="Z482" si="1432">SUM(W477:W482)</f>
        <v>1073</v>
      </c>
      <c r="AA482" s="33">
        <f t="shared" ref="AA482" si="1433">+AA481+W482</f>
        <v>606219</v>
      </c>
      <c r="AB482" s="33"/>
      <c r="AC482" s="46">
        <f t="shared" ref="AC482" si="1434">+AA482/H482</f>
        <v>1.7791400924137755E-2</v>
      </c>
      <c r="AD482" s="33"/>
      <c r="AE482" s="33">
        <f t="shared" ref="AE482" si="1435">+AA482/BW482</f>
        <v>1281.6469344608879</v>
      </c>
      <c r="AF482" s="50"/>
      <c r="AG482" s="33">
        <f t="shared" ref="AG482" si="1436">SUM(W476:W482)</f>
        <v>1367</v>
      </c>
      <c r="AH482" s="33">
        <f t="shared" ref="AH482" si="1437">SUM(D453:D868)</f>
        <v>1115807714.060914</v>
      </c>
      <c r="AI482" s="213">
        <f t="shared" ref="AI482" si="1438">+(AG482-AG475)/AG475</f>
        <v>-0.29753340184994859</v>
      </c>
      <c r="AJ482" s="50"/>
      <c r="AK482" s="111"/>
      <c r="AL482" s="23">
        <f t="shared" ref="AL482" si="1439">+AP482-AP481</f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ref="AR482" si="1440">+AL482/AP481</f>
        <v>5.6673009791798512E-4</v>
      </c>
      <c r="AS482" s="25"/>
      <c r="AT482" s="25"/>
      <c r="AU482" s="24"/>
      <c r="AV482" s="298">
        <f t="shared" ref="AV482" si="1441">+AP482/H482</f>
        <v>0.85452290663522734</v>
      </c>
      <c r="AW482" s="298"/>
      <c r="AX482" s="24">
        <f t="shared" ref="AX482" si="1442">+AP482/BW482</f>
        <v>61557.64059196617</v>
      </c>
      <c r="AY482" s="308"/>
      <c r="AZ482" s="111"/>
      <c r="BA482" s="65">
        <f t="shared" ref="BA482" si="1443">+BC482-BC481</f>
        <v>380659</v>
      </c>
      <c r="BB482" s="66"/>
      <c r="BC482" s="66">
        <v>508465671</v>
      </c>
      <c r="BD482" s="66"/>
      <c r="BE482" s="66">
        <f t="shared" ref="BE482" si="1444">+D482</f>
        <v>5132</v>
      </c>
      <c r="BF482" s="66"/>
      <c r="BG482" s="144">
        <f t="shared" ref="BG482" si="1445">+BE482/BA482</f>
        <v>1.3481882734941247E-2</v>
      </c>
      <c r="BH482" s="66"/>
      <c r="BI482" s="170"/>
      <c r="BJ482" s="66"/>
      <c r="BK482" s="66">
        <f t="shared" ref="BK482" si="1446">SUM(BA476:BA482)</f>
        <v>3587598</v>
      </c>
      <c r="BL482" s="66"/>
      <c r="BM482" s="144">
        <f t="shared" ref="BM482" si="1447">+Q482/BK482</f>
        <v>2.2251935696251363E-2</v>
      </c>
      <c r="BN482" s="65">
        <f t="shared" ref="BN482" si="1448">+BC482/BW482</f>
        <v>1074980.2769556025</v>
      </c>
      <c r="BO482" s="66"/>
      <c r="BP482" s="66">
        <f t="shared" ref="BP482" si="1449">+BP481+BE482</f>
        <v>33166730</v>
      </c>
      <c r="BQ482" s="66"/>
      <c r="BR482" s="435">
        <f t="shared" ref="BR482" si="1450">+BP482/BC482</f>
        <v>6.5229044735254108E-2</v>
      </c>
      <c r="BS482" s="66"/>
      <c r="BT482" s="75"/>
      <c r="BU482" s="170"/>
      <c r="BV482" s="1"/>
      <c r="BW482" s="61">
        <f t="shared" si="1175"/>
        <v>473</v>
      </c>
    </row>
    <row r="483" spans="2:75" x14ac:dyDescent="0.3">
      <c r="B483" s="158">
        <f t="shared" si="424"/>
        <v>44383</v>
      </c>
      <c r="C483" s="61"/>
      <c r="D483" s="17">
        <v>11612</v>
      </c>
      <c r="E483" s="16"/>
      <c r="F483" s="16"/>
      <c r="G483" s="16"/>
      <c r="H483" s="16">
        <f t="shared" ref="H483" si="1451">+H482+D483</f>
        <v>34085320</v>
      </c>
      <c r="I483" s="16"/>
      <c r="J483" s="436">
        <f t="shared" ref="J483" si="1452">+D483/H482</f>
        <v>3.4079061779833294E-4</v>
      </c>
      <c r="K483" s="16"/>
      <c r="L483" s="16"/>
      <c r="M483" s="16"/>
      <c r="N483" s="16">
        <f t="shared" ref="N483" si="1453">SUM(D477:D483)</f>
        <v>80016</v>
      </c>
      <c r="O483" s="16">
        <f t="shared" ref="O483" si="1454">+H483/BW483</f>
        <v>71909.957805907179</v>
      </c>
      <c r="P483" s="41"/>
      <c r="Q483" s="17">
        <f t="shared" ref="Q483" si="1455">SUM(D477:D483)</f>
        <v>80016</v>
      </c>
      <c r="R483" s="16"/>
      <c r="S483" s="60">
        <f t="shared" ref="S483" si="1456">+(Q483-Q476)/Q476</f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ref="Z483" si="1457">SUM(W478:W483)</f>
        <v>1026</v>
      </c>
      <c r="AA483" s="33">
        <f t="shared" ref="AA483" si="1458">+AA482+W483</f>
        <v>606421</v>
      </c>
      <c r="AB483" s="33"/>
      <c r="AC483" s="46">
        <f t="shared" ref="AC483" si="1459">+AA483/H483</f>
        <v>1.7791266152114751E-2</v>
      </c>
      <c r="AD483" s="33"/>
      <c r="AE483" s="33">
        <f t="shared" ref="AE483" si="1460">+AA483/BW483</f>
        <v>1279.3691983122362</v>
      </c>
      <c r="AF483" s="50"/>
      <c r="AG483" s="33">
        <f t="shared" ref="AG483" si="1461">SUM(W477:W483)</f>
        <v>1275</v>
      </c>
      <c r="AH483" s="33">
        <f t="shared" ref="AH483" si="1462">SUM(D454:D869)</f>
        <v>1115801306.060914</v>
      </c>
      <c r="AI483" s="213">
        <f t="shared" ref="AI483" si="1463">+(AG483-AG476)/AG476</f>
        <v>-0.29519071310116085</v>
      </c>
      <c r="AJ483" s="50"/>
      <c r="AK483" s="111"/>
      <c r="AL483" s="23">
        <f t="shared" ref="AL483" si="1464">+AP483-AP482</f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ref="AR483" si="1465">+AL483/AP482</f>
        <v>9.7953879764935419E-4</v>
      </c>
      <c r="AS483" s="25"/>
      <c r="AT483" s="25"/>
      <c r="AU483" s="24"/>
      <c r="AV483" s="298">
        <f t="shared" ref="AV483" si="1466">+AP483/H483</f>
        <v>0.85506854563782886</v>
      </c>
      <c r="AW483" s="298"/>
      <c r="AX483" s="24">
        <f t="shared" ref="AX483" si="1467">+AP483/BW483</f>
        <v>61487.943037974685</v>
      </c>
      <c r="AY483" s="308"/>
      <c r="AZ483" s="111"/>
      <c r="BA483" s="65">
        <f t="shared" ref="BA483" si="1468">+BC483-BC482</f>
        <v>750932</v>
      </c>
      <c r="BB483" s="66"/>
      <c r="BC483" s="66">
        <v>509216603</v>
      </c>
      <c r="BD483" s="66"/>
      <c r="BE483" s="66">
        <f t="shared" ref="BE483" si="1469">+D483</f>
        <v>11612</v>
      </c>
      <c r="BF483" s="66"/>
      <c r="BG483" s="144">
        <f t="shared" ref="BG483" si="1470">+BE483/BA483</f>
        <v>1.5463450751865681E-2</v>
      </c>
      <c r="BH483" s="66"/>
      <c r="BI483" s="170"/>
      <c r="BJ483" s="66"/>
      <c r="BK483" s="66">
        <f t="shared" ref="BK483" si="1471">SUM(BA477:BA483)</f>
        <v>3824004</v>
      </c>
      <c r="BL483" s="66"/>
      <c r="BM483" s="144">
        <f t="shared" ref="BM483" si="1472">+Q483/BK483</f>
        <v>2.0924664304744451E-2</v>
      </c>
      <c r="BN483" s="65">
        <f t="shared" ref="BN483" si="1473">+BC483/BW483</f>
        <v>1074296.6308016877</v>
      </c>
      <c r="BO483" s="66"/>
      <c r="BP483" s="66">
        <f t="shared" ref="BP483" si="1474">+BP482+BE483</f>
        <v>33178342</v>
      </c>
      <c r="BQ483" s="66"/>
      <c r="BR483" s="435">
        <f t="shared" ref="BR483" si="1475">+BP483/BC483</f>
        <v>6.5155656364173975E-2</v>
      </c>
      <c r="BS483" s="66"/>
      <c r="BT483" s="75"/>
      <c r="BU483" s="170"/>
      <c r="BV483" s="1"/>
      <c r="BW483" s="61">
        <f t="shared" si="1175"/>
        <v>474</v>
      </c>
    </row>
    <row r="484" spans="2:75" x14ac:dyDescent="0.3">
      <c r="B484" s="158">
        <f t="shared" si="424"/>
        <v>44384</v>
      </c>
      <c r="C484" s="61"/>
      <c r="D484" s="17">
        <v>16812</v>
      </c>
      <c r="E484" s="16"/>
      <c r="F484" s="16"/>
      <c r="G484" s="16"/>
      <c r="H484" s="16">
        <f t="shared" ref="H484" si="1476">+H483+D484</f>
        <v>34102132</v>
      </c>
      <c r="I484" s="16"/>
      <c r="J484" s="436">
        <f t="shared" ref="J484" si="1477">+D484/H483</f>
        <v>4.9323286388392427E-4</v>
      </c>
      <c r="K484" s="16"/>
      <c r="L484" s="16"/>
      <c r="M484" s="16"/>
      <c r="N484" s="16">
        <f t="shared" ref="N484" si="1478">SUM(D478:D484)</f>
        <v>82631</v>
      </c>
      <c r="O484" s="16">
        <f t="shared" ref="O484" si="1479">+H484/BW484</f>
        <v>71793.962105263156</v>
      </c>
      <c r="P484" s="41"/>
      <c r="Q484" s="17">
        <f t="shared" ref="Q484" si="1480">SUM(D478:D484)</f>
        <v>82631</v>
      </c>
      <c r="R484" s="16"/>
      <c r="S484" s="60">
        <f t="shared" ref="S484" si="1481">+(Q484-Q477)/Q477</f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ref="Z484" si="1482">SUM(W479:W484)</f>
        <v>962</v>
      </c>
      <c r="AA484" s="33">
        <f t="shared" ref="AA484" si="1483">+AA483+W484</f>
        <v>606672</v>
      </c>
      <c r="AB484" s="33"/>
      <c r="AC484" s="46">
        <f t="shared" ref="AC484" si="1484">+AA484/H484</f>
        <v>1.7789855484695208E-2</v>
      </c>
      <c r="AD484" s="33"/>
      <c r="AE484" s="33">
        <f t="shared" ref="AE484" si="1485">+AA484/BW484</f>
        <v>1277.2042105263158</v>
      </c>
      <c r="AF484" s="50"/>
      <c r="AG484" s="33">
        <f t="shared" ref="AG484" si="1486">SUM(W478:W484)</f>
        <v>1277</v>
      </c>
      <c r="AH484" s="33">
        <f t="shared" ref="AH484" si="1487">SUM(D455:D870)</f>
        <v>1115789023.060914</v>
      </c>
      <c r="AI484" s="213">
        <f t="shared" ref="AI484" si="1488">+(AG484-AG477)/AG477</f>
        <v>-0.26142278773857719</v>
      </c>
      <c r="AJ484" s="50"/>
      <c r="AK484" s="111"/>
      <c r="AL484" s="23">
        <f t="shared" ref="AL484" si="1489">+AP484-AP483</f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ref="AR484" si="1490">+AL484/AP483</f>
        <v>7.9011064739974233E-4</v>
      </c>
      <c r="AS484" s="25"/>
      <c r="AT484" s="25"/>
      <c r="AU484" s="24"/>
      <c r="AV484" s="298">
        <f t="shared" ref="AV484" si="1491">+AP484/H484</f>
        <v>0.85532227134655392</v>
      </c>
      <c r="AW484" s="298"/>
      <c r="AX484" s="24">
        <f t="shared" ref="AX484" si="1492">+AP484/BW484</f>
        <v>61406.974736842109</v>
      </c>
      <c r="AY484" s="308"/>
      <c r="AZ484" s="111"/>
      <c r="BA484" s="65">
        <f t="shared" ref="BA484" si="1493">+BC484-BC483</f>
        <v>486270</v>
      </c>
      <c r="BB484" s="66"/>
      <c r="BC484" s="66">
        <v>509702873</v>
      </c>
      <c r="BD484" s="66"/>
      <c r="BE484" s="66">
        <f t="shared" ref="BE484" si="1494">+D484</f>
        <v>16812</v>
      </c>
      <c r="BF484" s="66"/>
      <c r="BG484" s="144">
        <f t="shared" ref="BG484" si="1495">+BE484/BA484</f>
        <v>3.4573385156394597E-2</v>
      </c>
      <c r="BH484" s="66"/>
      <c r="BI484" s="170"/>
      <c r="BJ484" s="66"/>
      <c r="BK484" s="66">
        <f t="shared" ref="BK484" si="1496">SUM(BA478:BA484)</f>
        <v>3543745</v>
      </c>
      <c r="BL484" s="66"/>
      <c r="BM484" s="144">
        <f t="shared" ref="BM484" si="1497">+Q484/BK484</f>
        <v>2.3317422670084895E-2</v>
      </c>
      <c r="BN484" s="65">
        <f t="shared" ref="BN484" si="1498">+BC484/BW484</f>
        <v>1073058.68</v>
      </c>
      <c r="BO484" s="66"/>
      <c r="BP484" s="66">
        <f t="shared" ref="BP484" si="1499">+BP483+BE484</f>
        <v>33195154</v>
      </c>
      <c r="BQ484" s="66"/>
      <c r="BR484" s="435">
        <f t="shared" ref="BR484" si="1500">+BP484/BC484</f>
        <v>6.5126480069889664E-2</v>
      </c>
      <c r="BS484" s="66"/>
      <c r="BT484" s="75"/>
      <c r="BU484" s="170"/>
      <c r="BV484" s="1"/>
      <c r="BW484" s="61">
        <f t="shared" si="1175"/>
        <v>475</v>
      </c>
    </row>
    <row r="485" spans="2:75" x14ac:dyDescent="0.3">
      <c r="B485" s="158">
        <f t="shared" si="424"/>
        <v>44385</v>
      </c>
      <c r="C485" s="61"/>
      <c r="D485" s="17">
        <v>19347</v>
      </c>
      <c r="E485" s="16"/>
      <c r="F485" s="16"/>
      <c r="G485" s="16"/>
      <c r="H485" s="16">
        <f t="shared" ref="H485" si="1501">+H484+D485</f>
        <v>34121479</v>
      </c>
      <c r="I485" s="16"/>
      <c r="J485" s="436">
        <f t="shared" ref="J485" si="1502">+D485/H484</f>
        <v>5.6732523350739477E-4</v>
      </c>
      <c r="K485" s="16"/>
      <c r="L485" s="16"/>
      <c r="M485" s="16"/>
      <c r="N485" s="16">
        <f t="shared" ref="N485" si="1503">SUM(D479:D485)</f>
        <v>85029</v>
      </c>
      <c r="O485" s="16">
        <f t="shared" ref="O485" si="1504">+H485/BW485</f>
        <v>71683.779411764699</v>
      </c>
      <c r="P485" s="41"/>
      <c r="Q485" s="17">
        <f t="shared" ref="Q485" si="1505">SUM(D479:D485)</f>
        <v>85029</v>
      </c>
      <c r="R485" s="16"/>
      <c r="S485" s="60">
        <f t="shared" ref="S485" si="1506">+(Q485-Q478)/Q478</f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ref="Z485" si="1507">SUM(W480:W485)</f>
        <v>901</v>
      </c>
      <c r="AA485" s="33">
        <f t="shared" ref="AA485" si="1508">+AA484+W485</f>
        <v>606933</v>
      </c>
      <c r="AB485" s="33"/>
      <c r="AC485" s="46">
        <f t="shared" ref="AC485" si="1509">+AA485/H485</f>
        <v>1.7787417714220419E-2</v>
      </c>
      <c r="AD485" s="33"/>
      <c r="AE485" s="33">
        <f t="shared" ref="AE485" si="1510">+AA485/BW485</f>
        <v>1275.0693277310925</v>
      </c>
      <c r="AF485" s="50"/>
      <c r="AG485" s="33">
        <f t="shared" ref="AG485" si="1511">SUM(W479:W485)</f>
        <v>1223</v>
      </c>
      <c r="AH485" s="33">
        <f t="shared" ref="AH485" si="1512">SUM(D456:D871)</f>
        <v>1115775481.060914</v>
      </c>
      <c r="AI485" s="213">
        <f t="shared" ref="AI485" si="1513">+(AG485-AG478)/AG478</f>
        <v>-0.26502403846153844</v>
      </c>
      <c r="AJ485" s="50"/>
      <c r="AK485" s="111"/>
      <c r="AL485" s="23">
        <f t="shared" ref="AL485" si="1514">+AP485-AP484</f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ref="AR485" si="1515">+AL485/AP484</f>
        <v>1.1997608500704171E-3</v>
      </c>
      <c r="AS485" s="25"/>
      <c r="AT485" s="25"/>
      <c r="AU485" s="24"/>
      <c r="AV485" s="298">
        <f t="shared" ref="AV485" si="1516">+AP485/H485</f>
        <v>0.85586290090180439</v>
      </c>
      <c r="AW485" s="298"/>
      <c r="AX485" s="24">
        <f t="shared" ref="AX485" si="1517">+AP485/BW485</f>
        <v>61351.487394957985</v>
      </c>
      <c r="AY485" s="308"/>
      <c r="AZ485" s="111"/>
      <c r="BA485" s="65">
        <f t="shared" ref="BA485" si="1518">+BC485-BC484</f>
        <v>777468</v>
      </c>
      <c r="BB485" s="66"/>
      <c r="BC485" s="66">
        <v>510480341</v>
      </c>
      <c r="BD485" s="66"/>
      <c r="BE485" s="66">
        <f t="shared" ref="BE485" si="1519">+D485</f>
        <v>19347</v>
      </c>
      <c r="BF485" s="66"/>
      <c r="BG485" s="144">
        <f t="shared" ref="BG485" si="1520">+BE485/BA485</f>
        <v>2.4884625476546945E-2</v>
      </c>
      <c r="BH485" s="66"/>
      <c r="BI485" s="170"/>
      <c r="BJ485" s="66"/>
      <c r="BK485" s="66">
        <f t="shared" ref="BK485" si="1521">SUM(BA479:BA485)</f>
        <v>3875729</v>
      </c>
      <c r="BL485" s="66"/>
      <c r="BM485" s="144">
        <f t="shared" ref="BM485" si="1522">+Q485/BK485</f>
        <v>2.193884040912045E-2</v>
      </c>
      <c r="BN485" s="65">
        <f t="shared" ref="BN485" si="1523">+BC485/BW485</f>
        <v>1072437.6911764706</v>
      </c>
      <c r="BO485" s="66"/>
      <c r="BP485" s="66">
        <f t="shared" ref="BP485" si="1524">+BP484+BE485</f>
        <v>33214501</v>
      </c>
      <c r="BQ485" s="66"/>
      <c r="BR485" s="435">
        <f t="shared" ref="BR485" si="1525">+BP485/BC485</f>
        <v>6.5065191217618307E-2</v>
      </c>
      <c r="BS485" s="66"/>
      <c r="BT485" s="75"/>
      <c r="BU485" s="170"/>
      <c r="BV485" s="1"/>
      <c r="BW485" s="61">
        <f t="shared" si="1175"/>
        <v>476</v>
      </c>
    </row>
    <row r="486" spans="2:75" x14ac:dyDescent="0.3">
      <c r="B486" s="158">
        <f t="shared" si="424"/>
        <v>44386</v>
      </c>
      <c r="C486" s="61"/>
      <c r="D486" s="17">
        <v>27237</v>
      </c>
      <c r="E486" s="16"/>
      <c r="F486" s="16"/>
      <c r="G486" s="16"/>
      <c r="H486" s="16">
        <f t="shared" ref="H486" si="1526">+H485+D486</f>
        <v>34148716</v>
      </c>
      <c r="I486" s="16"/>
      <c r="J486" s="436">
        <f t="shared" ref="J486" si="1527">+D486/H485</f>
        <v>7.9823620775641051E-4</v>
      </c>
      <c r="K486" s="16"/>
      <c r="L486" s="16"/>
      <c r="M486" s="16"/>
      <c r="N486" s="16">
        <f t="shared" ref="N486" si="1528">SUM(D480:D486)</f>
        <v>93867</v>
      </c>
      <c r="O486" s="16">
        <f t="shared" ref="O486" si="1529">+H486/BW486</f>
        <v>71590.599580712791</v>
      </c>
      <c r="P486" s="41"/>
      <c r="Q486" s="17">
        <f t="shared" ref="Q486" si="1530">SUM(D480:D486)</f>
        <v>93867</v>
      </c>
      <c r="R486" s="16"/>
      <c r="S486" s="60">
        <f t="shared" ref="S486" si="1531">+(Q486-Q479)/Q479</f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ref="Z486" si="1532">SUM(W481:W486)</f>
        <v>1171</v>
      </c>
      <c r="AA486" s="33">
        <f t="shared" ref="AA486" si="1533">+AA485+W486</f>
        <v>607299</v>
      </c>
      <c r="AB486" s="33"/>
      <c r="AC486" s="46">
        <f t="shared" ref="AC486" si="1534">+AA486/H486</f>
        <v>1.7783948304234923E-2</v>
      </c>
      <c r="AD486" s="33"/>
      <c r="AE486" s="33">
        <f t="shared" ref="AE486" si="1535">+AA486/BW486</f>
        <v>1273.1635220125786</v>
      </c>
      <c r="AF486" s="50"/>
      <c r="AG486" s="33">
        <f t="shared" ref="AG486" si="1536">SUM(W480:W486)</f>
        <v>1267</v>
      </c>
      <c r="AH486" s="33">
        <f t="shared" ref="AH486" si="1537">SUM(D457:D872)</f>
        <v>1115761280.060914</v>
      </c>
      <c r="AI486" s="213">
        <f t="shared" ref="AI486" si="1538">+(AG486-AG479)/AG479</f>
        <v>-0.20762976860537835</v>
      </c>
      <c r="AJ486" s="50"/>
      <c r="AK486" s="111"/>
      <c r="AL486" s="23">
        <f t="shared" ref="AL486" si="1539">+AP486-AP485</f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ref="AR486" si="1540">+AL486/AP485</f>
        <v>6.7334837546486172E-4</v>
      </c>
      <c r="AS486" s="25"/>
      <c r="AT486" s="25"/>
      <c r="AU486" s="24"/>
      <c r="AV486" s="298">
        <f t="shared" ref="AV486" si="1541">+AP486/H486</f>
        <v>0.8557560992922838</v>
      </c>
      <c r="AW486" s="298"/>
      <c r="AX486" s="24">
        <f t="shared" ref="AX486" si="1542">+AP486/BW486</f>
        <v>61264.092243186584</v>
      </c>
      <c r="AY486" s="308"/>
      <c r="AZ486" s="111"/>
      <c r="BA486" s="65">
        <f t="shared" ref="BA486" si="1543">+BC486-BC485</f>
        <v>947663</v>
      </c>
      <c r="BB486" s="66"/>
      <c r="BC486" s="66">
        <v>511428004</v>
      </c>
      <c r="BD486" s="66"/>
      <c r="BE486" s="66">
        <f t="shared" ref="BE486" si="1544">+D486</f>
        <v>27237</v>
      </c>
      <c r="BF486" s="66"/>
      <c r="BG486" s="144">
        <f t="shared" ref="BG486" si="1545">+BE486/BA486</f>
        <v>2.8741229740952216E-2</v>
      </c>
      <c r="BH486" s="66"/>
      <c r="BI486" s="170"/>
      <c r="BJ486" s="66"/>
      <c r="BK486" s="66">
        <f t="shared" ref="BK486" si="1546">SUM(BA480:BA486)</f>
        <v>4081419</v>
      </c>
      <c r="BL486" s="66"/>
      <c r="BM486" s="144">
        <f t="shared" ref="BM486" si="1547">+Q486/BK486</f>
        <v>2.2998618862704368E-2</v>
      </c>
      <c r="BN486" s="65">
        <f t="shared" ref="BN486" si="1548">+BC486/BW486</f>
        <v>1072176.109014675</v>
      </c>
      <c r="BO486" s="66"/>
      <c r="BP486" s="66">
        <f t="shared" ref="BP486" si="1549">+BP485+BE486</f>
        <v>33241738</v>
      </c>
      <c r="BQ486" s="66"/>
      <c r="BR486" s="435">
        <f t="shared" ref="BR486" si="1550">+BP486/BC486</f>
        <v>6.4997883846814139E-2</v>
      </c>
      <c r="BS486" s="66"/>
      <c r="BT486" s="75"/>
      <c r="BU486" s="170"/>
      <c r="BV486" s="1"/>
      <c r="BW486" s="61">
        <f t="shared" si="1175"/>
        <v>477</v>
      </c>
    </row>
    <row r="487" spans="2:75" x14ac:dyDescent="0.3">
      <c r="B487" s="158">
        <f t="shared" si="424"/>
        <v>44387</v>
      </c>
      <c r="C487" s="61"/>
      <c r="D487" s="17">
        <v>14535</v>
      </c>
      <c r="E487" s="16"/>
      <c r="F487" s="16"/>
      <c r="G487" s="16"/>
      <c r="H487" s="16">
        <f t="shared" ref="H487" si="1551">+H486+D487</f>
        <v>34163251</v>
      </c>
      <c r="I487" s="16"/>
      <c r="J487" s="436">
        <f t="shared" ref="J487" si="1552">+D487/H486</f>
        <v>4.2563825825837784E-4</v>
      </c>
      <c r="K487" s="16"/>
      <c r="L487" s="16"/>
      <c r="M487" s="16"/>
      <c r="N487" s="16">
        <f t="shared" ref="N487" si="1553">SUM(D481:D487)</f>
        <v>100424</v>
      </c>
      <c r="O487" s="16">
        <f t="shared" ref="O487" si="1554">+H487/BW487</f>
        <v>71471.236401673639</v>
      </c>
      <c r="P487" s="41"/>
      <c r="Q487" s="17">
        <f t="shared" ref="Q487" si="1555">SUM(D481:D487)</f>
        <v>100424</v>
      </c>
      <c r="R487" s="16"/>
      <c r="S487" s="60">
        <f t="shared" ref="S487" si="1556">+(Q487-Q480)/Q480</f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ref="Z487" si="1557">SUM(W482:W487)</f>
        <v>1234</v>
      </c>
      <c r="AA487" s="33">
        <f t="shared" ref="AA487" si="1558">+AA486+W487</f>
        <v>607417</v>
      </c>
      <c r="AB487" s="33"/>
      <c r="AC487" s="46">
        <f t="shared" ref="AC487" si="1559">+AA487/H487</f>
        <v>1.7779835999799903E-2</v>
      </c>
      <c r="AD487" s="33"/>
      <c r="AE487" s="33">
        <f t="shared" ref="AE487" si="1560">+AA487/BW487</f>
        <v>1270.7468619246863</v>
      </c>
      <c r="AF487" s="50"/>
      <c r="AG487" s="33">
        <f t="shared" ref="AG487" si="1561">SUM(W481:W487)</f>
        <v>1289</v>
      </c>
      <c r="AH487" s="33">
        <f t="shared" ref="AH487" si="1562">SUM(D458:D873)</f>
        <v>1115744516.060914</v>
      </c>
      <c r="AI487" s="213">
        <f t="shared" ref="AI487" si="1563">+(AG487-AG480)/AG480</f>
        <v>-0.16623544631306597</v>
      </c>
      <c r="AJ487" s="50"/>
      <c r="AK487" s="111"/>
      <c r="AL487" s="23">
        <f t="shared" ref="AL487" si="1564">+AP487-AP486</f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ref="AR487" si="1565">+AL487/AP486</f>
        <v>4.091986263409485E-4</v>
      </c>
      <c r="AS487" s="25"/>
      <c r="AT487" s="25"/>
      <c r="AU487" s="24"/>
      <c r="AV487" s="298">
        <f t="shared" ref="AV487" si="1566">+AP487/H487</f>
        <v>0.85574203696246587</v>
      </c>
      <c r="AW487" s="298"/>
      <c r="AX487" s="24">
        <f t="shared" ref="AX487" si="1567">+AP487/BW487</f>
        <v>61160.941422594144</v>
      </c>
      <c r="AY487" s="308"/>
      <c r="AZ487" s="111"/>
      <c r="BA487" s="65">
        <f t="shared" ref="BA487" si="1568">+BC487-BC486</f>
        <v>242661</v>
      </c>
      <c r="BB487" s="66"/>
      <c r="BC487" s="66">
        <v>511670665</v>
      </c>
      <c r="BD487" s="66"/>
      <c r="BE487" s="66">
        <f t="shared" ref="BE487" si="1569">+D487</f>
        <v>14535</v>
      </c>
      <c r="BF487" s="66"/>
      <c r="BG487" s="144">
        <f t="shared" ref="BG487" si="1570">+BE487/BA487</f>
        <v>5.9898376747808672E-2</v>
      </c>
      <c r="BH487" s="66"/>
      <c r="BI487" s="170"/>
      <c r="BJ487" s="66"/>
      <c r="BK487" s="66">
        <f t="shared" ref="BK487" si="1571">SUM(BA481:BA487)</f>
        <v>4068789</v>
      </c>
      <c r="BL487" s="66"/>
      <c r="BM487" s="144">
        <f t="shared" ref="BM487" si="1572">+Q487/BK487</f>
        <v>2.4681545295172594E-2</v>
      </c>
      <c r="BN487" s="65">
        <f t="shared" ref="BN487" si="1573">+BC487/BW487</f>
        <v>1070440.7217573221</v>
      </c>
      <c r="BO487" s="66"/>
      <c r="BP487" s="66">
        <f t="shared" ref="BP487" si="1574">+BP486+BE487</f>
        <v>33256273</v>
      </c>
      <c r="BQ487" s="66"/>
      <c r="BR487" s="435">
        <f t="shared" ref="BR487" si="1575">+BP487/BC487</f>
        <v>6.4995465393741111E-2</v>
      </c>
      <c r="BS487" s="66"/>
      <c r="BT487" s="75"/>
      <c r="BU487" s="170"/>
      <c r="BV487" s="1"/>
      <c r="BW487" s="61">
        <f t="shared" si="1175"/>
        <v>478</v>
      </c>
    </row>
    <row r="488" spans="2:75" x14ac:dyDescent="0.3">
      <c r="B488" s="347">
        <f t="shared" si="424"/>
        <v>44388</v>
      </c>
      <c r="C488" s="61"/>
      <c r="D488" s="17">
        <v>6642</v>
      </c>
      <c r="E488" s="16"/>
      <c r="F488" s="16"/>
      <c r="G488" s="16"/>
      <c r="H488" s="16">
        <f t="shared" ref="H488" si="1576">+H487+D488</f>
        <v>34169893</v>
      </c>
      <c r="I488" s="16"/>
      <c r="J488" s="436">
        <f t="shared" ref="J488" si="1577">+D488/H487</f>
        <v>1.9441943625330037E-4</v>
      </c>
      <c r="K488" s="16"/>
      <c r="L488" s="16"/>
      <c r="M488" s="16"/>
      <c r="N488" s="16">
        <f t="shared" ref="N488" si="1578">SUM(D482:D488)</f>
        <v>101317</v>
      </c>
      <c r="O488" s="16">
        <f t="shared" ref="O488" si="1579">+H488/BW488</f>
        <v>71335.893528183718</v>
      </c>
      <c r="P488" s="41"/>
      <c r="Q488" s="17">
        <f t="shared" ref="Q488" si="1580">SUM(D482:D488)</f>
        <v>101317</v>
      </c>
      <c r="R488" s="16"/>
      <c r="S488" s="60">
        <f t="shared" ref="S488" si="1581">+(Q488-Q481)/Q481</f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ref="Z488" si="1582">SUM(W483:W488)</f>
        <v>1225</v>
      </c>
      <c r="AA488" s="33">
        <f t="shared" ref="AA488" si="1583">+AA487+W488</f>
        <v>607444</v>
      </c>
      <c r="AB488" s="33"/>
      <c r="AC488" s="46">
        <f t="shared" ref="AC488" si="1584">+AA488/H488</f>
        <v>1.777717009532339E-2</v>
      </c>
      <c r="AD488" s="33"/>
      <c r="AE488" s="33">
        <f t="shared" ref="AE488" si="1585">+AA488/BW488</f>
        <v>1268.1503131524009</v>
      </c>
      <c r="AF488" s="50"/>
      <c r="AG488" s="33">
        <f t="shared" ref="AG488" si="1586">SUM(W482:W488)</f>
        <v>1261</v>
      </c>
      <c r="AH488" s="33">
        <f t="shared" ref="AH488" si="1587">SUM(D459:D874)</f>
        <v>1115728371.060914</v>
      </c>
      <c r="AI488" s="213">
        <f t="shared" ref="AI488" si="1588">+(AG488-AG481)/AG481</f>
        <v>-0.15652173913043479</v>
      </c>
      <c r="AJ488" s="50"/>
      <c r="AK488" s="111"/>
      <c r="AL488" s="23">
        <f t="shared" ref="AL488" si="1589">+AP488-AP487</f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ref="AR488" si="1590">+AL488/AP487</f>
        <v>3.1376849542653256E-4</v>
      </c>
      <c r="AS488" s="25"/>
      <c r="AT488" s="25"/>
      <c r="AU488" s="24"/>
      <c r="AV488" s="298">
        <f t="shared" ref="AV488" si="1591">+AP488/H488</f>
        <v>0.85584414911688489</v>
      </c>
      <c r="AW488" s="298"/>
      <c r="AX488" s="24">
        <f t="shared" ref="AX488" si="1592">+AP488/BW488</f>
        <v>61052.407098121083</v>
      </c>
      <c r="AY488" s="308"/>
      <c r="AZ488" s="111"/>
      <c r="BA488" s="65">
        <f t="shared" ref="BA488" si="1593">+BC488-BC487</f>
        <v>134862</v>
      </c>
      <c r="BB488" s="66"/>
      <c r="BC488" s="66">
        <v>511805527</v>
      </c>
      <c r="BD488" s="66"/>
      <c r="BE488" s="66">
        <f t="shared" ref="BE488" si="1594">+D488</f>
        <v>6642</v>
      </c>
      <c r="BF488" s="66"/>
      <c r="BG488" s="144">
        <f t="shared" ref="BG488" si="1595">+BE488/BA488</f>
        <v>4.9250344796903503E-2</v>
      </c>
      <c r="BH488" s="66"/>
      <c r="BI488" s="170"/>
      <c r="BJ488" s="66"/>
      <c r="BK488" s="66">
        <f t="shared" ref="BK488" si="1596">SUM(BA482:BA488)</f>
        <v>3720515</v>
      </c>
      <c r="BL488" s="66"/>
      <c r="BM488" s="144">
        <f t="shared" ref="BM488" si="1597">+Q488/BK488</f>
        <v>2.7231982669065975E-2</v>
      </c>
      <c r="BN488" s="65">
        <f t="shared" ref="BN488" si="1598">+BC488/BW488</f>
        <v>1068487.5302713988</v>
      </c>
      <c r="BO488" s="66"/>
      <c r="BP488" s="66">
        <f t="shared" ref="BP488" si="1599">+BP487+BE488</f>
        <v>33262915</v>
      </c>
      <c r="BQ488" s="66"/>
      <c r="BR488" s="435">
        <f t="shared" ref="BR488" si="1600">+BP488/BC488</f>
        <v>6.4991316516204795E-2</v>
      </c>
      <c r="BS488" s="66"/>
      <c r="BT488" s="75"/>
      <c r="BU488" s="170"/>
      <c r="BV488" s="1"/>
      <c r="BW488" s="61">
        <f t="shared" si="1175"/>
        <v>479</v>
      </c>
    </row>
    <row r="489" spans="2:75" x14ac:dyDescent="0.3">
      <c r="B489" s="158">
        <f t="shared" si="424"/>
        <v>44389</v>
      </c>
      <c r="C489" s="61"/>
      <c r="D489" s="17">
        <v>19996</v>
      </c>
      <c r="E489" s="16"/>
      <c r="F489" s="16"/>
      <c r="G489" s="16"/>
      <c r="H489" s="16">
        <f t="shared" ref="H489" si="1601">+H488+D489</f>
        <v>34189889</v>
      </c>
      <c r="I489" s="16"/>
      <c r="J489" s="436">
        <f t="shared" ref="J489" si="1602">+D489/H488</f>
        <v>5.8519352109179853E-4</v>
      </c>
      <c r="K489" s="16"/>
      <c r="L489" s="16"/>
      <c r="M489" s="16"/>
      <c r="N489" s="16">
        <f t="shared" ref="N489" si="1603">SUM(D483:D489)</f>
        <v>116181</v>
      </c>
      <c r="O489" s="16">
        <f t="shared" ref="O489" si="1604">+H489/BW489</f>
        <v>71228.93541666666</v>
      </c>
      <c r="P489" s="41"/>
      <c r="Q489" s="17">
        <f t="shared" ref="Q489" si="1605">SUM(D483:D489)</f>
        <v>116181</v>
      </c>
      <c r="R489" s="16"/>
      <c r="S489" s="60">
        <f t="shared" ref="S489" si="1606">+(Q489-Q482)/Q482</f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ref="Z489" si="1607">SUM(W484:W489)</f>
        <v>1186</v>
      </c>
      <c r="AA489" s="33">
        <f t="shared" ref="AA489" si="1608">+AA488+W489</f>
        <v>607607</v>
      </c>
      <c r="AB489" s="33"/>
      <c r="AC489" s="46">
        <f t="shared" ref="AC489" si="1609">+AA489/H489</f>
        <v>1.7771540586165695E-2</v>
      </c>
      <c r="AD489" s="33"/>
      <c r="AE489" s="33">
        <f t="shared" ref="AE489" si="1610">+AA489/BW489</f>
        <v>1265.8479166666666</v>
      </c>
      <c r="AF489" s="50"/>
      <c r="AG489" s="33">
        <f t="shared" ref="AG489" si="1611">SUM(W483:W489)</f>
        <v>1388</v>
      </c>
      <c r="AH489" s="33">
        <f t="shared" ref="AH489" si="1612">SUM(D460:D875)</f>
        <v>1115718944.060914</v>
      </c>
      <c r="AI489" s="213">
        <f t="shared" ref="AI489" si="1613">+(AG489-AG482)/AG482</f>
        <v>1.5362106803218726E-2</v>
      </c>
      <c r="AJ489" s="50"/>
      <c r="AK489" s="111"/>
      <c r="AL489" s="23">
        <f t="shared" ref="AL489" si="1614">+AP489-AP488</f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ref="AR489" si="1615">+AL489/AP488</f>
        <v>1.2838143813130463E-3</v>
      </c>
      <c r="AS489" s="25"/>
      <c r="AT489" s="25"/>
      <c r="AU489" s="24"/>
      <c r="AV489" s="298">
        <f t="shared" ref="AV489" si="1616">+AP489/H489</f>
        <v>0.85644171000379676</v>
      </c>
      <c r="AW489" s="298"/>
      <c r="AX489" s="24">
        <f t="shared" ref="AX489" si="1617">+AP489/BW489</f>
        <v>61003.431250000001</v>
      </c>
      <c r="AY489" s="308"/>
      <c r="AZ489" s="111"/>
      <c r="BA489" s="65">
        <f t="shared" ref="BA489" si="1618">+BC489-BC488</f>
        <v>1358363</v>
      </c>
      <c r="BB489" s="66"/>
      <c r="BC489" s="66">
        <v>513163890</v>
      </c>
      <c r="BD489" s="66"/>
      <c r="BE489" s="66">
        <f t="shared" ref="BE489" si="1619">+D489</f>
        <v>19996</v>
      </c>
      <c r="BF489" s="66"/>
      <c r="BG489" s="144">
        <f t="shared" ref="BG489" si="1620">+BE489/BA489</f>
        <v>1.4720660088650825E-2</v>
      </c>
      <c r="BH489" s="66"/>
      <c r="BI489" s="170"/>
      <c r="BJ489" s="66"/>
      <c r="BK489" s="66">
        <f t="shared" ref="BK489" si="1621">SUM(BA483:BA489)</f>
        <v>4698219</v>
      </c>
      <c r="BL489" s="66"/>
      <c r="BM489" s="144">
        <f t="shared" ref="BM489" si="1622">+Q489/BK489</f>
        <v>2.4728732313244656E-2</v>
      </c>
      <c r="BN489" s="65">
        <f t="shared" ref="BN489" si="1623">+BC489/BW489</f>
        <v>1069091.4375</v>
      </c>
      <c r="BO489" s="66"/>
      <c r="BP489" s="66">
        <f t="shared" ref="BP489" si="1624">+BP488+BE489</f>
        <v>33282911</v>
      </c>
      <c r="BQ489" s="66"/>
      <c r="BR489" s="435">
        <f t="shared" ref="BR489" si="1625">+BP489/BC489</f>
        <v>6.4858248307377978E-2</v>
      </c>
      <c r="BS489" s="66"/>
      <c r="BT489" s="75"/>
      <c r="BU489" s="170"/>
      <c r="BV489" s="1"/>
      <c r="BW489" s="61">
        <f t="shared" si="1175"/>
        <v>480</v>
      </c>
    </row>
    <row r="490" spans="2:75" x14ac:dyDescent="0.3">
      <c r="B490" s="158">
        <f t="shared" si="424"/>
        <v>44390</v>
      </c>
      <c r="C490" s="61"/>
      <c r="D490" s="17">
        <v>39754</v>
      </c>
      <c r="E490" s="16"/>
      <c r="F490" s="16"/>
      <c r="G490" s="16"/>
      <c r="H490" s="16">
        <f t="shared" ref="H490" si="1626">+H489+D490</f>
        <v>34229643</v>
      </c>
      <c r="I490" s="16"/>
      <c r="J490" s="436">
        <f t="shared" ref="J490" si="1627">+D490/H489</f>
        <v>1.1627414174991912E-3</v>
      </c>
      <c r="K490" s="16"/>
      <c r="L490" s="16"/>
      <c r="M490" s="16"/>
      <c r="N490" s="16">
        <f t="shared" ref="N490" si="1628">SUM(D484:D490)</f>
        <v>144323</v>
      </c>
      <c r="O490" s="16">
        <f t="shared" ref="O490" si="1629">+H490/BW490</f>
        <v>71163.498960498953</v>
      </c>
      <c r="P490" s="41"/>
      <c r="Q490" s="17">
        <f t="shared" ref="Q490" si="1630">SUM(D484:D490)</f>
        <v>144323</v>
      </c>
      <c r="R490" s="16"/>
      <c r="S490" s="60">
        <f t="shared" ref="S490" si="1631">+(Q490-Q483)/Q483</f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ref="Z490" si="1632">SUM(W485:W490)</f>
        <v>1106</v>
      </c>
      <c r="AA490" s="33">
        <f t="shared" ref="AA490" si="1633">+AA489+W490</f>
        <v>607778</v>
      </c>
      <c r="AB490" s="33"/>
      <c r="AC490" s="46">
        <f t="shared" ref="AC490" si="1634">+AA490/H490</f>
        <v>1.7755896548497452E-2</v>
      </c>
      <c r="AD490" s="33"/>
      <c r="AE490" s="33">
        <f t="shared" ref="AE490" si="1635">+AA490/BW490</f>
        <v>1263.5717255717257</v>
      </c>
      <c r="AF490" s="50"/>
      <c r="AG490" s="33">
        <f t="shared" ref="AG490" si="1636">SUM(W484:W490)</f>
        <v>1357</v>
      </c>
      <c r="AH490" s="33">
        <f t="shared" ref="AH490" si="1637">SUM(D461:D876)</f>
        <v>1115713659.060914</v>
      </c>
      <c r="AI490" s="213">
        <f t="shared" ref="AI490" si="1638">+(AG490-AG483)/AG483</f>
        <v>6.431372549019608E-2</v>
      </c>
      <c r="AJ490" s="50"/>
      <c r="AK490" s="111" t="s">
        <v>26</v>
      </c>
      <c r="AL490" s="23">
        <f t="shared" ref="AL490" si="1639">+AP490-AP489</f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ref="AR490" si="1640">+AL490/AP489</f>
        <v>6.2677485320412473E-4</v>
      </c>
      <c r="AS490" s="25"/>
      <c r="AT490" s="25"/>
      <c r="AU490" s="24"/>
      <c r="AV490" s="298">
        <f t="shared" ref="AV490" si="1641">+AP490/H490</f>
        <v>0.85598321898945895</v>
      </c>
      <c r="AW490" s="298"/>
      <c r="AX490" s="24">
        <f t="shared" ref="AX490" si="1642">+AP490/BW490</f>
        <v>60914.760914760918</v>
      </c>
      <c r="AY490" s="308"/>
      <c r="AZ490" s="111" t="s">
        <v>26</v>
      </c>
      <c r="BA490" s="65">
        <f t="shared" ref="BA490" si="1643">+BC490-BC489</f>
        <v>536110</v>
      </c>
      <c r="BB490" s="66"/>
      <c r="BC490" s="66">
        <v>513700000</v>
      </c>
      <c r="BD490" s="66"/>
      <c r="BE490" s="66">
        <f t="shared" ref="BE490" si="1644">+D490</f>
        <v>39754</v>
      </c>
      <c r="BF490" s="66"/>
      <c r="BG490" s="144">
        <f t="shared" ref="BG490" si="1645">+BE490/BA490</f>
        <v>7.4152692544440513E-2</v>
      </c>
      <c r="BH490" s="66"/>
      <c r="BI490" s="170"/>
      <c r="BJ490" s="66"/>
      <c r="BK490" s="66">
        <f t="shared" ref="BK490" si="1646">SUM(BA484:BA490)</f>
        <v>4483397</v>
      </c>
      <c r="BL490" s="66"/>
      <c r="BM490" s="144">
        <f t="shared" ref="BM490" si="1647">+Q490/BK490</f>
        <v>3.2190546587777077E-2</v>
      </c>
      <c r="BN490" s="65">
        <f t="shared" ref="BN490" si="1648">+BC490/BW490</f>
        <v>1067983.367983368</v>
      </c>
      <c r="BO490" s="66"/>
      <c r="BP490" s="66">
        <f t="shared" ref="BP490" si="1649">+BP489+BE490</f>
        <v>33322665</v>
      </c>
      <c r="BQ490" s="66"/>
      <c r="BR490" s="435">
        <f t="shared" ref="BR490" si="1650">+BP490/BC490</f>
        <v>6.4867948218804747E-2</v>
      </c>
      <c r="BS490" s="66"/>
      <c r="BT490" s="75"/>
      <c r="BU490" s="170"/>
      <c r="BV490" s="1"/>
      <c r="BW490" s="61">
        <f t="shared" si="1175"/>
        <v>481</v>
      </c>
    </row>
    <row r="491" spans="2:75" x14ac:dyDescent="0.3">
      <c r="B491" s="158">
        <f t="shared" si="424"/>
        <v>44391</v>
      </c>
      <c r="C491" s="61"/>
      <c r="D491" s="17">
        <v>35447</v>
      </c>
      <c r="E491" s="16"/>
      <c r="F491" s="16"/>
      <c r="G491" s="16"/>
      <c r="H491" s="16">
        <f t="shared" ref="H491" si="1651">+H490+D491</f>
        <v>34265090</v>
      </c>
      <c r="I491" s="16"/>
      <c r="J491" s="436">
        <f t="shared" ref="J491" si="1652">+D491/H490</f>
        <v>1.0355644083112406E-3</v>
      </c>
      <c r="K491" s="16"/>
      <c r="L491" s="16"/>
      <c r="M491" s="16"/>
      <c r="N491" s="16">
        <f t="shared" ref="N491" si="1653">SUM(D485:D491)</f>
        <v>162958</v>
      </c>
      <c r="O491" s="16">
        <f t="shared" ref="O491" si="1654">+H491/BW491</f>
        <v>71089.398340248968</v>
      </c>
      <c r="P491" s="41"/>
      <c r="Q491" s="17">
        <f t="shared" ref="Q491" si="1655">SUM(D485:D491)</f>
        <v>162958</v>
      </c>
      <c r="R491" s="16"/>
      <c r="S491" s="60">
        <f t="shared" ref="S491" si="1656">+(Q491-Q484)/Q484</f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ref="Z491" si="1657">SUM(W486:W491)</f>
        <v>1192</v>
      </c>
      <c r="AA491" s="33">
        <f t="shared" ref="AA491" si="1658">+AA490+W491</f>
        <v>608125</v>
      </c>
      <c r="AB491" s="33"/>
      <c r="AC491" s="46">
        <f t="shared" ref="AC491" si="1659">+AA491/H491</f>
        <v>1.7747655120707403E-2</v>
      </c>
      <c r="AD491" s="33"/>
      <c r="AE491" s="33">
        <f t="shared" ref="AE491" si="1660">+AA491/BW491</f>
        <v>1261.6701244813278</v>
      </c>
      <c r="AF491" s="50"/>
      <c r="AG491" s="33">
        <f t="shared" ref="AG491" si="1661">SUM(W485:W491)</f>
        <v>1453</v>
      </c>
      <c r="AH491" s="33">
        <f t="shared" ref="AH491" si="1662">SUM(D462:D877)</f>
        <v>1115702138.060914</v>
      </c>
      <c r="AI491" s="213">
        <f t="shared" ref="AI491" si="1663">+(AG491-AG484)/AG484</f>
        <v>0.13782302270947533</v>
      </c>
      <c r="AJ491" s="50"/>
      <c r="AK491" s="111"/>
      <c r="AL491" s="23">
        <f t="shared" ref="AL491" si="1664">+AP491-AP490</f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ref="AR491" si="1665">+AL491/AP490</f>
        <v>8.2935153583617749E-4</v>
      </c>
      <c r="AS491" s="25"/>
      <c r="AT491" s="25"/>
      <c r="AU491" s="24"/>
      <c r="AV491" s="298">
        <f t="shared" ref="AV491" si="1666">+AP491/H491</f>
        <v>0.85580688683438455</v>
      </c>
      <c r="AW491" s="298"/>
      <c r="AX491" s="24">
        <f t="shared" ref="AX491" si="1667">+AP491/BW491</f>
        <v>60838.796680497922</v>
      </c>
      <c r="AY491" s="308"/>
      <c r="AZ491" s="111"/>
      <c r="BA491" s="65">
        <f t="shared" ref="BA491" si="1668">+BC491-BC490</f>
        <v>874420</v>
      </c>
      <c r="BB491" s="66"/>
      <c r="BC491" s="66">
        <v>514574420</v>
      </c>
      <c r="BD491" s="66"/>
      <c r="BE491" s="66">
        <f t="shared" ref="BE491" si="1669">+D491</f>
        <v>35447</v>
      </c>
      <c r="BF491" s="66"/>
      <c r="BG491" s="144">
        <f t="shared" ref="BG491" si="1670">+BE491/BA491</f>
        <v>4.0537727865327874E-2</v>
      </c>
      <c r="BH491" s="66"/>
      <c r="BI491" s="170"/>
      <c r="BJ491" s="66"/>
      <c r="BK491" s="66">
        <f t="shared" ref="BK491" si="1671">SUM(BA485:BA491)</f>
        <v>4871547</v>
      </c>
      <c r="BL491" s="66"/>
      <c r="BM491" s="144">
        <f t="shared" ref="BM491" si="1672">+Q491/BK491</f>
        <v>3.3450975634639266E-2</v>
      </c>
      <c r="BN491" s="65">
        <f t="shared" ref="BN491" si="1673">+BC491/BW491</f>
        <v>1067581.7842323652</v>
      </c>
      <c r="BO491" s="66"/>
      <c r="BP491" s="66">
        <f t="shared" ref="BP491" si="1674">+BP490+BE491</f>
        <v>33358112</v>
      </c>
      <c r="BQ491" s="66"/>
      <c r="BR491" s="435">
        <f t="shared" ref="BR491" si="1675">+BP491/BC491</f>
        <v>6.4826603700976815E-2</v>
      </c>
      <c r="BS491" s="66"/>
      <c r="BT491" s="75"/>
      <c r="BU491" s="170"/>
      <c r="BV491" s="1"/>
      <c r="BW491" s="61">
        <f t="shared" si="1175"/>
        <v>482</v>
      </c>
    </row>
    <row r="492" spans="2:75" x14ac:dyDescent="0.3">
      <c r="B492" s="158">
        <f t="shared" si="424"/>
        <v>44392</v>
      </c>
      <c r="C492" s="61"/>
      <c r="D492" s="17">
        <v>36674</v>
      </c>
      <c r="E492" s="16"/>
      <c r="F492" s="16"/>
      <c r="G492" s="16"/>
      <c r="H492" s="16">
        <f t="shared" ref="H492" si="1676">+H491+D492</f>
        <v>34301764</v>
      </c>
      <c r="I492" s="16"/>
      <c r="J492" s="436">
        <f t="shared" ref="J492" si="1677">+D492/H491</f>
        <v>1.0703021646813126E-3</v>
      </c>
      <c r="K492" s="16"/>
      <c r="L492" s="16"/>
      <c r="M492" s="16"/>
      <c r="N492" s="16">
        <f t="shared" ref="N492" si="1678">SUM(D486:D492)</f>
        <v>180285</v>
      </c>
      <c r="O492" s="16">
        <f t="shared" ref="O492" si="1679">+H492/BW492</f>
        <v>71018.144927536225</v>
      </c>
      <c r="P492" s="41"/>
      <c r="Q492" s="17">
        <f t="shared" ref="Q492" si="1680">SUM(D486:D492)</f>
        <v>180285</v>
      </c>
      <c r="R492" s="16"/>
      <c r="S492" s="60">
        <f t="shared" ref="S492" si="1681">+(Q492-Q485)/Q485</f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ref="Z492" si="1682">SUM(W487:W492)</f>
        <v>1170</v>
      </c>
      <c r="AA492" s="33">
        <f t="shared" ref="AA492" si="1683">+AA491+W492</f>
        <v>608469</v>
      </c>
      <c r="AB492" s="33"/>
      <c r="AC492" s="46">
        <f t="shared" ref="AC492" si="1684">+AA492/H492</f>
        <v>1.7738708714805453E-2</v>
      </c>
      <c r="AD492" s="33"/>
      <c r="AE492" s="33">
        <f t="shared" ref="AE492" si="1685">+AA492/BW492</f>
        <v>1259.7701863354037</v>
      </c>
      <c r="AF492" s="50"/>
      <c r="AG492" s="33">
        <f t="shared" ref="AG492" si="1686">SUM(W486:W492)</f>
        <v>1536</v>
      </c>
      <c r="AH492" s="33">
        <f t="shared" ref="AH492" si="1687">SUM(D463:D878)</f>
        <v>1115689558.060914</v>
      </c>
      <c r="AI492" s="213">
        <f t="shared" ref="AI492" si="1688">+(AG492-AG485)/AG485</f>
        <v>0.25592804578904332</v>
      </c>
      <c r="AJ492" s="50"/>
      <c r="AK492" s="111"/>
      <c r="AL492" s="23">
        <f t="shared" ref="AL492" si="1689">+AP492-AP491</f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ref="AR492" si="1690">+AL492/AP491</f>
        <v>6.006281479864822E-4</v>
      </c>
      <c r="AS492" s="25"/>
      <c r="AT492" s="25"/>
      <c r="AU492" s="24"/>
      <c r="AV492" s="298">
        <f t="shared" ref="AV492" si="1691">+AP492/H492</f>
        <v>0.85540536632460074</v>
      </c>
      <c r="AW492" s="298"/>
      <c r="AX492" s="24">
        <f t="shared" ref="AX492" si="1692">+AP492/BW492</f>
        <v>60749.302277432711</v>
      </c>
      <c r="AY492" s="308"/>
      <c r="AZ492" s="111"/>
      <c r="BA492" s="65">
        <f t="shared" ref="BA492" si="1693">+BC492-BC491</f>
        <v>637606</v>
      </c>
      <c r="BB492" s="66"/>
      <c r="BC492" s="66">
        <v>515212026</v>
      </c>
      <c r="BD492" s="66"/>
      <c r="BE492" s="66">
        <f t="shared" ref="BE492" si="1694">+D492</f>
        <v>36674</v>
      </c>
      <c r="BF492" s="66"/>
      <c r="BG492" s="144">
        <f t="shared" ref="BG492" si="1695">+BE492/BA492</f>
        <v>5.7518279313557276E-2</v>
      </c>
      <c r="BH492" s="66"/>
      <c r="BI492" s="170"/>
      <c r="BJ492" s="66"/>
      <c r="BK492" s="66">
        <f t="shared" ref="BK492" si="1696">SUM(BA486:BA492)</f>
        <v>4731685</v>
      </c>
      <c r="BL492" s="66"/>
      <c r="BM492" s="144">
        <f t="shared" ref="BM492" si="1697">+Q492/BK492</f>
        <v>3.810164877839501E-2</v>
      </c>
      <c r="BN492" s="65">
        <f t="shared" ref="BN492" si="1698">+BC492/BW492</f>
        <v>1066691.5652173914</v>
      </c>
      <c r="BO492" s="66"/>
      <c r="BP492" s="66">
        <f t="shared" ref="BP492" si="1699">+BP491+BE492</f>
        <v>33394786</v>
      </c>
      <c r="BQ492" s="66"/>
      <c r="BR492" s="435">
        <f t="shared" ref="BR492" si="1700">+BP492/BC492</f>
        <v>6.4817559208138517E-2</v>
      </c>
      <c r="BS492" s="66"/>
      <c r="BT492" s="75"/>
      <c r="BU492" s="170"/>
      <c r="BV492" s="1"/>
      <c r="BW492" s="61">
        <f t="shared" si="1175"/>
        <v>483</v>
      </c>
    </row>
    <row r="493" spans="2:75" x14ac:dyDescent="0.3">
      <c r="B493" s="158">
        <f t="shared" si="424"/>
        <v>44393</v>
      </c>
      <c r="C493" s="61"/>
      <c r="D493" s="17">
        <v>40529</v>
      </c>
      <c r="E493" s="16"/>
      <c r="F493" s="16"/>
      <c r="G493" s="16"/>
      <c r="H493" s="16">
        <f t="shared" ref="H493" si="1701">+H492+D493</f>
        <v>34342293</v>
      </c>
      <c r="I493" s="16"/>
      <c r="J493" s="436">
        <f t="shared" ref="J493" si="1702">+D493/H492</f>
        <v>1.1815427334874089E-3</v>
      </c>
      <c r="K493" s="16"/>
      <c r="L493" s="16"/>
      <c r="M493" s="16"/>
      <c r="N493" s="16">
        <f t="shared" ref="N493" si="1703">SUM(D487:D493)</f>
        <v>193577</v>
      </c>
      <c r="O493" s="16">
        <f t="shared" ref="O493" si="1704">+H493/BW493</f>
        <v>70955.150826446275</v>
      </c>
      <c r="P493" s="41"/>
      <c r="Q493" s="17">
        <f t="shared" ref="Q493" si="1705">SUM(D487:D493)</f>
        <v>193577</v>
      </c>
      <c r="R493" s="16"/>
      <c r="S493" s="60">
        <f t="shared" ref="S493" si="1706">+(Q493-Q486)/Q486</f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ref="Z493" si="1707">SUM(W488:W493)</f>
        <v>1345</v>
      </c>
      <c r="AA493" s="33">
        <f t="shared" ref="AA493" si="1708">+AA492+W493</f>
        <v>608762</v>
      </c>
      <c r="AB493" s="33"/>
      <c r="AC493" s="46">
        <f t="shared" ref="AC493" si="1709">+AA493/H493</f>
        <v>1.7726306161327084E-2</v>
      </c>
      <c r="AD493" s="33"/>
      <c r="AE493" s="33">
        <f t="shared" ref="AE493" si="1710">+AA493/BW493</f>
        <v>1257.7727272727273</v>
      </c>
      <c r="AF493" s="50"/>
      <c r="AG493" s="33">
        <f t="shared" ref="AG493" si="1711">SUM(W487:W493)</f>
        <v>1463</v>
      </c>
      <c r="AH493" s="33">
        <f t="shared" ref="AH493" si="1712">SUM(D464:D879)</f>
        <v>1115675495.060914</v>
      </c>
      <c r="AI493" s="213">
        <f t="shared" ref="AI493" si="1713">+(AG493-AG486)/AG486</f>
        <v>0.15469613259668508</v>
      </c>
      <c r="AJ493" s="50"/>
      <c r="AK493" s="111"/>
      <c r="AL493" s="23">
        <f t="shared" ref="AL493" si="1714">+AP493-AP492</f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ref="AR493" si="1715">+AL493/AP492</f>
        <v>5.6635707426438075E-4</v>
      </c>
      <c r="AS493" s="25"/>
      <c r="AT493" s="25"/>
      <c r="AU493" s="24"/>
      <c r="AV493" s="298">
        <f t="shared" ref="AV493" si="1716">+AP493/H493</f>
        <v>0.85487975424355034</v>
      </c>
      <c r="AW493" s="298"/>
      <c r="AX493" s="24">
        <f t="shared" ref="AX493" si="1717">+AP493/BW493</f>
        <v>60658.121900826445</v>
      </c>
      <c r="AY493" s="308"/>
      <c r="AZ493" s="111"/>
      <c r="BA493" s="65">
        <f t="shared" ref="BA493" si="1718">+BC493-BC492</f>
        <v>852776</v>
      </c>
      <c r="BB493" s="66"/>
      <c r="BC493" s="66">
        <v>516064802</v>
      </c>
      <c r="BD493" s="66"/>
      <c r="BE493" s="66">
        <f t="shared" ref="BE493" si="1719">+D493</f>
        <v>40529</v>
      </c>
      <c r="BF493" s="66"/>
      <c r="BG493" s="144">
        <f t="shared" ref="BG493" si="1720">+BE493/BA493</f>
        <v>4.7525962269107012E-2</v>
      </c>
      <c r="BH493" s="66"/>
      <c r="BI493" s="170"/>
      <c r="BJ493" s="66"/>
      <c r="BK493" s="66">
        <f t="shared" ref="BK493" si="1721">SUM(BA487:BA493)</f>
        <v>4636798</v>
      </c>
      <c r="BL493" s="66"/>
      <c r="BM493" s="144">
        <f t="shared" ref="BM493" si="1722">+Q493/BK493</f>
        <v>4.1747990747062952E-2</v>
      </c>
      <c r="BN493" s="65">
        <f t="shared" ref="BN493" si="1723">+BC493/BW493</f>
        <v>1066249.5909090908</v>
      </c>
      <c r="BO493" s="66"/>
      <c r="BP493" s="66">
        <f t="shared" ref="BP493" si="1724">+BP492+BE493</f>
        <v>33435315</v>
      </c>
      <c r="BQ493" s="66"/>
      <c r="BR493" s="435">
        <f t="shared" ref="BR493" si="1725">+BP493/BC493</f>
        <v>6.478898555069447E-2</v>
      </c>
      <c r="BS493" s="66"/>
      <c r="BT493" s="75"/>
      <c r="BU493" s="170"/>
      <c r="BV493" s="1"/>
      <c r="BW493" s="61">
        <f t="shared" si="1175"/>
        <v>484</v>
      </c>
    </row>
    <row r="494" spans="2:75" x14ac:dyDescent="0.3">
      <c r="B494" s="158">
        <f t="shared" si="424"/>
        <v>44394</v>
      </c>
      <c r="C494" s="61"/>
      <c r="D494" s="17">
        <v>24081</v>
      </c>
      <c r="E494" s="16"/>
      <c r="F494" s="16"/>
      <c r="G494" s="16"/>
      <c r="H494" s="16">
        <f t="shared" ref="H494" si="1726">+H493+D494</f>
        <v>34366374</v>
      </c>
      <c r="I494" s="16"/>
      <c r="J494" s="436">
        <f t="shared" ref="J494" si="1727">+D494/H493</f>
        <v>7.0120536214631911E-4</v>
      </c>
      <c r="K494" s="16"/>
      <c r="L494" s="16"/>
      <c r="M494" s="16"/>
      <c r="N494" s="16">
        <f t="shared" ref="N494" si="1728">SUM(D488:D494)</f>
        <v>203123</v>
      </c>
      <c r="O494" s="16">
        <f t="shared" ref="O494" si="1729">+H494/BW494</f>
        <v>70858.503092783503</v>
      </c>
      <c r="P494" s="41"/>
      <c r="Q494" s="17">
        <f t="shared" ref="Q494" si="1730">SUM(D488:D494)</f>
        <v>203123</v>
      </c>
      <c r="R494" s="16"/>
      <c r="S494" s="60">
        <f t="shared" ref="S494" si="1731">+(Q494-Q487)/Q487</f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ref="Z494" si="1732">SUM(W489:W494)</f>
        <v>1431</v>
      </c>
      <c r="AA494" s="33">
        <f t="shared" ref="AA494" si="1733">+AA493+W494</f>
        <v>608875</v>
      </c>
      <c r="AB494" s="33"/>
      <c r="AC494" s="46">
        <f t="shared" ref="AC494" si="1734">+AA494/H494</f>
        <v>1.7717173187954016E-2</v>
      </c>
      <c r="AD494" s="33"/>
      <c r="AE494" s="33">
        <f t="shared" ref="AE494" si="1735">+AA494/BW494</f>
        <v>1255.4123711340205</v>
      </c>
      <c r="AF494" s="50"/>
      <c r="AG494" s="33">
        <f t="shared" ref="AG494" si="1736">SUM(W488:W494)</f>
        <v>1458</v>
      </c>
      <c r="AH494" s="33">
        <f t="shared" ref="AH494" si="1737">SUM(D465:D880)</f>
        <v>1115661762.060914</v>
      </c>
      <c r="AI494" s="213">
        <f t="shared" ref="AI494" si="1738">+(AG494-AG487)/AG487</f>
        <v>0.13110938712179984</v>
      </c>
      <c r="AJ494" s="50"/>
      <c r="AK494" s="111"/>
      <c r="AL494" s="23">
        <f t="shared" ref="AL494" si="1739">+AP494-AP493</f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ref="AR494" si="1740">+AL494/AP493</f>
        <v>3.6275656980248774E-4</v>
      </c>
      <c r="AS494" s="25"/>
      <c r="AT494" s="25"/>
      <c r="AU494" s="24"/>
      <c r="AV494" s="298">
        <f t="shared" ref="AV494" si="1741">+AP494/H494</f>
        <v>0.8545906239628307</v>
      </c>
      <c r="AW494" s="298"/>
      <c r="AX494" s="24">
        <f t="shared" ref="AX494" si="1742">+AP494/BW494</f>
        <v>60555.01237113402</v>
      </c>
      <c r="AY494" s="308"/>
      <c r="AZ494" s="111"/>
      <c r="BA494" s="65">
        <f t="shared" ref="BA494" si="1743">+BC494-BC493</f>
        <v>212860</v>
      </c>
      <c r="BB494" s="66"/>
      <c r="BC494" s="66">
        <v>516277662</v>
      </c>
      <c r="BD494" s="66"/>
      <c r="BE494" s="66">
        <f t="shared" ref="BE494" si="1744">+D494</f>
        <v>24081</v>
      </c>
      <c r="BF494" s="66"/>
      <c r="BG494" s="144">
        <f t="shared" ref="BG494" si="1745">+BE494/BA494</f>
        <v>0.11313069623226533</v>
      </c>
      <c r="BH494" s="66"/>
      <c r="BI494" s="170"/>
      <c r="BJ494" s="66"/>
      <c r="BK494" s="66">
        <f t="shared" ref="BK494" si="1746">SUM(BA488:BA494)</f>
        <v>4606997</v>
      </c>
      <c r="BL494" s="66"/>
      <c r="BM494" s="144">
        <f t="shared" ref="BM494" si="1747">+Q494/BK494</f>
        <v>4.409010902329652E-2</v>
      </c>
      <c r="BN494" s="65">
        <f t="shared" ref="BN494" si="1748">+BC494/BW494</f>
        <v>1064490.024742268</v>
      </c>
      <c r="BO494" s="66"/>
      <c r="BP494" s="66">
        <f t="shared" ref="BP494" si="1749">+BP493+BE494</f>
        <v>33459396</v>
      </c>
      <c r="BQ494" s="66"/>
      <c r="BR494" s="435">
        <f t="shared" ref="BR494" si="1750">+BP494/BC494</f>
        <v>6.480891671815156E-2</v>
      </c>
      <c r="BS494" s="66"/>
      <c r="BT494" s="75"/>
      <c r="BU494" s="170"/>
      <c r="BV494" s="1"/>
      <c r="BW494" s="61">
        <f t="shared" si="1175"/>
        <v>485</v>
      </c>
    </row>
    <row r="495" spans="2:75" x14ac:dyDescent="0.3">
      <c r="B495" s="347">
        <f t="shared" si="424"/>
        <v>44395</v>
      </c>
      <c r="C495" s="61"/>
      <c r="D495" s="17">
        <v>22278</v>
      </c>
      <c r="E495" s="16"/>
      <c r="F495" s="16"/>
      <c r="G495" s="16"/>
      <c r="H495" s="16">
        <f t="shared" ref="H495" si="1751">+H494+D495</f>
        <v>34388652</v>
      </c>
      <c r="I495" s="16"/>
      <c r="J495" s="436">
        <f t="shared" ref="J495" si="1752">+D495/H494</f>
        <v>6.4824994338943064E-4</v>
      </c>
      <c r="K495" s="16"/>
      <c r="L495" s="16"/>
      <c r="M495" s="16"/>
      <c r="N495" s="16">
        <f t="shared" ref="N495" si="1753">SUM(D489:D495)</f>
        <v>218759</v>
      </c>
      <c r="O495" s="16">
        <f t="shared" ref="O495" si="1754">+H495/BW495</f>
        <v>70758.543209876545</v>
      </c>
      <c r="P495" s="41"/>
      <c r="Q495" s="17">
        <f t="shared" ref="Q495" si="1755">SUM(D489:D495)</f>
        <v>218759</v>
      </c>
      <c r="R495" s="16"/>
      <c r="S495" s="60">
        <f t="shared" ref="S495" si="1756">+(Q495-Q488)/Q488</f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ref="Z495" si="1757">SUM(W490:W495)</f>
        <v>1350</v>
      </c>
      <c r="AA495" s="33">
        <f t="shared" ref="AA495" si="1758">+AA494+W495</f>
        <v>608957</v>
      </c>
      <c r="AB495" s="33"/>
      <c r="AC495" s="46">
        <f t="shared" ref="AC495" si="1759">+AA495/H495</f>
        <v>1.7708079979407161E-2</v>
      </c>
      <c r="AD495" s="33"/>
      <c r="AE495" s="33">
        <f t="shared" ref="AE495" si="1760">+AA495/BW495</f>
        <v>1252.9979423868313</v>
      </c>
      <c r="AF495" s="50"/>
      <c r="AG495" s="33">
        <f t="shared" ref="AG495" si="1761">SUM(W489:W495)</f>
        <v>1513</v>
      </c>
      <c r="AH495" s="33">
        <f t="shared" ref="AH495" si="1762">SUM(D466:D881)</f>
        <v>1115648373.060914</v>
      </c>
      <c r="AI495" s="213">
        <f t="shared" ref="AI495" si="1763">+(AG495-AG488)/AG488</f>
        <v>0.19984139571768439</v>
      </c>
      <c r="AJ495" s="50"/>
      <c r="AK495" s="111"/>
      <c r="AL495" s="23">
        <f t="shared" ref="AL495" si="1764">+AP495-AP494</f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ref="AR495" si="1765">+AL495/AP494</f>
        <v>3.8652763248658519E-4</v>
      </c>
      <c r="AS495" s="25"/>
      <c r="AT495" s="25"/>
      <c r="AU495" s="24"/>
      <c r="AV495" s="298">
        <f t="shared" ref="AV495" si="1766">+AP495/H495</f>
        <v>0.85436710342702582</v>
      </c>
      <c r="AW495" s="298"/>
      <c r="AX495" s="24">
        <f t="shared" ref="AX495" si="1767">+AP495/BW495</f>
        <v>60453.771604938273</v>
      </c>
      <c r="AY495" s="308"/>
      <c r="AZ495" s="111"/>
      <c r="BA495" s="65">
        <f t="shared" ref="BA495" si="1768">+BC495-BC494</f>
        <v>3692874</v>
      </c>
      <c r="BB495" s="66"/>
      <c r="BC495" s="66">
        <v>519970536</v>
      </c>
      <c r="BD495" s="66"/>
      <c r="BE495" s="66">
        <f t="shared" ref="BE495" si="1769">+D495</f>
        <v>22278</v>
      </c>
      <c r="BF495" s="66"/>
      <c r="BG495" s="144">
        <f t="shared" ref="BG495" si="1770">+BE495/BA495</f>
        <v>6.032699734678194E-3</v>
      </c>
      <c r="BH495" s="66"/>
      <c r="BI495" s="170"/>
      <c r="BJ495" s="66"/>
      <c r="BK495" s="66">
        <f t="shared" ref="BK495" si="1771">SUM(BA489:BA495)</f>
        <v>8165009</v>
      </c>
      <c r="BL495" s="66"/>
      <c r="BM495" s="144">
        <f t="shared" ref="BM495" si="1772">+Q495/BK495</f>
        <v>2.6792254607435215E-2</v>
      </c>
      <c r="BN495" s="65">
        <f t="shared" ref="BN495" si="1773">+BC495/BW495</f>
        <v>1069898.2222222222</v>
      </c>
      <c r="BO495" s="66"/>
      <c r="BP495" s="66">
        <f t="shared" ref="BP495" si="1774">+BP494+BE495</f>
        <v>33481674</v>
      </c>
      <c r="BQ495" s="66"/>
      <c r="BR495" s="435">
        <f t="shared" ref="BR495" si="1775">+BP495/BC495</f>
        <v>6.4391483135882915E-2</v>
      </c>
      <c r="BS495" s="66"/>
      <c r="BT495" s="75"/>
      <c r="BU495" s="170"/>
      <c r="BV495" s="1"/>
      <c r="BW495" s="61">
        <f t="shared" si="1175"/>
        <v>486</v>
      </c>
    </row>
    <row r="496" spans="2:75" x14ac:dyDescent="0.3">
      <c r="B496" s="158">
        <f t="shared" si="424"/>
        <v>44396</v>
      </c>
      <c r="C496" s="61"/>
      <c r="D496" s="17"/>
      <c r="E496" s="16"/>
      <c r="F496" s="16"/>
      <c r="G496" s="16"/>
      <c r="H496" s="16"/>
      <c r="I496" s="16"/>
      <c r="J496" s="436"/>
      <c r="K496" s="16"/>
      <c r="L496" s="16"/>
      <c r="M496" s="16"/>
      <c r="N496" s="16"/>
      <c r="O496" s="16"/>
      <c r="P496" s="41"/>
      <c r="Q496" s="17"/>
      <c r="R496" s="16"/>
      <c r="S496" s="60"/>
      <c r="T496" s="16"/>
      <c r="U496" s="41"/>
      <c r="V496" s="10"/>
      <c r="W496" s="34"/>
      <c r="X496" s="33"/>
      <c r="Y496" s="33"/>
      <c r="Z496" s="33"/>
      <c r="AA496" s="33"/>
      <c r="AB496" s="33"/>
      <c r="AC496" s="46"/>
      <c r="AD496" s="33"/>
      <c r="AE496" s="33"/>
      <c r="AF496" s="50"/>
      <c r="AG496" s="33"/>
      <c r="AH496" s="33"/>
      <c r="AI496" s="213"/>
      <c r="AJ496" s="50"/>
      <c r="AK496" s="111"/>
      <c r="AL496" s="23"/>
      <c r="AM496" s="24"/>
      <c r="AN496" s="24"/>
      <c r="AO496" s="24"/>
      <c r="AP496" s="24"/>
      <c r="AQ496" s="24"/>
      <c r="AR496" s="461"/>
      <c r="AS496" s="25"/>
      <c r="AT496" s="25"/>
      <c r="AU496" s="24"/>
      <c r="AV496" s="298"/>
      <c r="AW496" s="298"/>
      <c r="AX496" s="24"/>
      <c r="AY496" s="308"/>
      <c r="AZ496" s="111"/>
      <c r="BA496" s="65"/>
      <c r="BB496" s="66"/>
      <c r="BC496" s="66"/>
      <c r="BD496" s="66"/>
      <c r="BE496" s="66"/>
      <c r="BF496" s="66"/>
      <c r="BG496" s="144"/>
      <c r="BH496" s="66"/>
      <c r="BI496" s="170"/>
      <c r="BJ496" s="66"/>
      <c r="BK496" s="66"/>
      <c r="BL496" s="66"/>
      <c r="BM496" s="144"/>
      <c r="BN496" s="65"/>
      <c r="BO496" s="66"/>
      <c r="BP496" s="66"/>
      <c r="BQ496" s="66"/>
      <c r="BR496" s="435"/>
      <c r="BS496" s="66"/>
      <c r="BT496" s="75"/>
      <c r="BU496" s="170"/>
      <c r="BV496" s="1"/>
      <c r="BW496" s="61"/>
    </row>
    <row r="497" spans="2:85" x14ac:dyDescent="0.3">
      <c r="B497" s="158">
        <f t="shared" si="424"/>
        <v>44397</v>
      </c>
      <c r="C497" s="61"/>
      <c r="D497" s="17"/>
      <c r="E497" s="16"/>
      <c r="F497" s="16"/>
      <c r="G497" s="16"/>
      <c r="H497" s="16"/>
      <c r="I497" s="16"/>
      <c r="J497" s="436"/>
      <c r="K497" s="16"/>
      <c r="L497" s="16"/>
      <c r="M497" s="16"/>
      <c r="N497" s="16"/>
      <c r="O497" s="16"/>
      <c r="P497" s="41"/>
      <c r="Q497" s="17"/>
      <c r="R497" s="16"/>
      <c r="S497" s="60"/>
      <c r="T497" s="16"/>
      <c r="U497" s="41"/>
      <c r="V497" s="10"/>
      <c r="W497" s="34"/>
      <c r="X497" s="33"/>
      <c r="Y497" s="33"/>
      <c r="Z497" s="33"/>
      <c r="AA497" s="33"/>
      <c r="AB497" s="33"/>
      <c r="AC497" s="46"/>
      <c r="AD497" s="33"/>
      <c r="AE497" s="33"/>
      <c r="AF497" s="50"/>
      <c r="AG497" s="33"/>
      <c r="AH497" s="33"/>
      <c r="AI497" s="213"/>
      <c r="AJ497" s="50"/>
      <c r="AK497" s="111"/>
      <c r="AL497" s="23"/>
      <c r="AM497" s="24"/>
      <c r="AN497" s="24"/>
      <c r="AO497" s="24"/>
      <c r="AP497" s="24"/>
      <c r="AQ497" s="24"/>
      <c r="AR497" s="461"/>
      <c r="AS497" s="25"/>
      <c r="AT497" s="25"/>
      <c r="AU497" s="24"/>
      <c r="AV497" s="298"/>
      <c r="AW497" s="298"/>
      <c r="AX497" s="24"/>
      <c r="AY497" s="308"/>
      <c r="AZ497" s="111"/>
      <c r="BA497" s="65"/>
      <c r="BB497" s="66"/>
      <c r="BC497" s="66"/>
      <c r="BD497" s="66"/>
      <c r="BE497" s="66"/>
      <c r="BF497" s="66"/>
      <c r="BG497" s="144"/>
      <c r="BH497" s="66"/>
      <c r="BI497" s="170"/>
      <c r="BJ497" s="66"/>
      <c r="BK497" s="66"/>
      <c r="BL497" s="66"/>
      <c r="BM497" s="144"/>
      <c r="BN497" s="65"/>
      <c r="BO497" s="66"/>
      <c r="BP497" s="66"/>
      <c r="BQ497" s="66"/>
      <c r="BR497" s="435"/>
      <c r="BS497" s="66"/>
      <c r="BT497" s="75"/>
      <c r="BU497" s="170"/>
      <c r="BV497" s="1"/>
      <c r="BW497" s="61"/>
    </row>
    <row r="498" spans="2:85" x14ac:dyDescent="0.3">
      <c r="B498" s="158">
        <f t="shared" si="424"/>
        <v>44398</v>
      </c>
      <c r="C498" s="61"/>
      <c r="D498" s="17"/>
      <c r="E498" s="16"/>
      <c r="F498" s="16"/>
      <c r="G498" s="16"/>
      <c r="H498" s="16"/>
      <c r="I498" s="16"/>
      <c r="J498" s="436"/>
      <c r="K498" s="16"/>
      <c r="L498" s="16"/>
      <c r="M498" s="16"/>
      <c r="N498" s="16"/>
      <c r="O498" s="16"/>
      <c r="P498" s="41"/>
      <c r="Q498" s="17"/>
      <c r="R498" s="16"/>
      <c r="S498" s="60"/>
      <c r="T498" s="16"/>
      <c r="U498" s="41"/>
      <c r="V498" s="10"/>
      <c r="W498" s="34"/>
      <c r="X498" s="33"/>
      <c r="Y498" s="33"/>
      <c r="Z498" s="33"/>
      <c r="AA498" s="33"/>
      <c r="AB498" s="33"/>
      <c r="AC498" s="46"/>
      <c r="AD498" s="33"/>
      <c r="AE498" s="33"/>
      <c r="AF498" s="50"/>
      <c r="AG498" s="33"/>
      <c r="AH498" s="33"/>
      <c r="AI498" s="213"/>
      <c r="AJ498" s="50"/>
      <c r="AK498" s="111"/>
      <c r="AL498" s="23"/>
      <c r="AM498" s="24"/>
      <c r="AN498" s="24"/>
      <c r="AO498" s="24"/>
      <c r="AP498" s="24"/>
      <c r="AQ498" s="24"/>
      <c r="AR498" s="461"/>
      <c r="AS498" s="25"/>
      <c r="AT498" s="25"/>
      <c r="AU498" s="24"/>
      <c r="AV498" s="298"/>
      <c r="AW498" s="298"/>
      <c r="AX498" s="24"/>
      <c r="AY498" s="308"/>
      <c r="AZ498" s="111"/>
      <c r="BA498" s="65"/>
      <c r="BB498" s="66"/>
      <c r="BC498" s="66"/>
      <c r="BD498" s="66"/>
      <c r="BE498" s="66"/>
      <c r="BF498" s="66"/>
      <c r="BG498" s="144"/>
      <c r="BH498" s="66"/>
      <c r="BI498" s="170"/>
      <c r="BJ498" s="66"/>
      <c r="BK498" s="66"/>
      <c r="BL498" s="66"/>
      <c r="BM498" s="144"/>
      <c r="BN498" s="65"/>
      <c r="BO498" s="66"/>
      <c r="BP498" s="66"/>
      <c r="BQ498" s="66"/>
      <c r="BR498" s="435"/>
      <c r="BS498" s="66"/>
      <c r="BT498" s="75"/>
      <c r="BU498" s="170"/>
      <c r="BV498" s="1"/>
      <c r="BW498" s="61"/>
    </row>
    <row r="499" spans="2:85" x14ac:dyDescent="0.3">
      <c r="B499" s="158">
        <f t="shared" si="424"/>
        <v>44399</v>
      </c>
      <c r="C499" s="61"/>
      <c r="D499" s="17"/>
      <c r="E499" s="16"/>
      <c r="F499" s="16"/>
      <c r="G499" s="16"/>
      <c r="H499" s="16"/>
      <c r="I499" s="16"/>
      <c r="J499" s="436"/>
      <c r="K499" s="16"/>
      <c r="L499" s="16"/>
      <c r="M499" s="16"/>
      <c r="N499" s="16"/>
      <c r="O499" s="16"/>
      <c r="P499" s="41"/>
      <c r="Q499" s="410"/>
      <c r="R499" s="16"/>
      <c r="S499" s="60"/>
      <c r="T499" s="16"/>
      <c r="U499" s="41"/>
      <c r="V499" s="10"/>
      <c r="W499" s="34"/>
      <c r="X499" s="33"/>
      <c r="Y499" s="33"/>
      <c r="Z499" s="33"/>
      <c r="AA499" s="33"/>
      <c r="AB499" s="33"/>
      <c r="AC499" s="46"/>
      <c r="AD499" s="33"/>
      <c r="AE499" s="33"/>
      <c r="AF499" s="50"/>
      <c r="AG499" s="33"/>
      <c r="AH499" s="33"/>
      <c r="AI499" s="213"/>
      <c r="AJ499" s="50"/>
      <c r="AK499" s="10"/>
      <c r="AL499" s="23"/>
      <c r="AM499" s="24"/>
      <c r="AN499" s="24"/>
      <c r="AO499" s="24"/>
      <c r="AP499" s="24"/>
      <c r="AQ499" s="24"/>
      <c r="AR499" s="461"/>
      <c r="AS499" s="25"/>
      <c r="AT499" s="25"/>
      <c r="AU499" s="24"/>
      <c r="AV499" s="298"/>
      <c r="AW499" s="298"/>
      <c r="AX499" s="24"/>
      <c r="AY499" s="308"/>
      <c r="AZ499" s="10"/>
      <c r="BA499" s="65"/>
      <c r="BB499" s="66"/>
      <c r="BC499" s="66"/>
      <c r="BD499" s="66"/>
      <c r="BE499" s="66"/>
      <c r="BF499" s="66"/>
      <c r="BG499" s="144"/>
      <c r="BH499" s="66"/>
      <c r="BI499" s="170"/>
      <c r="BJ499" s="66"/>
      <c r="BK499" s="66"/>
      <c r="BL499" s="66"/>
      <c r="BM499" s="144"/>
      <c r="BN499" s="65"/>
      <c r="BO499" s="66"/>
      <c r="BP499" s="66"/>
      <c r="BQ499" s="66"/>
      <c r="BR499" s="435"/>
      <c r="BS499" s="66"/>
      <c r="BT499" s="75"/>
      <c r="BU499" s="170"/>
      <c r="BV499" s="1"/>
      <c r="BW499" s="61"/>
    </row>
    <row r="500" spans="2:85" x14ac:dyDescent="0.3">
      <c r="B500" s="158">
        <f t="shared" si="424"/>
        <v>44400</v>
      </c>
      <c r="D500" s="559"/>
      <c r="E500" s="19"/>
      <c r="F500" s="19"/>
      <c r="G500" s="19"/>
      <c r="H500" s="19"/>
      <c r="I500" s="19"/>
      <c r="J500" s="39"/>
      <c r="K500" s="19"/>
      <c r="L500" s="19"/>
      <c r="M500" s="19"/>
      <c r="N500" s="19"/>
      <c r="O500" s="19"/>
      <c r="P500" s="43"/>
      <c r="Q500" s="18"/>
      <c r="R500" s="19"/>
      <c r="S500" s="19"/>
      <c r="T500" s="19"/>
      <c r="U500" s="43"/>
      <c r="V500" s="1"/>
      <c r="W500" s="35"/>
      <c r="X500" s="36"/>
      <c r="Y500" s="36"/>
      <c r="Z500" s="36"/>
      <c r="AA500" s="36"/>
      <c r="AB500" s="36"/>
      <c r="AC500" s="47"/>
      <c r="AD500" s="36"/>
      <c r="AE500" s="36"/>
      <c r="AF500" s="51"/>
      <c r="AG500" s="36"/>
      <c r="AH500" s="36"/>
      <c r="AI500" s="36"/>
      <c r="AJ500" s="51"/>
      <c r="AK500" s="1"/>
      <c r="AL500" s="26"/>
      <c r="AM500" s="27"/>
      <c r="AN500" s="27"/>
      <c r="AO500" s="27"/>
      <c r="AP500" s="27"/>
      <c r="AQ500" s="27"/>
      <c r="AR500" s="27"/>
      <c r="AS500" s="27"/>
      <c r="AT500" s="27"/>
      <c r="AU500" s="27"/>
      <c r="AV500" s="300"/>
      <c r="AW500" s="300"/>
      <c r="AX500" s="27"/>
      <c r="AY500" s="307"/>
      <c r="AZ500" s="1"/>
      <c r="BA500" s="67"/>
      <c r="BB500" s="68"/>
      <c r="BC500" s="68"/>
      <c r="BD500" s="68"/>
      <c r="BE500" s="68"/>
      <c r="BF500" s="68"/>
      <c r="BG500" s="68"/>
      <c r="BH500" s="68"/>
      <c r="BI500" s="171"/>
      <c r="BJ500" s="68"/>
      <c r="BK500" s="68"/>
      <c r="BL500" s="68"/>
      <c r="BM500" s="68"/>
      <c r="BN500" s="67"/>
      <c r="BO500" s="68"/>
      <c r="BP500" s="68"/>
      <c r="BQ500" s="68"/>
      <c r="BR500" s="70"/>
      <c r="BS500" s="68"/>
      <c r="BT500" s="68"/>
      <c r="BU500" s="171"/>
      <c r="BV500" s="1"/>
      <c r="BW500" s="61">
        <f>+BW461+1</f>
        <v>453</v>
      </c>
    </row>
    <row r="501" spans="2:85" x14ac:dyDescent="0.3">
      <c r="B501" s="56"/>
      <c r="D501" s="1"/>
      <c r="E501" s="1"/>
      <c r="F501" s="1"/>
      <c r="G501" s="1"/>
      <c r="H501" s="59"/>
      <c r="I501" s="1"/>
      <c r="J501" s="5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59"/>
      <c r="X501" s="1"/>
      <c r="Y501" s="1"/>
      <c r="Z501" s="1"/>
      <c r="AA501" s="1"/>
      <c r="AB501" s="1"/>
      <c r="AC501" s="59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59"/>
      <c r="BD501" s="1"/>
      <c r="BE501" s="59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2:85" x14ac:dyDescent="0.3">
      <c r="B502" s="166" t="s">
        <v>74</v>
      </c>
      <c r="D502" s="56">
        <f>+D495</f>
        <v>22278</v>
      </c>
      <c r="E502" s="56">
        <f>+E238</f>
        <v>0</v>
      </c>
      <c r="F502" s="56">
        <f>+F238</f>
        <v>0</v>
      </c>
      <c r="G502" s="56">
        <f>+G238</f>
        <v>0</v>
      </c>
      <c r="H502" s="56">
        <f t="shared" ref="H502:BS502" si="1776">+H495</f>
        <v>34388652</v>
      </c>
      <c r="I502" s="56">
        <f t="shared" si="1776"/>
        <v>0</v>
      </c>
      <c r="J502" s="56">
        <f t="shared" si="1776"/>
        <v>6.4824994338943064E-4</v>
      </c>
      <c r="K502" s="56">
        <f t="shared" si="1776"/>
        <v>0</v>
      </c>
      <c r="L502" s="56">
        <f t="shared" si="1776"/>
        <v>0</v>
      </c>
      <c r="M502" s="56">
        <f t="shared" si="1776"/>
        <v>0</v>
      </c>
      <c r="N502" s="56">
        <f t="shared" si="1776"/>
        <v>218759</v>
      </c>
      <c r="O502" s="56">
        <f t="shared" si="1776"/>
        <v>70758.543209876545</v>
      </c>
      <c r="P502" s="56">
        <f t="shared" si="1776"/>
        <v>0</v>
      </c>
      <c r="Q502" s="56">
        <f t="shared" si="1776"/>
        <v>218759</v>
      </c>
      <c r="R502" s="56">
        <f t="shared" si="1776"/>
        <v>0</v>
      </c>
      <c r="S502" s="56">
        <f t="shared" si="1776"/>
        <v>1.1591539425762705</v>
      </c>
      <c r="T502" s="56">
        <f t="shared" si="1776"/>
        <v>0</v>
      </c>
      <c r="U502" s="56">
        <f t="shared" si="1776"/>
        <v>0</v>
      </c>
      <c r="V502" s="56">
        <f t="shared" si="1776"/>
        <v>387</v>
      </c>
      <c r="W502" s="56">
        <f t="shared" si="1776"/>
        <v>82</v>
      </c>
      <c r="X502" s="56">
        <f t="shared" si="1776"/>
        <v>4256</v>
      </c>
      <c r="Y502" s="56">
        <f t="shared" si="1776"/>
        <v>0</v>
      </c>
      <c r="Z502" s="56">
        <f t="shared" si="1776"/>
        <v>1350</v>
      </c>
      <c r="AA502" s="56">
        <f t="shared" si="1776"/>
        <v>608957</v>
      </c>
      <c r="AB502" s="56">
        <f t="shared" si="1776"/>
        <v>0</v>
      </c>
      <c r="AC502" s="56">
        <f t="shared" si="1776"/>
        <v>1.7708079979407161E-2</v>
      </c>
      <c r="AD502" s="56">
        <f t="shared" si="1776"/>
        <v>0</v>
      </c>
      <c r="AE502" s="56">
        <f t="shared" si="1776"/>
        <v>1252.9979423868313</v>
      </c>
      <c r="AF502" s="56">
        <f t="shared" si="1776"/>
        <v>0</v>
      </c>
      <c r="AG502" s="56">
        <f t="shared" si="1776"/>
        <v>1513</v>
      </c>
      <c r="AH502" s="56">
        <f t="shared" si="1776"/>
        <v>1115648373.060914</v>
      </c>
      <c r="AI502" s="56">
        <f t="shared" si="1776"/>
        <v>0.19984139571768439</v>
      </c>
      <c r="AJ502" s="56">
        <f t="shared" si="1776"/>
        <v>0</v>
      </c>
      <c r="AK502" s="56">
        <f t="shared" si="1776"/>
        <v>0</v>
      </c>
      <c r="AL502" s="56">
        <f t="shared" si="1776"/>
        <v>11352</v>
      </c>
      <c r="AM502" s="56">
        <f t="shared" si="1776"/>
        <v>0</v>
      </c>
      <c r="AN502" s="56">
        <f t="shared" si="1776"/>
        <v>0</v>
      </c>
      <c r="AO502" s="56">
        <f t="shared" si="1776"/>
        <v>178263</v>
      </c>
      <c r="AP502" s="56">
        <f t="shared" si="1776"/>
        <v>29380533</v>
      </c>
      <c r="AQ502" s="56">
        <f t="shared" si="1776"/>
        <v>20336656</v>
      </c>
      <c r="AR502" s="56">
        <f t="shared" si="1776"/>
        <v>3.8652763248658519E-4</v>
      </c>
      <c r="AS502" s="56">
        <f t="shared" si="1776"/>
        <v>0</v>
      </c>
      <c r="AT502" s="56">
        <f t="shared" si="1776"/>
        <v>0</v>
      </c>
      <c r="AU502" s="56">
        <f t="shared" si="1776"/>
        <v>0</v>
      </c>
      <c r="AV502" s="56">
        <f t="shared" si="1776"/>
        <v>0.85436710342702582</v>
      </c>
      <c r="AW502" s="56">
        <f t="shared" si="1776"/>
        <v>0</v>
      </c>
      <c r="AX502" s="56">
        <f t="shared" si="1776"/>
        <v>60453.771604938273</v>
      </c>
      <c r="AY502" s="56">
        <f t="shared" si="1776"/>
        <v>0</v>
      </c>
      <c r="AZ502" s="56">
        <f t="shared" si="1776"/>
        <v>0</v>
      </c>
      <c r="BA502" s="56">
        <f t="shared" si="1776"/>
        <v>3692874</v>
      </c>
      <c r="BB502" s="56">
        <f t="shared" si="1776"/>
        <v>0</v>
      </c>
      <c r="BC502" s="56">
        <f t="shared" si="1776"/>
        <v>519970536</v>
      </c>
      <c r="BD502" s="56">
        <f t="shared" si="1776"/>
        <v>0</v>
      </c>
      <c r="BE502" s="56">
        <f t="shared" si="1776"/>
        <v>22278</v>
      </c>
      <c r="BF502" s="56">
        <f t="shared" si="1776"/>
        <v>0</v>
      </c>
      <c r="BG502" s="56">
        <f t="shared" si="1776"/>
        <v>6.032699734678194E-3</v>
      </c>
      <c r="BH502" s="56">
        <f t="shared" si="1776"/>
        <v>0</v>
      </c>
      <c r="BI502" s="56">
        <f t="shared" si="1776"/>
        <v>0</v>
      </c>
      <c r="BJ502" s="56">
        <f t="shared" si="1776"/>
        <v>0</v>
      </c>
      <c r="BK502" s="56">
        <f t="shared" si="1776"/>
        <v>8165009</v>
      </c>
      <c r="BL502" s="56">
        <f t="shared" si="1776"/>
        <v>0</v>
      </c>
      <c r="BM502" s="56">
        <f t="shared" si="1776"/>
        <v>2.6792254607435215E-2</v>
      </c>
      <c r="BN502" s="56">
        <f t="shared" si="1776"/>
        <v>1069898.2222222222</v>
      </c>
      <c r="BO502" s="56">
        <f t="shared" si="1776"/>
        <v>0</v>
      </c>
      <c r="BP502" s="56">
        <f t="shared" si="1776"/>
        <v>33481674</v>
      </c>
      <c r="BQ502" s="56">
        <f t="shared" si="1776"/>
        <v>0</v>
      </c>
      <c r="BR502" s="56">
        <f t="shared" si="1776"/>
        <v>6.4391483135882915E-2</v>
      </c>
      <c r="BS502" s="56">
        <f t="shared" si="1776"/>
        <v>0</v>
      </c>
      <c r="BT502" s="56">
        <f t="shared" ref="BT502" si="1777">+BT495</f>
        <v>0</v>
      </c>
      <c r="BU502" s="56">
        <f t="shared" ref="BU502" si="1778">+BU449</f>
        <v>0</v>
      </c>
      <c r="BV502" s="56">
        <f>+BV350</f>
        <v>0</v>
      </c>
      <c r="BW502" s="56"/>
      <c r="BX502" s="56"/>
      <c r="BY502" s="56"/>
      <c r="BZ502" s="56"/>
      <c r="CA502" s="56"/>
      <c r="CB502" s="56"/>
      <c r="CC502" s="56"/>
      <c r="CD502" s="56"/>
      <c r="CE502" s="61"/>
      <c r="CF502" s="61"/>
      <c r="CG502" s="145"/>
    </row>
    <row r="503" spans="2:85" x14ac:dyDescent="0.3">
      <c r="B503" t="s">
        <v>105</v>
      </c>
      <c r="D503" s="56">
        <f>+D494-D502</f>
        <v>1803</v>
      </c>
      <c r="E503" s="56">
        <f>+E237-E502</f>
        <v>0</v>
      </c>
      <c r="F503" s="56">
        <f>+F237-F502</f>
        <v>0</v>
      </c>
      <c r="G503" s="56">
        <f>+G237-G502</f>
        <v>0</v>
      </c>
      <c r="H503" s="56">
        <f t="shared" ref="H503:BS503" si="1779">+H494-H502</f>
        <v>-22278</v>
      </c>
      <c r="I503" s="56">
        <f t="shared" si="1779"/>
        <v>0</v>
      </c>
      <c r="J503" s="56">
        <f t="shared" si="1779"/>
        <v>5.2955418756888469E-5</v>
      </c>
      <c r="K503" s="56">
        <f t="shared" si="1779"/>
        <v>0</v>
      </c>
      <c r="L503" s="56">
        <f t="shared" si="1779"/>
        <v>0</v>
      </c>
      <c r="M503" s="56">
        <f t="shared" si="1779"/>
        <v>0</v>
      </c>
      <c r="N503" s="56">
        <f t="shared" si="1779"/>
        <v>-15636</v>
      </c>
      <c r="O503" s="56">
        <f t="shared" si="1779"/>
        <v>99.959882906958228</v>
      </c>
      <c r="P503" s="56">
        <f t="shared" si="1779"/>
        <v>0</v>
      </c>
      <c r="Q503" s="56">
        <f t="shared" si="1779"/>
        <v>-15636</v>
      </c>
      <c r="R503" s="56">
        <f t="shared" si="1779"/>
        <v>0</v>
      </c>
      <c r="S503" s="56">
        <f t="shared" si="1779"/>
        <v>-0.13649999531266821</v>
      </c>
      <c r="T503" s="56">
        <f t="shared" si="1779"/>
        <v>0</v>
      </c>
      <c r="U503" s="56">
        <f t="shared" si="1779"/>
        <v>0</v>
      </c>
      <c r="V503" s="56">
        <f t="shared" si="1779"/>
        <v>-1</v>
      </c>
      <c r="W503" s="56">
        <f t="shared" si="1779"/>
        <v>31</v>
      </c>
      <c r="X503" s="56">
        <f t="shared" si="1779"/>
        <v>0</v>
      </c>
      <c r="Y503" s="56">
        <f t="shared" si="1779"/>
        <v>0</v>
      </c>
      <c r="Z503" s="56">
        <f t="shared" si="1779"/>
        <v>81</v>
      </c>
      <c r="AA503" s="56">
        <f t="shared" si="1779"/>
        <v>-82</v>
      </c>
      <c r="AB503" s="56">
        <f t="shared" si="1779"/>
        <v>0</v>
      </c>
      <c r="AC503" s="56">
        <f t="shared" si="1779"/>
        <v>9.0932085468550805E-6</v>
      </c>
      <c r="AD503" s="56">
        <f t="shared" si="1779"/>
        <v>0</v>
      </c>
      <c r="AE503" s="56">
        <f t="shared" si="1779"/>
        <v>2.4144287471892767</v>
      </c>
      <c r="AF503" s="56">
        <f t="shared" si="1779"/>
        <v>0</v>
      </c>
      <c r="AG503" s="56">
        <f t="shared" si="1779"/>
        <v>-55</v>
      </c>
      <c r="AH503" s="56">
        <f t="shared" si="1779"/>
        <v>13389</v>
      </c>
      <c r="AI503" s="56">
        <f t="shared" si="1779"/>
        <v>-6.8732008595884547E-2</v>
      </c>
      <c r="AJ503" s="56">
        <f t="shared" si="1779"/>
        <v>0</v>
      </c>
      <c r="AK503" s="56">
        <f t="shared" si="1779"/>
        <v>0</v>
      </c>
      <c r="AL503" s="56">
        <f t="shared" si="1779"/>
        <v>-702</v>
      </c>
      <c r="AM503" s="56">
        <f t="shared" si="1779"/>
        <v>0</v>
      </c>
      <c r="AN503" s="56">
        <f t="shared" si="1779"/>
        <v>0</v>
      </c>
      <c r="AO503" s="56">
        <f t="shared" si="1779"/>
        <v>0</v>
      </c>
      <c r="AP503" s="56">
        <f t="shared" si="1779"/>
        <v>-11352</v>
      </c>
      <c r="AQ503" s="56">
        <f t="shared" si="1779"/>
        <v>0</v>
      </c>
      <c r="AR503" s="56">
        <f t="shared" si="1779"/>
        <v>-2.3771062684097455E-5</v>
      </c>
      <c r="AS503" s="56">
        <f t="shared" si="1779"/>
        <v>0</v>
      </c>
      <c r="AT503" s="56">
        <f t="shared" si="1779"/>
        <v>0</v>
      </c>
      <c r="AU503" s="56">
        <f t="shared" si="1779"/>
        <v>0</v>
      </c>
      <c r="AV503" s="56">
        <f t="shared" si="1779"/>
        <v>2.2352053580487752E-4</v>
      </c>
      <c r="AW503" s="56">
        <f t="shared" si="1779"/>
        <v>0</v>
      </c>
      <c r="AX503" s="56">
        <f t="shared" si="1779"/>
        <v>101.24076619574771</v>
      </c>
      <c r="AY503" s="56">
        <f t="shared" si="1779"/>
        <v>0</v>
      </c>
      <c r="AZ503" s="56">
        <f t="shared" si="1779"/>
        <v>0</v>
      </c>
      <c r="BA503" s="56">
        <f t="shared" si="1779"/>
        <v>-3480014</v>
      </c>
      <c r="BB503" s="56">
        <f t="shared" si="1779"/>
        <v>0</v>
      </c>
      <c r="BC503" s="56">
        <f t="shared" si="1779"/>
        <v>-3692874</v>
      </c>
      <c r="BD503" s="56">
        <f t="shared" si="1779"/>
        <v>0</v>
      </c>
      <c r="BE503" s="56">
        <f t="shared" si="1779"/>
        <v>1803</v>
      </c>
      <c r="BF503" s="56">
        <f t="shared" si="1779"/>
        <v>0</v>
      </c>
      <c r="BG503" s="56">
        <f t="shared" si="1779"/>
        <v>0.10709799649758714</v>
      </c>
      <c r="BH503" s="56">
        <f t="shared" si="1779"/>
        <v>0</v>
      </c>
      <c r="BI503" s="56">
        <f t="shared" si="1779"/>
        <v>0</v>
      </c>
      <c r="BJ503" s="56">
        <f t="shared" si="1779"/>
        <v>0</v>
      </c>
      <c r="BK503" s="56">
        <f t="shared" si="1779"/>
        <v>-3558012</v>
      </c>
      <c r="BL503" s="56">
        <f t="shared" si="1779"/>
        <v>0</v>
      </c>
      <c r="BM503" s="56">
        <f t="shared" si="1779"/>
        <v>1.7297854415861305E-2</v>
      </c>
      <c r="BN503" s="56">
        <f t="shared" si="1779"/>
        <v>-5408.1974799542222</v>
      </c>
      <c r="BO503" s="56">
        <f t="shared" si="1779"/>
        <v>0</v>
      </c>
      <c r="BP503" s="56">
        <f t="shared" si="1779"/>
        <v>-22278</v>
      </c>
      <c r="BQ503" s="56">
        <f t="shared" si="1779"/>
        <v>0</v>
      </c>
      <c r="BR503" s="56">
        <f t="shared" si="1779"/>
        <v>4.174335822686448E-4</v>
      </c>
      <c r="BS503" s="56">
        <f t="shared" si="1779"/>
        <v>0</v>
      </c>
      <c r="BT503" s="56">
        <f t="shared" ref="BT503" si="1780">+BT494-BT502</f>
        <v>0</v>
      </c>
      <c r="BU503" s="56">
        <f t="shared" ref="BU503" si="1781">+BU448-BU502</f>
        <v>0</v>
      </c>
      <c r="BV503" s="56">
        <f>+BV349-BV502</f>
        <v>0</v>
      </c>
      <c r="BW503" s="56"/>
      <c r="BX503" s="56"/>
      <c r="BY503" s="56"/>
      <c r="BZ503" s="56"/>
      <c r="CA503" s="56"/>
      <c r="CB503" s="56"/>
      <c r="CC503" s="56"/>
      <c r="CD503" s="56"/>
      <c r="CE503" s="61"/>
      <c r="CF503" s="61"/>
      <c r="CG503" s="105"/>
    </row>
    <row r="504" spans="2:85" x14ac:dyDescent="0.3">
      <c r="B504" s="56"/>
      <c r="D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10"/>
      <c r="BT504" s="10"/>
      <c r="BU504" s="10"/>
      <c r="BV504" s="10"/>
      <c r="BW504" s="10"/>
      <c r="BX504" s="10"/>
      <c r="BY504" s="10"/>
      <c r="BZ504" s="10"/>
      <c r="CA504" s="10"/>
      <c r="CB504" s="61"/>
      <c r="CC504" s="105"/>
      <c r="CD504" s="105"/>
      <c r="CE504" s="105"/>
      <c r="CF504" s="105"/>
    </row>
    <row r="505" spans="2:85" x14ac:dyDescent="0.3">
      <c r="B505" s="56"/>
      <c r="D505" s="56"/>
      <c r="H505" s="1"/>
      <c r="N505" s="145"/>
      <c r="O505" s="1"/>
      <c r="W505" s="56"/>
      <c r="AA505" s="59"/>
      <c r="BA505" s="59"/>
      <c r="BC505" s="56"/>
      <c r="BE505" s="59"/>
      <c r="BJ505" s="61"/>
      <c r="BK505" s="10">
        <f>+BK187</f>
        <v>4928581</v>
      </c>
      <c r="BL505" s="61"/>
      <c r="BM505" s="61"/>
      <c r="BN505" s="61"/>
      <c r="BO505" s="61"/>
      <c r="BP505" s="61"/>
      <c r="BQ505" s="61"/>
      <c r="BR505" s="61"/>
      <c r="BS505" s="10"/>
      <c r="BT505" s="10"/>
    </row>
    <row r="506" spans="2:85" x14ac:dyDescent="0.3">
      <c r="B506" s="56"/>
      <c r="D506" s="56"/>
      <c r="H506" s="56"/>
      <c r="N506" s="231"/>
      <c r="W506" s="56"/>
      <c r="AA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56"/>
      <c r="AU506" t="s">
        <v>161</v>
      </c>
      <c r="BC506" s="1"/>
      <c r="BE506" s="59"/>
      <c r="BH506" s="96"/>
      <c r="BI506" s="96"/>
      <c r="BJ506" s="96"/>
      <c r="BK506" s="493"/>
      <c r="BL506" s="96"/>
      <c r="BM506" s="96"/>
      <c r="BN506" s="96"/>
      <c r="BO506" s="96"/>
      <c r="BP506" s="96"/>
      <c r="BQ506" s="96"/>
      <c r="BR506" s="78"/>
      <c r="BS506" s="1"/>
      <c r="BT506" s="1"/>
    </row>
    <row r="507" spans="2:85" x14ac:dyDescent="0.3">
      <c r="D507" s="1"/>
      <c r="E507" s="111" t="s">
        <v>26</v>
      </c>
      <c r="F507" s="112"/>
      <c r="H507" s="112" t="s">
        <v>59</v>
      </c>
      <c r="I507" s="104"/>
      <c r="J507" s="104"/>
      <c r="K507" s="61"/>
      <c r="L507" s="10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BC507" s="56"/>
      <c r="BE507" s="59"/>
      <c r="BH507" s="96"/>
      <c r="BI507" s="96"/>
      <c r="BJ507" s="96"/>
      <c r="BK507" s="493">
        <f>+BK194-BK502</f>
        <v>-2401900</v>
      </c>
      <c r="BL507" s="96"/>
      <c r="BM507" s="96"/>
      <c r="BN507" s="96"/>
      <c r="BO507" s="96"/>
      <c r="BP507" s="96"/>
      <c r="BQ507" s="96"/>
      <c r="BR507" s="78"/>
      <c r="BS507" s="1"/>
      <c r="BT507" s="1"/>
    </row>
    <row r="508" spans="2:85" x14ac:dyDescent="0.3">
      <c r="B508" s="56"/>
      <c r="D508" s="1"/>
      <c r="E508" s="111" t="s">
        <v>38</v>
      </c>
      <c r="F508" s="112"/>
      <c r="H508" s="112" t="s">
        <v>40</v>
      </c>
      <c r="I508" s="10"/>
      <c r="J508" s="10"/>
      <c r="K508" s="61"/>
      <c r="L508" s="10"/>
      <c r="AD508" s="1"/>
      <c r="AE508" s="1"/>
      <c r="AF508" s="1"/>
      <c r="AG508" s="1"/>
      <c r="AH508" s="1"/>
      <c r="AI508" s="1">
        <f>SUM(W213:W243)</f>
        <v>25465</v>
      </c>
      <c r="AJ508" s="1"/>
      <c r="AK508" s="1"/>
      <c r="AL508" s="1" t="s">
        <v>17</v>
      </c>
      <c r="AM508" s="1"/>
      <c r="AN508" s="1"/>
      <c r="AO508" s="1"/>
      <c r="BC508" s="56"/>
      <c r="BE508" s="59"/>
      <c r="BH508" s="97"/>
      <c r="BI508" s="97"/>
      <c r="BJ508" s="97"/>
      <c r="BK508" s="493">
        <f>+BK187-BK502</f>
        <v>-3236428</v>
      </c>
      <c r="BL508" s="97"/>
      <c r="BM508" s="97"/>
      <c r="BN508" s="97"/>
      <c r="BO508" s="97"/>
      <c r="BP508" s="97"/>
      <c r="BQ508" s="97"/>
      <c r="BR508" s="78"/>
      <c r="BS508" s="1"/>
      <c r="BT508" s="1"/>
    </row>
    <row r="509" spans="2:85" x14ac:dyDescent="0.3">
      <c r="B509" s="231"/>
      <c r="D509" s="1"/>
      <c r="E509" s="111" t="s">
        <v>45</v>
      </c>
      <c r="F509" s="112"/>
      <c r="H509" s="112" t="s">
        <v>55</v>
      </c>
      <c r="I509" s="10"/>
      <c r="J509" s="10"/>
      <c r="K509" s="61"/>
      <c r="L509" s="10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BC509" s="56"/>
      <c r="BE509" s="59"/>
      <c r="BH509" s="97"/>
      <c r="BI509" s="97"/>
      <c r="BJ509" s="97"/>
      <c r="BK509" s="493"/>
      <c r="BL509" s="97"/>
      <c r="BM509" s="97"/>
      <c r="BN509" s="97"/>
      <c r="BO509" s="97"/>
      <c r="BP509" s="97"/>
      <c r="BQ509" s="97"/>
      <c r="BR509" s="78"/>
      <c r="BS509" s="1"/>
      <c r="BT509" s="1"/>
    </row>
    <row r="510" spans="2:85" x14ac:dyDescent="0.3">
      <c r="D510" s="1"/>
      <c r="E510" s="111" t="s">
        <v>60</v>
      </c>
      <c r="F510" s="61"/>
      <c r="H510" s="81" t="s">
        <v>135</v>
      </c>
      <c r="I510" s="61"/>
      <c r="J510" s="61"/>
      <c r="K510" s="61"/>
      <c r="L510" s="6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BH510" s="97"/>
      <c r="BI510" s="97"/>
      <c r="BJ510" s="97"/>
      <c r="BK510" s="496"/>
      <c r="BL510" s="97"/>
      <c r="BM510" s="97"/>
      <c r="BN510" s="97"/>
      <c r="BO510" s="97"/>
      <c r="BP510" s="97"/>
      <c r="BQ510" s="97"/>
      <c r="BR510" s="78"/>
      <c r="BS510" s="1"/>
      <c r="BT510" s="1"/>
    </row>
    <row r="511" spans="2:85" x14ac:dyDescent="0.3">
      <c r="E511" s="111" t="s">
        <v>136</v>
      </c>
      <c r="H511" s="81" t="s">
        <v>137</v>
      </c>
      <c r="AD511" s="1"/>
      <c r="AE511" s="1"/>
      <c r="AF511" s="1"/>
      <c r="AG511" s="1"/>
      <c r="AH511" s="1"/>
      <c r="AI511" s="1"/>
      <c r="BD511" s="78"/>
      <c r="BE511" s="78"/>
      <c r="BF511" s="78"/>
      <c r="BG511" s="78"/>
      <c r="BH511" s="78"/>
      <c r="BI511" s="78"/>
      <c r="BJ511" s="78"/>
      <c r="BK511" s="494"/>
      <c r="BL511" s="78"/>
      <c r="BM511" s="78"/>
      <c r="BN511" s="78"/>
      <c r="BO511" s="78"/>
      <c r="BP511" s="78"/>
      <c r="BQ511" s="78"/>
      <c r="BR511" s="78"/>
      <c r="BS511" s="1"/>
      <c r="BT511" s="1"/>
    </row>
    <row r="512" spans="2:85" x14ac:dyDescent="0.3">
      <c r="B512" s="56"/>
      <c r="AD512" s="1"/>
      <c r="AE512" s="1"/>
      <c r="AF512" s="1"/>
      <c r="AG512" s="1"/>
      <c r="AH512" s="1"/>
      <c r="AI512" s="1"/>
      <c r="BA512" s="545">
        <v>157602857</v>
      </c>
      <c r="BK512" s="495"/>
    </row>
    <row r="513" spans="2:87" ht="15" thickBot="1" x14ac:dyDescent="0.35">
      <c r="D513" s="56">
        <f>SUM(D363:D369)</f>
        <v>378583</v>
      </c>
      <c r="AD513" s="1"/>
      <c r="AE513" s="507"/>
      <c r="AF513" s="547"/>
      <c r="AG513" s="507"/>
      <c r="AH513" s="507"/>
      <c r="AI513" s="507"/>
      <c r="AJ513" s="500"/>
      <c r="AK513" s="500"/>
      <c r="AL513" s="500"/>
      <c r="AM513" s="500"/>
      <c r="AN513" s="500"/>
      <c r="AO513" s="500"/>
      <c r="AP513" s="500"/>
      <c r="AQ513" s="500"/>
      <c r="AR513" s="500"/>
      <c r="AS513" s="500"/>
      <c r="AT513" s="500"/>
      <c r="AU513" s="500"/>
      <c r="AV513" s="500"/>
      <c r="AW513" s="500"/>
      <c r="AX513" s="500"/>
      <c r="AZ513" s="106"/>
      <c r="BA513" s="106"/>
      <c r="BB513" s="106"/>
      <c r="BC513" s="106"/>
      <c r="BK513" s="1"/>
    </row>
    <row r="514" spans="2:87" x14ac:dyDescent="0.3">
      <c r="D514" s="531">
        <f>SUM(D356:D362)</f>
        <v>417052</v>
      </c>
      <c r="J514" s="486"/>
      <c r="V514" s="106"/>
      <c r="AA514" s="56"/>
      <c r="AD514" s="1"/>
      <c r="AE514" s="507"/>
      <c r="AF514" s="546"/>
      <c r="AG514" s="1"/>
      <c r="AH514" s="1"/>
      <c r="AI514" s="485"/>
      <c r="AJ514" s="464"/>
      <c r="AK514" s="465"/>
      <c r="AL514" s="465"/>
      <c r="AM514" s="465"/>
      <c r="AN514" s="465"/>
      <c r="AO514" s="465"/>
      <c r="AP514" s="465"/>
      <c r="AQ514" s="465"/>
      <c r="AR514" s="465"/>
      <c r="AS514" s="465"/>
      <c r="AT514" s="465"/>
      <c r="AU514" s="465"/>
      <c r="AV514" s="465"/>
      <c r="AW514" s="466"/>
      <c r="AX514" s="500"/>
      <c r="AZ514" s="106"/>
      <c r="BA514" s="77"/>
      <c r="BB514" s="106"/>
      <c r="BC514" s="106"/>
      <c r="BK514" s="56"/>
    </row>
    <row r="515" spans="2:87" x14ac:dyDescent="0.3">
      <c r="D515" s="1"/>
      <c r="J515" s="214"/>
      <c r="AD515" s="1"/>
      <c r="AE515" s="507"/>
      <c r="AF515" s="546"/>
      <c r="AG515" s="1"/>
      <c r="AH515" s="1"/>
      <c r="AI515" s="485"/>
      <c r="AJ515" s="467"/>
      <c r="AK515" s="580" t="s">
        <v>142</v>
      </c>
      <c r="AL515" s="580"/>
      <c r="AM515" s="580"/>
      <c r="AN515" s="580"/>
      <c r="AO515" s="580"/>
      <c r="AP515" s="580"/>
      <c r="AQ515" s="580"/>
      <c r="AR515" s="580"/>
      <c r="AS515" s="580"/>
      <c r="AT515" s="580"/>
      <c r="AU515" s="580"/>
      <c r="AV515" s="580"/>
      <c r="AW515" s="468"/>
      <c r="AX515" s="500"/>
      <c r="AZ515" s="106"/>
      <c r="BA515" s="106"/>
      <c r="BB515" s="106"/>
      <c r="BC515" s="106"/>
    </row>
    <row r="516" spans="2:87" ht="15.6" x14ac:dyDescent="0.3">
      <c r="D516" s="1">
        <v>331000000</v>
      </c>
      <c r="H516" s="235">
        <f>+H269/D516</f>
        <v>4.5635842900302113E-2</v>
      </c>
      <c r="J516" s="57"/>
      <c r="AD516" s="1"/>
      <c r="AE516" s="507"/>
      <c r="AF516" s="546"/>
      <c r="AG516" s="1"/>
      <c r="AH516" s="1"/>
      <c r="AI516" s="485"/>
      <c r="AJ516" s="467"/>
      <c r="AK516" s="580" t="s">
        <v>141</v>
      </c>
      <c r="AL516" s="580"/>
      <c r="AM516" s="580"/>
      <c r="AN516" s="580"/>
      <c r="AO516" s="473"/>
      <c r="AP516" s="474" t="s">
        <v>20</v>
      </c>
      <c r="AQ516" s="473"/>
      <c r="AR516" s="474" t="s">
        <v>4</v>
      </c>
      <c r="AS516" s="475"/>
      <c r="AT516" s="475"/>
      <c r="AU516" s="475"/>
      <c r="AV516" s="479" t="s">
        <v>10</v>
      </c>
      <c r="AW516" s="468"/>
      <c r="AX516" s="500"/>
      <c r="AZ516" s="106"/>
      <c r="BA516" s="106"/>
      <c r="BB516" s="106"/>
      <c r="BC516" s="106"/>
    </row>
    <row r="517" spans="2:87" ht="15.6" x14ac:dyDescent="0.3">
      <c r="H517" s="235">
        <f>+AA269/H269</f>
        <v>1.9000541790705667E-2</v>
      </c>
      <c r="AD517" s="1"/>
      <c r="AE517" s="507"/>
      <c r="AF517" s="546"/>
      <c r="AG517" s="1"/>
      <c r="AH517" s="1"/>
      <c r="AI517" s="485"/>
      <c r="AJ517" s="467"/>
      <c r="AK517" s="590" t="s">
        <v>138</v>
      </c>
      <c r="AL517" s="590"/>
      <c r="AM517" s="590"/>
      <c r="AN517" s="590"/>
      <c r="AO517" s="473"/>
      <c r="AP517" s="476">
        <f>+AH50</f>
        <v>898992</v>
      </c>
      <c r="AQ517" s="477"/>
      <c r="AR517" s="476">
        <f>+AH51</f>
        <v>55687</v>
      </c>
      <c r="AS517" s="478"/>
      <c r="AT517" s="478"/>
      <c r="AU517" s="478"/>
      <c r="AV517" s="491">
        <f t="shared" ref="AV517:AV523" si="1782">+AR517/AP517</f>
        <v>6.194382152455194E-2</v>
      </c>
      <c r="AW517" s="468"/>
      <c r="AX517" s="500"/>
      <c r="AZ517" s="106"/>
      <c r="BA517" s="77"/>
      <c r="BB517" s="106"/>
      <c r="BC517" s="106"/>
    </row>
    <row r="518" spans="2:87" ht="15.6" x14ac:dyDescent="0.3">
      <c r="D518" s="235"/>
      <c r="AD518" s="1"/>
      <c r="AE518" s="507"/>
      <c r="AF518" s="546"/>
      <c r="AG518" s="1"/>
      <c r="AH518" s="1"/>
      <c r="AI518" s="485"/>
      <c r="AJ518" s="467"/>
      <c r="AK518" s="628" t="s">
        <v>139</v>
      </c>
      <c r="AL518" s="629"/>
      <c r="AM518" s="629"/>
      <c r="AN518" s="629"/>
      <c r="AO518" s="64"/>
      <c r="AP518" s="469">
        <f>+AG83</f>
        <v>742147</v>
      </c>
      <c r="AQ518" s="64"/>
      <c r="AR518" s="469">
        <f>+AG84</f>
        <v>42339</v>
      </c>
      <c r="AS518" s="64"/>
      <c r="AT518" s="64"/>
      <c r="AU518" s="64"/>
      <c r="AV518" s="489">
        <f t="shared" si="1782"/>
        <v>5.7049344671608188E-2</v>
      </c>
      <c r="AW518" s="468"/>
      <c r="AX518" s="500"/>
      <c r="AZ518" s="106"/>
      <c r="BA518" s="77"/>
      <c r="BB518" s="106"/>
      <c r="BC518" s="106"/>
    </row>
    <row r="519" spans="2:87" ht="15.6" x14ac:dyDescent="0.3">
      <c r="AD519" s="1"/>
      <c r="AE519" s="507"/>
      <c r="AF519" s="546"/>
      <c r="AG519" s="1"/>
      <c r="AH519" s="1"/>
      <c r="AI519" s="485"/>
      <c r="AJ519" s="467"/>
      <c r="AK519" s="629" t="s">
        <v>140</v>
      </c>
      <c r="AL519" s="629"/>
      <c r="AM519" s="629"/>
      <c r="AN519" s="629"/>
      <c r="AO519" s="64"/>
      <c r="AP519" s="469">
        <f>+AH113</f>
        <v>869627</v>
      </c>
      <c r="AQ519" s="64"/>
      <c r="AR519" s="469">
        <f>+AH114</f>
        <v>21252</v>
      </c>
      <c r="AS519" s="64"/>
      <c r="AT519" s="64"/>
      <c r="AU519" s="64"/>
      <c r="AV519" s="489">
        <f t="shared" si="1782"/>
        <v>2.4438063675575852E-2</v>
      </c>
      <c r="AW519" s="468"/>
      <c r="AX519" s="500"/>
      <c r="AZ519" s="106"/>
      <c r="BA519" s="106"/>
      <c r="BB519" s="106"/>
      <c r="BC519" s="106"/>
    </row>
    <row r="520" spans="2:87" ht="15.6" x14ac:dyDescent="0.3">
      <c r="D520" s="428"/>
      <c r="AD520" s="1"/>
      <c r="AE520" s="507"/>
      <c r="AF520" s="546"/>
      <c r="AG520" s="1"/>
      <c r="AH520" s="1"/>
      <c r="AI520" s="485"/>
      <c r="AJ520" s="467"/>
      <c r="AK520" s="629" t="s">
        <v>143</v>
      </c>
      <c r="AL520" s="629"/>
      <c r="AM520" s="629"/>
      <c r="AN520" s="629"/>
      <c r="AO520" s="64"/>
      <c r="AP520" s="469">
        <f>+AG526</f>
        <v>1970617</v>
      </c>
      <c r="AQ520" s="64"/>
      <c r="AR520" s="469">
        <f>+AG528</f>
        <v>25901</v>
      </c>
      <c r="AS520" s="64"/>
      <c r="AT520" s="64"/>
      <c r="AU520" s="64"/>
      <c r="AV520" s="489">
        <f t="shared" si="1782"/>
        <v>1.3143599187462607E-2</v>
      </c>
      <c r="AW520" s="468"/>
      <c r="AX520" s="500"/>
    </row>
    <row r="521" spans="2:87" ht="15.6" x14ac:dyDescent="0.3">
      <c r="D521" s="428"/>
      <c r="AD521" s="1"/>
      <c r="AE521" s="507"/>
      <c r="AF521" s="546"/>
      <c r="AG521" s="1"/>
      <c r="AH521" s="1"/>
      <c r="AI521" s="485"/>
      <c r="AJ521" s="467"/>
      <c r="AK521" s="543"/>
      <c r="AL521" s="543" t="s">
        <v>151</v>
      </c>
      <c r="AM521" s="543"/>
      <c r="AN521" s="543"/>
      <c r="AO521" s="64"/>
      <c r="AP521" s="469">
        <f>SUM(D144:D174)</f>
        <v>1493931</v>
      </c>
      <c r="AQ521" s="64"/>
      <c r="AR521" s="469">
        <f>SUM(W144:W174)</f>
        <v>30354</v>
      </c>
      <c r="AS521" s="64"/>
      <c r="AT521" s="64"/>
      <c r="AU521" s="64"/>
      <c r="AV521" s="489">
        <f t="shared" si="1782"/>
        <v>2.0318207467413155E-2</v>
      </c>
      <c r="AW521" s="468"/>
      <c r="AX521" s="500"/>
    </row>
    <row r="522" spans="2:87" ht="15.6" x14ac:dyDescent="0.3">
      <c r="D522" s="428"/>
      <c r="AD522" s="1"/>
      <c r="AE522" s="507"/>
      <c r="AF522" s="546"/>
      <c r="AG522" s="1"/>
      <c r="AH522" s="1"/>
      <c r="AI522" s="485"/>
      <c r="AJ522" s="467"/>
      <c r="AK522" s="543"/>
      <c r="AL522" s="543" t="s">
        <v>152</v>
      </c>
      <c r="AM522" s="543"/>
      <c r="AN522" s="543"/>
      <c r="AO522" s="64"/>
      <c r="AP522" s="469">
        <f>SUM(D175:D204)</f>
        <v>1202331</v>
      </c>
      <c r="AQ522" s="64"/>
      <c r="AR522" s="544">
        <f>SUM(W175:W204)</f>
        <v>24042</v>
      </c>
      <c r="AS522" s="64"/>
      <c r="AT522" s="64"/>
      <c r="AU522" s="64"/>
      <c r="AV522" s="489">
        <f t="shared" si="1782"/>
        <v>1.9996157464125936E-2</v>
      </c>
      <c r="AW522" s="468"/>
      <c r="AX522" s="500"/>
    </row>
    <row r="523" spans="2:87" ht="15.6" x14ac:dyDescent="0.3">
      <c r="D523" s="428"/>
      <c r="AD523" s="1"/>
      <c r="AE523" s="507"/>
      <c r="AF523" s="546"/>
      <c r="AG523" s="1"/>
      <c r="AH523" s="1"/>
      <c r="AI523" s="485"/>
      <c r="AJ523" s="467"/>
      <c r="AK523" s="543"/>
      <c r="AL523" s="543" t="s">
        <v>153</v>
      </c>
      <c r="AM523" s="543"/>
      <c r="AN523" s="543"/>
      <c r="AO523" s="64"/>
      <c r="AP523" s="469">
        <f>SUM(D205:D230)</f>
        <v>1470960</v>
      </c>
      <c r="AQ523" s="64"/>
      <c r="AR523" s="469">
        <f>SUM(W205:W235)</f>
        <v>24156</v>
      </c>
      <c r="AS523" s="64"/>
      <c r="AT523" s="64"/>
      <c r="AU523" s="64"/>
      <c r="AV523" s="489">
        <f t="shared" si="1782"/>
        <v>1.6421928536465982E-2</v>
      </c>
      <c r="AW523" s="468"/>
      <c r="AX523" s="500"/>
      <c r="BA523" s="486">
        <f>+AV517-AV523</f>
        <v>4.5521892988085955E-2</v>
      </c>
    </row>
    <row r="524" spans="2:87" ht="15" thickBot="1" x14ac:dyDescent="0.35">
      <c r="B524" s="427"/>
      <c r="D524" s="235"/>
      <c r="AD524" s="1"/>
      <c r="AE524" s="507"/>
      <c r="AF524" s="546"/>
      <c r="AG524" s="1"/>
      <c r="AH524" s="1"/>
      <c r="AI524" s="485"/>
      <c r="AJ524" s="467"/>
      <c r="AK524" s="480"/>
      <c r="AL524" s="480"/>
      <c r="AM524" s="480"/>
      <c r="AN524" s="480"/>
      <c r="AO524" s="481"/>
      <c r="AP524" s="482"/>
      <c r="AQ524" s="481"/>
      <c r="AR524" s="482"/>
      <c r="AS524" s="481"/>
      <c r="AT524" s="481"/>
      <c r="AU524" s="481"/>
      <c r="AV524" s="483"/>
      <c r="AW524" s="468"/>
      <c r="AX524" s="500"/>
      <c r="BA524">
        <f>+BA523/AV517</f>
        <v>0.73488996751747038</v>
      </c>
    </row>
    <row r="525" spans="2:87" ht="15.6" x14ac:dyDescent="0.3">
      <c r="B525" s="427"/>
      <c r="D525" s="235"/>
      <c r="AD525" s="1"/>
      <c r="AE525" s="507"/>
      <c r="AF525" s="546"/>
      <c r="AG525" s="1"/>
      <c r="AH525" s="1"/>
      <c r="AI525" s="485"/>
      <c r="AJ525" s="467"/>
      <c r="AK525" s="590" t="s">
        <v>138</v>
      </c>
      <c r="AL525" s="590"/>
      <c r="AM525" s="590"/>
      <c r="AN525" s="590"/>
      <c r="AO525" s="64"/>
      <c r="AP525" s="469"/>
      <c r="AQ525" s="64"/>
      <c r="AR525" s="469">
        <f>+AR517</f>
        <v>55687</v>
      </c>
      <c r="AS525" s="64"/>
      <c r="AT525" s="64"/>
      <c r="AU525" s="64"/>
      <c r="AV525" s="144"/>
      <c r="AW525" s="468"/>
      <c r="AX525" s="500"/>
    </row>
    <row r="526" spans="2:87" ht="15.6" x14ac:dyDescent="0.3">
      <c r="B526" s="427"/>
      <c r="D526" s="235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10"/>
      <c r="AE526" s="507"/>
      <c r="AF526" s="546"/>
      <c r="AG526" s="33">
        <f>SUM(D113:D143)</f>
        <v>1970617</v>
      </c>
      <c r="AH526" s="1"/>
      <c r="AI526" s="485"/>
      <c r="AJ526" s="467"/>
      <c r="AK526" s="622" t="s">
        <v>153</v>
      </c>
      <c r="AL526" s="622"/>
      <c r="AM526" s="622"/>
      <c r="AN526" s="622"/>
      <c r="AO526" s="64"/>
      <c r="AP526" s="469"/>
      <c r="AQ526" s="64"/>
      <c r="AR526" s="469">
        <f>+AR523</f>
        <v>24156</v>
      </c>
      <c r="AS526" s="64"/>
      <c r="AT526" s="64"/>
      <c r="AU526" s="64"/>
      <c r="AV526" s="144"/>
      <c r="AW526" s="468"/>
      <c r="AX526" s="500"/>
    </row>
    <row r="527" spans="2:87" ht="15.6" x14ac:dyDescent="0.3">
      <c r="B527" s="427"/>
      <c r="D527" s="235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10"/>
      <c r="AE527" s="507"/>
      <c r="AF527" s="546"/>
      <c r="AG527" s="33">
        <f>SUM(W125:W138)</f>
        <v>12117</v>
      </c>
      <c r="AH527" s="1"/>
      <c r="AI527" s="485"/>
      <c r="AJ527" s="467"/>
      <c r="AK527" s="63"/>
      <c r="AL527" s="497" t="s">
        <v>3</v>
      </c>
      <c r="AM527" s="63"/>
      <c r="AN527" s="63"/>
      <c r="AO527" s="64"/>
      <c r="AP527" s="469"/>
      <c r="AQ527" s="64"/>
      <c r="AR527" s="469">
        <f>+AR525-AR526</f>
        <v>31531</v>
      </c>
      <c r="AS527" s="64"/>
      <c r="AT527" s="64"/>
      <c r="AU527" s="64"/>
      <c r="AV527" s="484">
        <f>+AR527/AR525</f>
        <v>0.5662183274372834</v>
      </c>
      <c r="AW527" s="468"/>
      <c r="AX527" s="500"/>
    </row>
    <row r="528" spans="2:87" ht="15" thickBot="1" x14ac:dyDescent="0.35">
      <c r="D528" s="427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10"/>
      <c r="AE528" s="507"/>
      <c r="AF528" s="548"/>
      <c r="AG528" s="33">
        <f>SUM(W113:W143)</f>
        <v>25901</v>
      </c>
      <c r="AH528" s="1"/>
      <c r="AI528" s="485"/>
      <c r="AJ528" s="470"/>
      <c r="AK528" s="471"/>
      <c r="AL528" s="471"/>
      <c r="AM528" s="471"/>
      <c r="AN528" s="471"/>
      <c r="AO528" s="471"/>
      <c r="AP528" s="471"/>
      <c r="AQ528" s="471"/>
      <c r="AR528" s="471"/>
      <c r="AS528" s="471"/>
      <c r="AT528" s="471"/>
      <c r="AU528" s="471"/>
      <c r="AV528" s="471"/>
      <c r="AW528" s="472"/>
      <c r="AX528" s="500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1"/>
      <c r="BT528" s="1"/>
      <c r="BU528" s="1"/>
      <c r="BV528" s="1"/>
      <c r="BW528" s="78"/>
      <c r="BX528" s="78"/>
      <c r="BY528" s="78"/>
      <c r="BZ528" s="78"/>
      <c r="CA528" s="78"/>
      <c r="CB528" s="78"/>
      <c r="CC528" s="78"/>
      <c r="CD528" s="78"/>
      <c r="CE528" s="78"/>
      <c r="CF528" s="78"/>
      <c r="CG528" s="78"/>
      <c r="CH528" s="78"/>
      <c r="CI528" s="78"/>
    </row>
    <row r="529" spans="4:87" x14ac:dyDescent="0.3"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10"/>
      <c r="AE529" s="507"/>
      <c r="AF529" s="507"/>
      <c r="AG529" s="507"/>
      <c r="AH529" s="507"/>
      <c r="AI529" s="507"/>
      <c r="AJ529" s="500"/>
      <c r="AK529" s="500"/>
      <c r="AL529" s="500"/>
      <c r="AM529" s="500"/>
      <c r="AN529" s="500"/>
      <c r="AO529" s="500"/>
      <c r="AP529" s="500"/>
      <c r="AQ529" s="500"/>
      <c r="AR529" s="500"/>
      <c r="AS529" s="500"/>
      <c r="AT529" s="500"/>
      <c r="AU529" s="500"/>
      <c r="AV529" s="500"/>
      <c r="AW529" s="500"/>
      <c r="AX529" s="500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77"/>
      <c r="BX529" s="77"/>
      <c r="BY529" s="77"/>
      <c r="BZ529" s="77"/>
      <c r="CA529" s="109"/>
      <c r="CB529" s="1"/>
      <c r="CC529" s="1"/>
      <c r="CD529" s="1"/>
      <c r="CE529" s="1"/>
      <c r="CF529" s="1"/>
      <c r="CG529" s="1"/>
      <c r="CH529" s="1"/>
      <c r="CI529" s="1"/>
    </row>
    <row r="530" spans="4:87" x14ac:dyDescent="0.3">
      <c r="D530">
        <v>10</v>
      </c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10"/>
      <c r="AE530" s="10"/>
      <c r="AF530" s="10"/>
      <c r="AG530" s="10"/>
      <c r="AH530" s="10"/>
      <c r="AI530" s="10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77"/>
      <c r="BX530" s="77"/>
      <c r="BY530" s="77"/>
      <c r="BZ530" s="77"/>
      <c r="CA530" s="77"/>
      <c r="CB530" s="1"/>
      <c r="CC530" s="1"/>
      <c r="CD530" s="1"/>
      <c r="CE530" s="1"/>
      <c r="CF530" s="1"/>
      <c r="CG530" s="1"/>
      <c r="CH530" s="1"/>
      <c r="CI530" s="1"/>
    </row>
    <row r="531" spans="4:87" x14ac:dyDescent="0.3">
      <c r="D531" s="1">
        <v>77000000</v>
      </c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10"/>
      <c r="AE531" s="10"/>
      <c r="AF531" s="10"/>
      <c r="AG531" s="10"/>
      <c r="AH531" s="10"/>
      <c r="AI531" s="10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77"/>
      <c r="BX531" s="77"/>
      <c r="BY531" s="77"/>
      <c r="BZ531" s="77"/>
      <c r="CA531" s="77"/>
      <c r="CB531" s="1"/>
      <c r="CC531" s="1"/>
      <c r="CD531" s="1"/>
      <c r="CE531" s="1"/>
      <c r="CF531" s="1"/>
      <c r="CG531" s="1"/>
    </row>
    <row r="532" spans="4:87" x14ac:dyDescent="0.3">
      <c r="D532" s="57">
        <f>+D531/D534</f>
        <v>0.23262839879154079</v>
      </c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10"/>
      <c r="AE532" s="10"/>
      <c r="AF532" s="10"/>
      <c r="AG532" s="501"/>
      <c r="AH532" s="10"/>
      <c r="AI532" s="10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77"/>
      <c r="BX532" s="77"/>
      <c r="BY532" s="77"/>
      <c r="BZ532" s="77"/>
      <c r="CA532" s="77"/>
      <c r="CB532" s="1"/>
      <c r="CC532" s="1"/>
      <c r="CD532" s="1"/>
      <c r="CE532" s="1"/>
      <c r="CF532" s="1"/>
      <c r="CG532" s="1"/>
    </row>
    <row r="533" spans="4:87" x14ac:dyDescent="0.3"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10"/>
      <c r="AE533" s="10"/>
      <c r="AF533" s="507"/>
      <c r="AG533" s="526"/>
      <c r="AH533" s="507"/>
      <c r="AI533" s="507"/>
      <c r="AJ533" s="500"/>
      <c r="AK533" s="500"/>
      <c r="AL533" s="500"/>
      <c r="AM533" s="500"/>
      <c r="AN533" s="500"/>
      <c r="AO533" s="500"/>
      <c r="AP533" s="500"/>
      <c r="AQ533" s="500"/>
      <c r="AR533" s="500"/>
      <c r="AS533" s="500"/>
      <c r="AT533" s="500"/>
      <c r="AU533" s="500"/>
      <c r="AV533" s="500"/>
      <c r="AW533" s="500"/>
      <c r="AX533" s="500"/>
      <c r="AY533" s="500"/>
      <c r="AZ533" s="500"/>
      <c r="BA533" s="500"/>
      <c r="BB533" s="500"/>
      <c r="BC533" s="500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77"/>
      <c r="BX533" s="77"/>
      <c r="BY533" s="110"/>
      <c r="BZ533" s="77"/>
      <c r="CA533" s="77"/>
    </row>
    <row r="534" spans="4:87" x14ac:dyDescent="0.3">
      <c r="D534" s="1">
        <v>331000000</v>
      </c>
      <c r="H534">
        <v>0.13400000000000001</v>
      </c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10"/>
      <c r="AE534" s="10"/>
      <c r="AF534" s="507"/>
      <c r="AG534" s="527"/>
      <c r="AH534" s="507"/>
      <c r="AI534" s="507"/>
      <c r="AJ534" s="524"/>
      <c r="AK534" s="524"/>
      <c r="AL534" s="525"/>
      <c r="AM534" s="525"/>
      <c r="AN534" s="525"/>
      <c r="AO534" s="525"/>
      <c r="AP534" s="525"/>
      <c r="AQ534" s="525"/>
      <c r="AR534" s="525"/>
      <c r="AS534" s="525"/>
      <c r="AT534" s="525"/>
      <c r="AU534" s="525"/>
      <c r="AV534" s="525"/>
      <c r="AW534" s="525"/>
      <c r="AX534" s="525"/>
      <c r="AY534" s="525"/>
      <c r="AZ534" s="525"/>
      <c r="BA534" s="525"/>
      <c r="BB534" s="524"/>
      <c r="BC534" s="524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77"/>
      <c r="BX534" s="77"/>
      <c r="BY534" s="77"/>
      <c r="BZ534" s="77"/>
      <c r="CA534" s="77"/>
    </row>
    <row r="535" spans="4:87" x14ac:dyDescent="0.3">
      <c r="D535" s="1">
        <f>+D534*H534</f>
        <v>44354000</v>
      </c>
      <c r="H535" s="1">
        <f>+D535*0.001</f>
        <v>44354</v>
      </c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10"/>
      <c r="AE535" s="10"/>
      <c r="AF535" s="507"/>
      <c r="AG535" s="526"/>
      <c r="AH535" s="507"/>
      <c r="AI535" s="507"/>
      <c r="AJ535" s="524"/>
      <c r="AK535" s="524"/>
      <c r="AL535" s="138"/>
      <c r="AM535" s="138"/>
      <c r="AN535" s="138"/>
      <c r="AO535" s="138"/>
      <c r="AP535" s="138"/>
      <c r="AQ535" s="138"/>
      <c r="AR535" s="138"/>
      <c r="AS535" s="78"/>
      <c r="AT535" s="78"/>
      <c r="AU535" s="78"/>
      <c r="AV535" s="98"/>
      <c r="AW535" s="98"/>
      <c r="AX535" s="98"/>
      <c r="AY535" s="98"/>
      <c r="AZ535" s="524"/>
      <c r="BA535" s="524"/>
      <c r="BB535" s="530"/>
      <c r="BC535" s="524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77"/>
      <c r="BX535" s="77"/>
      <c r="BY535" s="77"/>
      <c r="BZ535" s="77"/>
      <c r="CA535" s="77"/>
    </row>
    <row r="536" spans="4:87" x14ac:dyDescent="0.3">
      <c r="D536" s="425">
        <v>7.1999999999999995E-2</v>
      </c>
      <c r="H536" s="1">
        <f>+AA204*H534</f>
        <v>28746.886000000002</v>
      </c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10"/>
      <c r="AE536" s="10"/>
      <c r="AF536" s="507"/>
      <c r="AG536" s="526">
        <v>44031</v>
      </c>
      <c r="AH536" s="507"/>
      <c r="AI536" s="507"/>
      <c r="AJ536" s="524"/>
      <c r="AK536" s="524"/>
      <c r="AL536" s="138"/>
      <c r="AM536" s="138"/>
      <c r="AN536" s="138"/>
      <c r="AO536" s="138"/>
      <c r="AP536" s="138"/>
      <c r="AQ536" s="138"/>
      <c r="AR536" s="138"/>
      <c r="AS536" s="138"/>
      <c r="AT536" s="98"/>
      <c r="AU536" s="78"/>
      <c r="AV536" s="98"/>
      <c r="AW536" s="98"/>
      <c r="AX536" s="98"/>
      <c r="AY536" s="98"/>
      <c r="AZ536" s="524"/>
      <c r="BA536" s="524"/>
      <c r="BB536" s="530"/>
      <c r="BC536" s="524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77"/>
      <c r="BX536" s="77"/>
      <c r="BY536" s="77"/>
      <c r="BZ536" s="77"/>
      <c r="CA536" s="77"/>
    </row>
    <row r="537" spans="4:87" x14ac:dyDescent="0.3"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10"/>
      <c r="AE537" s="10"/>
      <c r="AF537" s="507"/>
      <c r="AG537" s="526">
        <v>44038</v>
      </c>
      <c r="AH537" s="507"/>
      <c r="AI537" s="507"/>
      <c r="AJ537" s="524"/>
      <c r="AK537" s="524"/>
      <c r="AL537" s="78"/>
      <c r="AM537" s="78"/>
      <c r="AN537" s="139"/>
      <c r="AO537" s="139"/>
      <c r="AP537" s="139"/>
      <c r="AQ537" s="139"/>
      <c r="AR537" s="139"/>
      <c r="AS537" s="78"/>
      <c r="AT537" s="78"/>
      <c r="AU537" s="78"/>
      <c r="AV537" s="98"/>
      <c r="AW537" s="98"/>
      <c r="AX537" s="98"/>
      <c r="AY537" s="98"/>
      <c r="AZ537" s="524"/>
      <c r="BA537" s="524"/>
      <c r="BB537" s="530"/>
      <c r="BC537" s="524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77"/>
      <c r="BX537" s="77"/>
      <c r="BY537" s="77"/>
      <c r="BZ537" s="77"/>
      <c r="CA537" s="77"/>
    </row>
    <row r="538" spans="4:87" x14ac:dyDescent="0.3">
      <c r="D538" s="235">
        <v>4.2000000000000003E-2</v>
      </c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10"/>
      <c r="AE538" s="10"/>
      <c r="AF538" s="507"/>
      <c r="AG538" s="526">
        <v>44045</v>
      </c>
      <c r="AH538" s="507"/>
      <c r="AI538" s="507"/>
      <c r="AJ538" s="524"/>
      <c r="AK538" s="524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98"/>
      <c r="AW538" s="98"/>
      <c r="AX538" s="98"/>
      <c r="AY538" s="98"/>
      <c r="AZ538" s="524"/>
      <c r="BA538" s="524"/>
      <c r="BB538" s="530"/>
      <c r="BC538" s="524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4:87" x14ac:dyDescent="0.3">
      <c r="D539" s="531">
        <f>+D534*D536*D538</f>
        <v>1000944.0000000001</v>
      </c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10"/>
      <c r="AE539" s="10"/>
      <c r="AF539" s="507"/>
      <c r="AG539" s="526">
        <v>44052</v>
      </c>
      <c r="AH539" s="507"/>
      <c r="AI539" s="507"/>
      <c r="AJ539" s="524"/>
      <c r="AK539" s="524"/>
      <c r="AL539" s="78"/>
      <c r="AM539" s="78"/>
      <c r="AN539" s="139"/>
      <c r="AO539" s="139"/>
      <c r="AP539" s="139"/>
      <c r="AQ539" s="139"/>
      <c r="AR539" s="139"/>
      <c r="AS539" s="139"/>
      <c r="AT539" s="139"/>
      <c r="AU539" s="78"/>
      <c r="AV539" s="98"/>
      <c r="AW539" s="98"/>
      <c r="AX539" s="98"/>
      <c r="AY539" s="98"/>
      <c r="AZ539" s="524"/>
      <c r="BA539" s="524"/>
      <c r="BB539" s="530"/>
      <c r="BC539" s="524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4:87" x14ac:dyDescent="0.3"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10"/>
      <c r="AE540" s="10"/>
      <c r="AF540" s="507"/>
      <c r="AG540" s="526"/>
      <c r="AH540" s="507"/>
      <c r="AI540" s="507"/>
      <c r="AJ540" s="524"/>
      <c r="AK540" s="524"/>
      <c r="AL540" s="78"/>
      <c r="AM540" s="78"/>
      <c r="AN540" s="139"/>
      <c r="AO540" s="139"/>
      <c r="AP540" s="139"/>
      <c r="AQ540" s="139"/>
      <c r="AR540" s="139"/>
      <c r="AS540" s="139"/>
      <c r="AT540" s="139"/>
      <c r="AU540" s="78"/>
      <c r="AV540" s="98"/>
      <c r="AW540" s="98"/>
      <c r="AX540" s="98"/>
      <c r="AY540" s="98"/>
      <c r="AZ540" s="524"/>
      <c r="BA540" s="524"/>
      <c r="BB540" s="530"/>
      <c r="BC540" s="524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4:87" x14ac:dyDescent="0.3"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10"/>
      <c r="AE541" s="10"/>
      <c r="AF541" s="507"/>
      <c r="AG541" s="526"/>
      <c r="AH541" s="507"/>
      <c r="AI541" s="507"/>
      <c r="AJ541" s="524"/>
      <c r="AK541" s="524"/>
      <c r="AL541" s="78"/>
      <c r="AM541" s="78"/>
      <c r="AN541" s="139"/>
      <c r="AO541" s="139"/>
      <c r="AP541" s="139"/>
      <c r="AQ541" s="139"/>
      <c r="AR541" s="139"/>
      <c r="AS541" s="139"/>
      <c r="AT541" s="139"/>
      <c r="AU541" s="78"/>
      <c r="AV541" s="98"/>
      <c r="AW541" s="98"/>
      <c r="AX541" s="98"/>
      <c r="AY541" s="98"/>
      <c r="AZ541" s="524"/>
      <c r="BA541" s="524"/>
      <c r="BB541" s="530"/>
      <c r="BC541" s="524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4:87" x14ac:dyDescent="0.3"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10"/>
      <c r="AE542" s="10"/>
      <c r="AF542" s="507"/>
      <c r="AG542" s="528"/>
      <c r="AH542" s="507"/>
      <c r="AI542" s="507"/>
      <c r="AJ542" s="524"/>
      <c r="AK542" s="524"/>
      <c r="AL542" s="78"/>
      <c r="AM542" s="78"/>
      <c r="AN542" s="139"/>
      <c r="AO542" s="139"/>
      <c r="AP542" s="139"/>
      <c r="AQ542" s="139"/>
      <c r="AR542" s="139"/>
      <c r="AS542" s="139"/>
      <c r="AT542" s="139"/>
      <c r="AU542" s="78"/>
      <c r="AV542" s="98"/>
      <c r="AW542" s="98"/>
      <c r="AX542" s="98"/>
      <c r="AY542" s="98"/>
      <c r="AZ542" s="524"/>
      <c r="BA542" s="524"/>
      <c r="BB542" s="530"/>
      <c r="BC542" s="524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4:87" x14ac:dyDescent="0.3"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10"/>
      <c r="AE543" s="10"/>
      <c r="AF543" s="507"/>
      <c r="AG543" s="507"/>
      <c r="AH543" s="507"/>
      <c r="AI543" s="507"/>
      <c r="AJ543" s="524"/>
      <c r="AK543" s="524"/>
      <c r="AL543" s="78"/>
      <c r="AM543" s="78"/>
      <c r="AN543" s="139"/>
      <c r="AO543" s="139"/>
      <c r="AP543" s="139"/>
      <c r="AQ543" s="139"/>
      <c r="AR543" s="139"/>
      <c r="AS543" s="139"/>
      <c r="AT543" s="139"/>
      <c r="AU543" s="78"/>
      <c r="AV543" s="98"/>
      <c r="AW543" s="98"/>
      <c r="AX543" s="98"/>
      <c r="AY543" s="98"/>
      <c r="AZ543" s="524"/>
      <c r="BA543" s="524"/>
      <c r="BB543" s="530"/>
      <c r="BC543" s="524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4:87" x14ac:dyDescent="0.3"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10"/>
      <c r="AE544" s="10"/>
      <c r="AF544" s="507"/>
      <c r="AG544" s="507"/>
      <c r="AH544" s="507"/>
      <c r="AI544" s="507"/>
      <c r="AJ544" s="524"/>
      <c r="AK544" s="524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  <c r="AV544" s="78"/>
      <c r="AW544" s="78"/>
      <c r="AX544" s="78"/>
      <c r="AY544" s="78"/>
      <c r="AZ544" s="524"/>
      <c r="BA544" s="530"/>
      <c r="BB544" s="530"/>
      <c r="BC544" s="524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2:79" x14ac:dyDescent="0.3">
      <c r="AD545" s="10"/>
      <c r="AE545" s="10"/>
      <c r="AF545" s="507"/>
      <c r="AG545" s="507"/>
      <c r="AH545" s="507"/>
      <c r="AI545" s="507"/>
      <c r="AJ545" s="524"/>
      <c r="AK545" s="524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  <c r="AV545" s="78"/>
      <c r="AW545" s="78"/>
      <c r="AX545" s="78"/>
      <c r="AY545" s="78"/>
      <c r="AZ545" s="524"/>
      <c r="BA545" s="530"/>
      <c r="BB545" s="530"/>
      <c r="BC545" s="524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2:79" ht="15" thickBot="1" x14ac:dyDescent="0.35">
      <c r="B546" s="500"/>
      <c r="C546" s="500"/>
      <c r="D546" s="500"/>
      <c r="E546" s="500"/>
      <c r="F546" s="500"/>
      <c r="G546" s="500"/>
      <c r="H546" s="500"/>
      <c r="I546" s="500"/>
      <c r="J546" s="500"/>
      <c r="K546" s="500"/>
      <c r="L546" s="500"/>
      <c r="M546" s="500"/>
      <c r="N546" s="500"/>
      <c r="O546" s="500"/>
      <c r="P546" s="500"/>
      <c r="Q546" s="500"/>
      <c r="R546" s="500"/>
      <c r="S546" s="500"/>
      <c r="T546" s="500"/>
      <c r="U546" s="500"/>
      <c r="V546" s="500"/>
      <c r="AD546" s="10"/>
      <c r="AE546" s="10"/>
      <c r="AF546" s="507"/>
      <c r="AG546" s="507"/>
      <c r="AH546" s="507"/>
      <c r="AI546" s="507"/>
      <c r="AJ546" s="524"/>
      <c r="AK546" s="524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  <c r="AV546" s="78"/>
      <c r="AW546" s="78"/>
      <c r="AX546" s="78"/>
      <c r="AY546" s="78"/>
      <c r="AZ546" s="524"/>
      <c r="BA546" s="530"/>
      <c r="BB546" s="530"/>
      <c r="BC546" s="524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2:79" x14ac:dyDescent="0.3">
      <c r="B547" s="500"/>
      <c r="C547" s="510"/>
      <c r="D547" s="357"/>
      <c r="E547" s="357"/>
      <c r="F547" s="357"/>
      <c r="G547" s="357"/>
      <c r="H547" s="357"/>
      <c r="I547" s="357"/>
      <c r="J547" s="357"/>
      <c r="K547" s="357"/>
      <c r="L547" s="357"/>
      <c r="M547" s="357"/>
      <c r="N547" s="357"/>
      <c r="O547" s="357"/>
      <c r="P547" s="511"/>
      <c r="V547" s="500"/>
      <c r="AD547" s="10"/>
      <c r="AE547" s="10"/>
      <c r="AF547" s="507"/>
      <c r="AG547" s="507"/>
      <c r="AH547" s="507"/>
      <c r="AI547" s="507"/>
      <c r="AJ547" s="524"/>
      <c r="AK547" s="524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  <c r="AV547" s="78"/>
      <c r="AW547" s="78"/>
      <c r="AX547" s="78"/>
      <c r="AY547" s="78"/>
      <c r="AZ547" s="524"/>
      <c r="BA547" s="530"/>
      <c r="BB547" s="530"/>
      <c r="BC547" s="524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2:79" x14ac:dyDescent="0.3">
      <c r="B548" s="500"/>
      <c r="C548" s="512"/>
      <c r="D548" s="502" t="s">
        <v>149</v>
      </c>
      <c r="E548" s="387"/>
      <c r="F548" s="387"/>
      <c r="G548" s="387"/>
      <c r="H548" s="621" t="s">
        <v>20</v>
      </c>
      <c r="I548" s="621"/>
      <c r="J548" s="621"/>
      <c r="K548" s="387"/>
      <c r="L548" s="387"/>
      <c r="M548" s="387"/>
      <c r="N548" s="387"/>
      <c r="O548" s="387"/>
      <c r="P548" s="513"/>
      <c r="V548" s="500"/>
      <c r="AD548" s="10"/>
      <c r="AE548" s="10"/>
      <c r="AF548" s="507"/>
      <c r="AG548" s="507"/>
      <c r="AH548" s="507"/>
      <c r="AI548" s="507"/>
      <c r="AJ548" s="524"/>
      <c r="AK548" s="524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  <c r="AV548" s="78"/>
      <c r="AW548" s="78"/>
      <c r="AX548" s="78"/>
      <c r="AY548" s="78"/>
      <c r="AZ548" s="524"/>
      <c r="BA548" s="530"/>
      <c r="BB548" s="530"/>
      <c r="BC548" s="524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2:79" x14ac:dyDescent="0.3">
      <c r="B549" s="500"/>
      <c r="C549" s="512"/>
      <c r="D549" s="514" t="s">
        <v>150</v>
      </c>
      <c r="E549" s="387"/>
      <c r="F549" s="387"/>
      <c r="G549" s="387"/>
      <c r="H549" s="515" t="s">
        <v>147</v>
      </c>
      <c r="I549" s="502"/>
      <c r="J549" s="516" t="s">
        <v>148</v>
      </c>
      <c r="K549" s="502"/>
      <c r="L549" s="502"/>
      <c r="M549" s="502"/>
      <c r="N549" s="502"/>
      <c r="O549" s="517" t="s">
        <v>3</v>
      </c>
      <c r="P549" s="513"/>
      <c r="V549" s="500"/>
      <c r="AD549" s="10"/>
      <c r="AE549" s="10"/>
      <c r="AF549" s="507"/>
      <c r="AG549" s="507"/>
      <c r="AH549" s="507"/>
      <c r="AI549" s="507"/>
      <c r="AJ549" s="524"/>
      <c r="AK549" s="524"/>
      <c r="AL549" s="529"/>
      <c r="AM549" s="529"/>
      <c r="AN549" s="529"/>
      <c r="AO549" s="529"/>
      <c r="AP549" s="529"/>
      <c r="AQ549" s="529"/>
      <c r="AR549" s="529"/>
      <c r="AS549" s="529"/>
      <c r="AT549" s="529"/>
      <c r="AU549" s="529"/>
      <c r="AV549" s="524"/>
      <c r="AW549" s="524"/>
      <c r="AX549" s="524"/>
      <c r="AY549" s="524"/>
      <c r="AZ549" s="524"/>
      <c r="BA549" s="530"/>
      <c r="BB549" s="530"/>
      <c r="BC549" s="524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2:79" x14ac:dyDescent="0.3">
      <c r="B550" s="500"/>
      <c r="C550" s="512"/>
      <c r="D550" s="503" t="s">
        <v>146</v>
      </c>
      <c r="E550" s="15"/>
      <c r="F550" s="15"/>
      <c r="G550" s="15"/>
      <c r="H550" s="518">
        <f>SUM(D133:D139)</f>
        <v>471981</v>
      </c>
      <c r="I550" s="15"/>
      <c r="J550" s="16">
        <f>+H550/7</f>
        <v>67425.857142857145</v>
      </c>
      <c r="K550" s="15"/>
      <c r="L550" s="15"/>
      <c r="M550" s="15"/>
      <c r="N550" s="15"/>
      <c r="O550" s="15"/>
      <c r="P550" s="513"/>
      <c r="V550" s="500"/>
      <c r="AD550" s="10"/>
      <c r="AE550" s="10"/>
      <c r="AF550" s="507"/>
      <c r="AG550" s="507"/>
      <c r="AH550" s="507"/>
      <c r="AI550" s="507"/>
      <c r="AJ550" s="524"/>
      <c r="AK550" s="524"/>
      <c r="AL550" s="529"/>
      <c r="AM550" s="529"/>
      <c r="AN550" s="529"/>
      <c r="AO550" s="529"/>
      <c r="AP550" s="529"/>
      <c r="AQ550" s="529"/>
      <c r="AR550" s="529"/>
      <c r="AS550" s="529"/>
      <c r="AT550" s="529"/>
      <c r="AU550" s="529"/>
      <c r="AV550" s="529"/>
      <c r="AW550" s="529"/>
      <c r="AX550" s="529"/>
      <c r="AY550" s="529"/>
      <c r="AZ550" s="524"/>
      <c r="BA550" s="524"/>
      <c r="BB550" s="530"/>
      <c r="BC550" s="524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2:79" x14ac:dyDescent="0.3">
      <c r="B551" s="500"/>
      <c r="C551" s="512"/>
      <c r="D551" s="503" t="s">
        <v>145</v>
      </c>
      <c r="E551" s="15"/>
      <c r="F551" s="15"/>
      <c r="G551" s="15"/>
      <c r="H551" s="16">
        <f>SUM(D140:D146)</f>
        <v>427527</v>
      </c>
      <c r="I551" s="15"/>
      <c r="J551" s="16">
        <f>+H551/7</f>
        <v>61075.285714285717</v>
      </c>
      <c r="K551" s="15"/>
      <c r="L551" s="15"/>
      <c r="M551" s="15"/>
      <c r="N551" s="15"/>
      <c r="O551" s="15"/>
      <c r="P551" s="513"/>
      <c r="V551" s="500"/>
      <c r="AJ551" s="98"/>
      <c r="AK551" s="98"/>
      <c r="AL551" s="98"/>
      <c r="AM551" s="98"/>
      <c r="AN551" s="98"/>
      <c r="AO551" s="98"/>
      <c r="AP551" s="98"/>
      <c r="AQ551" s="98"/>
      <c r="AR551" s="98"/>
      <c r="AS551" s="98"/>
      <c r="AT551" s="78"/>
      <c r="AU551" s="98"/>
      <c r="AV551" s="140"/>
      <c r="AW551" s="140"/>
      <c r="AX551" s="140"/>
      <c r="AY551" s="140"/>
      <c r="AZ551" s="98"/>
      <c r="BA551" s="98"/>
      <c r="BB551" s="98"/>
      <c r="BC551" s="98"/>
    </row>
    <row r="552" spans="2:79" x14ac:dyDescent="0.3">
      <c r="B552" s="506"/>
      <c r="C552" s="512"/>
      <c r="D552" s="503" t="s">
        <v>144</v>
      </c>
      <c r="E552" s="15"/>
      <c r="F552" s="15"/>
      <c r="G552" s="15"/>
      <c r="H552" s="16">
        <f>SUM(D147:D153)</f>
        <v>383516</v>
      </c>
      <c r="I552" s="15"/>
      <c r="J552" s="16">
        <f>+H552/7</f>
        <v>54788</v>
      </c>
      <c r="K552" s="15"/>
      <c r="L552" s="15"/>
      <c r="M552" s="15"/>
      <c r="N552" s="15"/>
      <c r="O552" s="518">
        <f>+H550-H552</f>
        <v>88465</v>
      </c>
      <c r="P552" s="513"/>
      <c r="V552" s="500"/>
      <c r="AA552">
        <f>+O552/7</f>
        <v>12637.857142857143</v>
      </c>
      <c r="AJ552" s="98"/>
      <c r="AK552" s="98"/>
      <c r="AL552" s="98"/>
      <c r="AM552" s="98"/>
      <c r="AN552" s="98"/>
      <c r="AO552" s="98"/>
      <c r="AP552" s="98"/>
      <c r="AQ552" s="98"/>
      <c r="AR552" s="98"/>
      <c r="AS552" s="98"/>
      <c r="AT552" s="98"/>
      <c r="AU552" s="98"/>
      <c r="AV552" s="78"/>
      <c r="AW552" s="78"/>
      <c r="AX552" s="78"/>
      <c r="AY552" s="78"/>
      <c r="AZ552" s="98"/>
      <c r="BA552" s="141"/>
      <c r="BB552" s="98"/>
      <c r="BC552" s="98"/>
    </row>
    <row r="553" spans="2:79" x14ac:dyDescent="0.3">
      <c r="B553" s="507"/>
      <c r="C553" s="512"/>
      <c r="D553" s="519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60">
        <f>+O552/H550</f>
        <v>0.18743339244588236</v>
      </c>
      <c r="P553" s="513"/>
      <c r="V553" s="500"/>
      <c r="X553" s="61"/>
      <c r="Y553" s="61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98"/>
      <c r="AP553" s="78">
        <v>480454</v>
      </c>
      <c r="AQ553" s="98"/>
      <c r="AR553" s="98"/>
      <c r="AS553" s="98"/>
      <c r="AT553" s="98"/>
      <c r="AU553" s="98"/>
      <c r="AV553" s="98"/>
      <c r="AW553" s="98"/>
      <c r="AX553" s="98"/>
      <c r="AY553" s="98"/>
      <c r="AZ553" s="98"/>
      <c r="BA553" s="98"/>
      <c r="BB553" s="98"/>
      <c r="BC553" s="98"/>
    </row>
    <row r="554" spans="2:79" ht="15" thickBot="1" x14ac:dyDescent="0.35">
      <c r="B554" s="507"/>
      <c r="C554" s="520"/>
      <c r="D554" s="521"/>
      <c r="E554" s="521"/>
      <c r="F554" s="521"/>
      <c r="G554" s="521"/>
      <c r="H554" s="521"/>
      <c r="I554" s="521"/>
      <c r="J554" s="522"/>
      <c r="K554" s="521"/>
      <c r="L554" s="521"/>
      <c r="M554" s="521"/>
      <c r="N554" s="521"/>
      <c r="O554" s="521"/>
      <c r="P554" s="523"/>
      <c r="V554" s="500"/>
      <c r="X554" s="61"/>
      <c r="Y554" s="61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98"/>
      <c r="AP554" s="140">
        <f>+N201</f>
        <v>290088</v>
      </c>
      <c r="AQ554" s="98"/>
      <c r="AR554" s="98"/>
      <c r="AS554" s="98"/>
      <c r="AT554" s="98"/>
      <c r="AU554" s="98"/>
      <c r="AV554" s="98"/>
      <c r="AW554" s="98"/>
      <c r="AX554" s="98"/>
      <c r="AY554" s="98"/>
      <c r="AZ554" s="98"/>
      <c r="BA554" s="98"/>
      <c r="BB554" s="98"/>
      <c r="BC554" s="98"/>
    </row>
    <row r="555" spans="2:79" x14ac:dyDescent="0.3">
      <c r="B555" s="507"/>
      <c r="C555" s="500"/>
      <c r="D555" s="508"/>
      <c r="E555" s="500"/>
      <c r="F555" s="500"/>
      <c r="G555" s="500"/>
      <c r="H555" s="509"/>
      <c r="I555" s="500"/>
      <c r="J555" s="500"/>
      <c r="K555" s="500"/>
      <c r="L555" s="500"/>
      <c r="M555" s="500"/>
      <c r="N555" s="500"/>
      <c r="O555" s="500"/>
      <c r="P555" s="500"/>
      <c r="Q555" s="500"/>
      <c r="R555" s="500"/>
      <c r="S555" s="500"/>
      <c r="T555" s="500"/>
      <c r="U555" s="500"/>
      <c r="V555" s="500"/>
      <c r="X555" s="61"/>
      <c r="Y555" s="61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98"/>
      <c r="AP555" s="140">
        <f>+AP553-AP554</f>
        <v>190366</v>
      </c>
      <c r="AQ555" s="98"/>
      <c r="AR555" s="98"/>
    </row>
    <row r="556" spans="2:79" x14ac:dyDescent="0.3">
      <c r="B556" s="1"/>
      <c r="D556" s="55"/>
      <c r="X556" s="61"/>
      <c r="Y556" s="61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98"/>
      <c r="AP556" s="84">
        <f>+AP555/AP553</f>
        <v>0.3962210742339537</v>
      </c>
      <c r="AQ556" s="98"/>
      <c r="AR556" s="98"/>
    </row>
    <row r="557" spans="2:79" x14ac:dyDescent="0.3">
      <c r="B557" s="55"/>
      <c r="D557" s="55"/>
      <c r="J557" s="56">
        <f>+J550-J552</f>
        <v>12637.857142857145</v>
      </c>
      <c r="X557" s="61"/>
      <c r="Y557" s="61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98"/>
      <c r="AP557" s="98"/>
      <c r="AQ557" s="98"/>
      <c r="AR557" s="98"/>
    </row>
    <row r="558" spans="2:79" x14ac:dyDescent="0.3">
      <c r="B558" s="57"/>
      <c r="D558" s="55"/>
      <c r="X558" s="61"/>
      <c r="Y558" s="61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98"/>
      <c r="AP558" s="98"/>
      <c r="AQ558" s="98"/>
      <c r="AR558" s="98"/>
    </row>
    <row r="559" spans="2:79" x14ac:dyDescent="0.3">
      <c r="B559" s="1"/>
      <c r="D559" s="55"/>
      <c r="X559" s="61"/>
      <c r="Y559" s="61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98"/>
      <c r="AP559" s="98"/>
      <c r="AQ559" s="98"/>
      <c r="AR559" s="98"/>
    </row>
    <row r="560" spans="2:79" x14ac:dyDescent="0.3">
      <c r="B560" s="1"/>
      <c r="D560" s="55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106"/>
      <c r="AL560" s="106"/>
      <c r="AM560" s="106"/>
      <c r="AN560" s="106"/>
      <c r="AO560" s="106"/>
      <c r="AP560" s="106"/>
      <c r="AQ560" s="106"/>
      <c r="AR560" s="106"/>
    </row>
    <row r="561" spans="2:61" x14ac:dyDescent="0.3">
      <c r="B561" s="1"/>
      <c r="D561" s="55"/>
      <c r="AT561" s="500"/>
      <c r="AU561" s="500"/>
      <c r="AV561" s="500"/>
      <c r="AW561" s="500"/>
      <c r="AX561" s="500"/>
      <c r="AY561" s="500"/>
      <c r="AZ561" s="500"/>
      <c r="BA561" s="500"/>
      <c r="BB561" s="500"/>
      <c r="BC561" s="500"/>
      <c r="BD561" s="500"/>
      <c r="BE561" s="500"/>
      <c r="BF561" s="500"/>
      <c r="BG561" s="500"/>
      <c r="BH561" s="500"/>
      <c r="BI561" s="500"/>
    </row>
    <row r="562" spans="2:61" ht="15.6" x14ac:dyDescent="0.3">
      <c r="B562" s="1"/>
      <c r="D562" s="55"/>
      <c r="AT562" s="500"/>
      <c r="AU562" s="533"/>
      <c r="AV562" s="534"/>
      <c r="AW562" s="534"/>
      <c r="AX562" s="534"/>
      <c r="AY562" s="534"/>
      <c r="AZ562" s="534"/>
      <c r="BA562" s="534"/>
      <c r="BB562" s="534"/>
      <c r="BC562" s="534"/>
      <c r="BD562" s="534"/>
      <c r="BE562" s="534" t="s">
        <v>156</v>
      </c>
      <c r="BF562" s="534"/>
      <c r="BG562" s="534" t="s">
        <v>2</v>
      </c>
      <c r="BH562" s="533"/>
      <c r="BI562" s="500"/>
    </row>
    <row r="563" spans="2:61" ht="16.2" thickBot="1" x14ac:dyDescent="0.35">
      <c r="B563" s="57" t="e">
        <f>+B562/B561</f>
        <v>#DIV/0!</v>
      </c>
      <c r="D563" s="55"/>
      <c r="AT563" s="500"/>
      <c r="AU563" s="533"/>
      <c r="AV563" s="627" t="s">
        <v>155</v>
      </c>
      <c r="AW563" s="627"/>
      <c r="AX563" s="627"/>
      <c r="AY563" s="534"/>
      <c r="AZ563" s="534"/>
      <c r="BA563" s="535" t="s">
        <v>20</v>
      </c>
      <c r="BB563" s="534"/>
      <c r="BC563" s="535" t="s">
        <v>3</v>
      </c>
      <c r="BD563" s="534"/>
      <c r="BE563" s="535" t="s">
        <v>65</v>
      </c>
      <c r="BF563" s="534"/>
      <c r="BG563" s="535" t="s">
        <v>65</v>
      </c>
      <c r="BH563" s="533"/>
      <c r="BI563" s="500"/>
    </row>
    <row r="564" spans="2:61" ht="21" x14ac:dyDescent="0.4">
      <c r="B564" s="1"/>
      <c r="D564" s="55"/>
      <c r="AT564" s="500"/>
      <c r="AU564" s="533"/>
      <c r="AV564" s="536" t="s">
        <v>143</v>
      </c>
      <c r="AW564" s="533"/>
      <c r="AX564" s="537"/>
      <c r="AY564" s="533"/>
      <c r="AZ564" s="533"/>
      <c r="BA564" s="538">
        <f>+N143</f>
        <v>1970617</v>
      </c>
      <c r="BB564" s="537"/>
      <c r="BC564" s="537"/>
      <c r="BD564" s="537"/>
      <c r="BE564" s="537"/>
      <c r="BF564" s="537"/>
      <c r="BG564" s="537"/>
      <c r="BH564" s="533"/>
      <c r="BI564" s="500"/>
    </row>
    <row r="565" spans="2:61" ht="21" x14ac:dyDescent="0.4">
      <c r="B565" s="1"/>
      <c r="D565" s="55"/>
      <c r="AT565" s="500"/>
      <c r="AU565" s="533"/>
      <c r="AV565" s="536" t="s">
        <v>151</v>
      </c>
      <c r="AW565" s="533"/>
      <c r="AX565" s="537"/>
      <c r="AY565" s="533"/>
      <c r="AZ565" s="533"/>
      <c r="BA565" s="538">
        <f>+N174</f>
        <v>1493931</v>
      </c>
      <c r="BB565" s="537"/>
      <c r="BC565" s="538">
        <f>+BA565-BA564</f>
        <v>-476686</v>
      </c>
      <c r="BD565" s="537"/>
      <c r="BE565" s="539">
        <f>+BC565/BA564</f>
        <v>-0.24189682723735764</v>
      </c>
      <c r="BF565" s="537"/>
      <c r="BG565" s="537"/>
      <c r="BH565" s="533"/>
      <c r="BI565" s="500"/>
    </row>
    <row r="566" spans="2:61" ht="21" x14ac:dyDescent="0.4">
      <c r="B566" s="1">
        <f>+B562*50</f>
        <v>0</v>
      </c>
      <c r="D566" s="55"/>
      <c r="AT566" s="500"/>
      <c r="AU566" s="533"/>
      <c r="AV566" s="536" t="s">
        <v>152</v>
      </c>
      <c r="AW566" s="533"/>
      <c r="AX566" s="537"/>
      <c r="AY566" s="533"/>
      <c r="AZ566" s="533"/>
      <c r="BA566" s="538">
        <f>+N204</f>
        <v>1202331</v>
      </c>
      <c r="BB566" s="537"/>
      <c r="BC566" s="538">
        <f>+BA566-BA565</f>
        <v>-291600</v>
      </c>
      <c r="BD566" s="537"/>
      <c r="BE566" s="539">
        <f>+BC566/BA565</f>
        <v>-0.19518973767864781</v>
      </c>
      <c r="BF566" s="537"/>
      <c r="BG566" s="537"/>
      <c r="BH566" s="533"/>
      <c r="BI566" s="500"/>
    </row>
    <row r="567" spans="2:61" ht="21" x14ac:dyDescent="0.4">
      <c r="B567" s="1"/>
      <c r="D567" s="55"/>
      <c r="AT567" s="500"/>
      <c r="AU567" s="533"/>
      <c r="AV567" s="536" t="s">
        <v>153</v>
      </c>
      <c r="AW567" s="533"/>
      <c r="AX567" s="537"/>
      <c r="AY567" s="533"/>
      <c r="AZ567" s="540" t="s">
        <v>26</v>
      </c>
      <c r="BA567" s="538">
        <f>+N218</f>
        <v>371489</v>
      </c>
      <c r="BB567" s="537"/>
      <c r="BC567" s="538">
        <f>+BA567-BA566</f>
        <v>-830842</v>
      </c>
      <c r="BD567" s="537"/>
      <c r="BE567" s="539">
        <f>+BC567/BA566</f>
        <v>-0.69102601529861574</v>
      </c>
      <c r="BF567" s="537"/>
      <c r="BG567" s="539">
        <f>+(BA567-BA564)/BA564</f>
        <v>-0.81148594577231392</v>
      </c>
      <c r="BH567" s="533"/>
      <c r="BI567" s="500"/>
    </row>
    <row r="568" spans="2:61" x14ac:dyDescent="0.3">
      <c r="B568" s="1"/>
      <c r="D568" s="55"/>
      <c r="AT568" s="500"/>
      <c r="AU568" s="533"/>
      <c r="AV568" s="533"/>
      <c r="AW568" s="533"/>
      <c r="AX568" s="533"/>
      <c r="AY568" s="533"/>
      <c r="AZ568" s="533"/>
      <c r="BA568" s="533"/>
      <c r="BB568" s="533"/>
      <c r="BC568" s="533"/>
      <c r="BD568" s="533"/>
      <c r="BE568" s="533"/>
      <c r="BF568" s="533"/>
      <c r="BG568" s="533"/>
      <c r="BH568" s="533"/>
      <c r="BI568" s="500"/>
    </row>
    <row r="569" spans="2:61" ht="16.2" x14ac:dyDescent="0.3">
      <c r="B569" s="1"/>
      <c r="D569" s="55"/>
      <c r="AT569" s="500"/>
      <c r="AU569" s="533"/>
      <c r="AV569" s="533"/>
      <c r="AW569" s="533"/>
      <c r="AX569" s="541" t="s">
        <v>26</v>
      </c>
      <c r="AY569" s="533"/>
      <c r="AZ569" s="542" t="s">
        <v>154</v>
      </c>
      <c r="BA569" s="533"/>
      <c r="BB569" s="533"/>
      <c r="BC569" s="533"/>
      <c r="BD569" s="533"/>
      <c r="BE569" s="533"/>
      <c r="BF569" s="533"/>
      <c r="BG569" s="533"/>
      <c r="BH569" s="533"/>
      <c r="BI569" s="500"/>
    </row>
    <row r="570" spans="2:61" x14ac:dyDescent="0.3">
      <c r="B570" s="1"/>
      <c r="D570" s="55"/>
      <c r="AT570" s="500"/>
      <c r="AU570" s="533"/>
      <c r="AV570" s="533"/>
      <c r="AW570" s="533"/>
      <c r="AX570" s="533"/>
      <c r="AY570" s="533"/>
      <c r="AZ570" s="533"/>
      <c r="BA570" s="533"/>
      <c r="BB570" s="533"/>
      <c r="BC570" s="533"/>
      <c r="BD570" s="533"/>
      <c r="BE570" s="533"/>
      <c r="BF570" s="533"/>
      <c r="BG570" s="533"/>
      <c r="BH570" s="533"/>
      <c r="BI570" s="500"/>
    </row>
    <row r="571" spans="2:61" x14ac:dyDescent="0.3">
      <c r="B571" s="1"/>
      <c r="D571" s="55"/>
      <c r="AT571" s="532"/>
      <c r="AU571" s="532"/>
      <c r="AV571" s="532"/>
      <c r="AW571" s="532"/>
      <c r="AX571" s="532"/>
      <c r="AY571" s="532"/>
      <c r="AZ571" s="532"/>
      <c r="BA571" s="532"/>
      <c r="BB571" s="532"/>
      <c r="BC571" s="532"/>
      <c r="BD571" s="532"/>
      <c r="BE571" s="532"/>
      <c r="BF571" s="532"/>
      <c r="BG571" s="532"/>
      <c r="BH571" s="532"/>
      <c r="BI571" s="532"/>
    </row>
    <row r="572" spans="2:61" x14ac:dyDescent="0.3">
      <c r="B572" s="1"/>
      <c r="D572" s="55"/>
    </row>
    <row r="573" spans="2:61" x14ac:dyDescent="0.3">
      <c r="B573" s="1"/>
      <c r="D573" s="55"/>
      <c r="AS573" s="61"/>
      <c r="AT573" s="500"/>
      <c r="AU573" s="500"/>
      <c r="AV573" s="500"/>
      <c r="AW573" s="500"/>
      <c r="AX573" s="500"/>
      <c r="AY573" s="500"/>
      <c r="AZ573" s="500"/>
      <c r="BA573" s="500"/>
      <c r="BB573" s="500"/>
      <c r="BC573" s="500"/>
      <c r="BD573" s="500"/>
      <c r="BE573" s="500"/>
      <c r="BF573" s="500"/>
      <c r="BG573" s="500"/>
      <c r="BH573" s="500"/>
      <c r="BI573" s="500"/>
    </row>
    <row r="574" spans="2:61" x14ac:dyDescent="0.3">
      <c r="B574" s="1"/>
      <c r="D574" s="55"/>
      <c r="AT574" s="500"/>
      <c r="AU574" s="550"/>
      <c r="AV574" s="550"/>
      <c r="AW574" s="550"/>
      <c r="AX574" s="550"/>
      <c r="AY574" s="550"/>
      <c r="AZ574" s="550"/>
      <c r="BA574" s="550"/>
      <c r="BB574" s="550"/>
      <c r="BC574" s="550"/>
      <c r="BD574" s="550"/>
      <c r="BE574" s="550"/>
      <c r="BF574" s="550"/>
      <c r="BG574" s="550"/>
      <c r="BH574" s="550"/>
      <c r="BI574" s="500"/>
    </row>
    <row r="575" spans="2:61" ht="15" thickBot="1" x14ac:dyDescent="0.35">
      <c r="B575" s="1"/>
      <c r="D575" s="55"/>
      <c r="AT575" s="500"/>
      <c r="AU575" s="550"/>
      <c r="AV575" s="623" t="s">
        <v>160</v>
      </c>
      <c r="AW575" s="623"/>
      <c r="AX575" s="623"/>
      <c r="AY575" s="551"/>
      <c r="AZ575" s="551"/>
      <c r="BA575" s="552" t="s">
        <v>23</v>
      </c>
      <c r="BB575" s="553"/>
      <c r="BC575" s="552" t="s">
        <v>3</v>
      </c>
      <c r="BD575" s="553"/>
      <c r="BE575" s="552" t="s">
        <v>20</v>
      </c>
      <c r="BF575" s="553"/>
      <c r="BG575" s="552" t="s">
        <v>21</v>
      </c>
      <c r="BH575" s="550"/>
      <c r="BI575" s="500"/>
    </row>
    <row r="576" spans="2:61" x14ac:dyDescent="0.3">
      <c r="B576" s="1"/>
      <c r="AT576" s="500"/>
      <c r="AU576" s="550"/>
      <c r="AV576" s="551" t="s">
        <v>143</v>
      </c>
      <c r="AW576" s="551"/>
      <c r="AX576" s="551"/>
      <c r="AY576" s="551"/>
      <c r="AZ576" s="551"/>
      <c r="BA576" s="554">
        <f>+BK275</f>
        <v>13351981</v>
      </c>
      <c r="BB576" s="551"/>
      <c r="BC576" s="551"/>
      <c r="BD576" s="551"/>
      <c r="BE576" s="555">
        <f>+N143</f>
        <v>1970617</v>
      </c>
      <c r="BF576" s="551"/>
      <c r="BG576" s="556">
        <f>+BE576/BA576</f>
        <v>0.14758985951223269</v>
      </c>
      <c r="BH576" s="550"/>
      <c r="BI576" s="500"/>
    </row>
    <row r="577" spans="2:68" x14ac:dyDescent="0.3">
      <c r="B577" s="1"/>
      <c r="AT577" s="500"/>
      <c r="AU577" s="550"/>
      <c r="AV577" s="551"/>
      <c r="AW577" s="551"/>
      <c r="AX577" s="551"/>
      <c r="AY577" s="551"/>
      <c r="AZ577" s="551"/>
      <c r="BA577" s="554"/>
      <c r="BB577" s="551"/>
      <c r="BC577" s="551"/>
      <c r="BD577" s="551"/>
      <c r="BE577" s="551"/>
      <c r="BF577" s="551"/>
      <c r="BG577" s="556"/>
      <c r="BH577" s="550"/>
      <c r="BI577" s="500"/>
    </row>
    <row r="578" spans="2:68" x14ac:dyDescent="0.3">
      <c r="B578" s="1"/>
      <c r="AT578" s="500"/>
      <c r="AU578" s="550"/>
      <c r="AV578" s="551" t="s">
        <v>159</v>
      </c>
      <c r="AW578" s="551"/>
      <c r="AX578" s="551"/>
      <c r="AY578" s="551"/>
      <c r="AZ578" s="551"/>
      <c r="BA578" s="554">
        <v>52440389</v>
      </c>
      <c r="BB578" s="551"/>
      <c r="BC578" s="556">
        <f>+(BA578-BA576)/BA576</f>
        <v>2.9275362210296736</v>
      </c>
      <c r="BD578" s="551"/>
      <c r="BE578" s="555">
        <f>+N273</f>
        <v>1462688</v>
      </c>
      <c r="BF578" s="551"/>
      <c r="BG578" s="556">
        <f>+BE578/BA578</f>
        <v>2.7892394162064665E-2</v>
      </c>
      <c r="BH578" s="550"/>
      <c r="BI578" s="500"/>
    </row>
    <row r="579" spans="2:68" x14ac:dyDescent="0.3">
      <c r="B579" s="1"/>
      <c r="AT579" s="500"/>
      <c r="AU579" s="550"/>
      <c r="AV579" s="551"/>
      <c r="AW579" s="551"/>
      <c r="AX579" s="551"/>
      <c r="AY579" s="551"/>
      <c r="AZ579" s="551"/>
      <c r="BA579" s="554"/>
      <c r="BB579" s="551"/>
      <c r="BC579" s="551"/>
      <c r="BD579" s="551"/>
      <c r="BE579" s="551"/>
      <c r="BF579" s="551"/>
      <c r="BG579" s="551"/>
      <c r="BH579" s="550"/>
      <c r="BI579" s="500"/>
    </row>
    <row r="580" spans="2:68" x14ac:dyDescent="0.3">
      <c r="B580" s="1"/>
      <c r="AT580" s="500"/>
      <c r="AU580" s="550"/>
      <c r="AV580" s="624" t="s">
        <v>105</v>
      </c>
      <c r="AW580" s="624"/>
      <c r="AX580" s="624"/>
      <c r="AY580" s="624"/>
      <c r="AZ580" s="551"/>
      <c r="BA580" s="555">
        <f>+BA578-BA576</f>
        <v>39088408</v>
      </c>
      <c r="BB580" s="551"/>
      <c r="BC580" s="551"/>
      <c r="BD580" s="551"/>
      <c r="BE580" s="555">
        <f>+BE578-BE576</f>
        <v>-507929</v>
      </c>
      <c r="BF580" s="551"/>
      <c r="BG580" s="558"/>
      <c r="BH580" s="550"/>
      <c r="BI580" s="500"/>
    </row>
    <row r="581" spans="2:68" x14ac:dyDescent="0.3">
      <c r="B581" s="1"/>
      <c r="AT581" s="500"/>
      <c r="AU581" s="550"/>
      <c r="AV581" s="550"/>
      <c r="AW581" s="550"/>
      <c r="AX581" s="550"/>
      <c r="AY581" s="550"/>
      <c r="AZ581" s="550"/>
      <c r="BA581" s="550"/>
      <c r="BB581" s="550"/>
      <c r="BC581" s="550"/>
      <c r="BD581" s="550"/>
      <c r="BE581" s="550"/>
      <c r="BF581" s="550"/>
      <c r="BG581" s="550"/>
      <c r="BH581" s="550"/>
      <c r="BI581" s="500"/>
    </row>
    <row r="582" spans="2:68" x14ac:dyDescent="0.3">
      <c r="B582" s="1"/>
      <c r="AT582" s="500"/>
      <c r="AU582" s="500"/>
      <c r="AV582" s="500"/>
      <c r="AW582" s="500"/>
      <c r="AX582" s="500"/>
      <c r="AY582" s="500"/>
      <c r="AZ582" s="500"/>
      <c r="BA582" s="500"/>
      <c r="BB582" s="500"/>
      <c r="BC582" s="500"/>
      <c r="BD582" s="500"/>
      <c r="BE582" s="557"/>
      <c r="BF582" s="500"/>
      <c r="BG582" s="507"/>
      <c r="BH582" s="500"/>
      <c r="BI582" s="500"/>
    </row>
    <row r="583" spans="2:68" x14ac:dyDescent="0.3">
      <c r="B583" s="1"/>
    </row>
    <row r="584" spans="2:68" x14ac:dyDescent="0.3">
      <c r="B584" s="1"/>
    </row>
    <row r="585" spans="2:68" x14ac:dyDescent="0.3">
      <c r="B585" s="1"/>
      <c r="H585" s="1">
        <v>4000000</v>
      </c>
      <c r="AR585" s="500"/>
      <c r="AS585" s="500"/>
      <c r="AT585" s="500"/>
      <c r="AU585" s="500"/>
      <c r="AV585" s="500"/>
      <c r="AW585" s="500"/>
      <c r="AX585" s="500"/>
      <c r="AY585" s="500"/>
      <c r="AZ585" s="500"/>
      <c r="BA585" s="500"/>
      <c r="BB585" s="500"/>
      <c r="BC585" s="500"/>
      <c r="BD585" s="500"/>
      <c r="BE585" s="500"/>
      <c r="BF585" s="500"/>
      <c r="BG585" s="500"/>
      <c r="BH585" s="500"/>
      <c r="BI585" s="500"/>
    </row>
    <row r="586" spans="2:68" ht="15.6" x14ac:dyDescent="0.3">
      <c r="B586" s="1"/>
      <c r="H586" s="1"/>
      <c r="AR586" s="500"/>
      <c r="AS586" s="630" t="s">
        <v>171</v>
      </c>
      <c r="AT586" s="630"/>
      <c r="AU586" s="630"/>
      <c r="AV586" s="630"/>
      <c r="AW586" s="630"/>
      <c r="AX586" s="630"/>
      <c r="AY586" s="630"/>
      <c r="AZ586" s="630"/>
      <c r="BA586" s="630"/>
      <c r="BB586" s="630"/>
      <c r="BC586" s="630"/>
      <c r="BD586" s="630"/>
      <c r="BE586" s="630"/>
      <c r="BF586" s="630"/>
      <c r="BG586" s="630"/>
      <c r="BH586" s="630"/>
      <c r="BI586" s="500"/>
    </row>
    <row r="587" spans="2:68" x14ac:dyDescent="0.3">
      <c r="H587" s="1">
        <f>+H585/7</f>
        <v>571428.57142857148</v>
      </c>
      <c r="AR587" s="500"/>
      <c r="AS587" s="533"/>
      <c r="AT587" s="561"/>
      <c r="AU587" s="561"/>
      <c r="AV587" s="561"/>
      <c r="AW587" s="561"/>
      <c r="AX587" s="561"/>
      <c r="AY587" s="561"/>
      <c r="AZ587" s="561"/>
      <c r="BA587" s="561"/>
      <c r="BB587" s="561"/>
      <c r="BC587" s="561"/>
      <c r="BD587" s="561"/>
      <c r="BE587" s="625" t="s">
        <v>167</v>
      </c>
      <c r="BF587" s="561"/>
      <c r="BG587" s="589" t="s">
        <v>168</v>
      </c>
      <c r="BH587" s="533"/>
      <c r="BI587" s="500"/>
    </row>
    <row r="588" spans="2:68" x14ac:dyDescent="0.3">
      <c r="AR588" s="500"/>
      <c r="AS588" s="533"/>
      <c r="AT588" s="580" t="s">
        <v>19</v>
      </c>
      <c r="AU588" s="580"/>
      <c r="AV588" s="580"/>
      <c r="AW588" s="580"/>
      <c r="AX588" s="580"/>
      <c r="AY588" s="580"/>
      <c r="AZ588" s="561"/>
      <c r="BA588" s="560" t="s">
        <v>20</v>
      </c>
      <c r="BB588" s="561"/>
      <c r="BC588" s="560" t="s">
        <v>166</v>
      </c>
      <c r="BD588" s="561"/>
      <c r="BE588" s="626"/>
      <c r="BF588" s="561"/>
      <c r="BG588" s="587"/>
      <c r="BH588" s="533"/>
      <c r="BI588" s="500"/>
    </row>
    <row r="589" spans="2:68" x14ac:dyDescent="0.3">
      <c r="H589" t="s">
        <v>169</v>
      </c>
      <c r="J589">
        <v>28</v>
      </c>
      <c r="N589" s="1">
        <f>+H587*J589</f>
        <v>16000000.000000002</v>
      </c>
      <c r="AR589" s="500"/>
      <c r="AS589" s="533"/>
      <c r="AT589" s="578" t="s">
        <v>162</v>
      </c>
      <c r="AU589" s="578"/>
      <c r="AV589" s="578"/>
      <c r="AW589" s="578"/>
      <c r="AX589" s="578"/>
      <c r="AY589" s="561"/>
      <c r="AZ589" s="561"/>
      <c r="BA589" s="562">
        <f>+H174</f>
        <v>6826001</v>
      </c>
      <c r="BB589" s="561"/>
      <c r="BC589" s="561">
        <v>10</v>
      </c>
      <c r="BD589" s="561"/>
      <c r="BE589" s="563">
        <f>+BA589*BC589</f>
        <v>68260010</v>
      </c>
      <c r="BF589" s="561"/>
      <c r="BG589" s="561"/>
      <c r="BH589" s="533"/>
      <c r="BI589" s="500"/>
      <c r="BP589" s="56">
        <f>+BE589-BA589</f>
        <v>61434009</v>
      </c>
    </row>
    <row r="590" spans="2:68" x14ac:dyDescent="0.3">
      <c r="D590" s="56">
        <f>+N589+N590</f>
        <v>33714285.714285716</v>
      </c>
      <c r="H590" t="s">
        <v>170</v>
      </c>
      <c r="J590">
        <v>31</v>
      </c>
      <c r="N590" s="1">
        <f>+J590*H$587</f>
        <v>17714285.714285716</v>
      </c>
      <c r="AR590" s="500"/>
      <c r="AS590" s="533"/>
      <c r="AT590" s="578" t="s">
        <v>172</v>
      </c>
      <c r="AU590" s="578"/>
      <c r="AV590" s="578"/>
      <c r="AW590" s="578"/>
      <c r="AX590" s="578"/>
      <c r="AY590" s="561"/>
      <c r="AZ590" s="561"/>
      <c r="BA590" s="562">
        <f>+BA602-BA589</f>
        <v>3109228</v>
      </c>
      <c r="BB590" s="561"/>
      <c r="BC590" s="561">
        <v>5</v>
      </c>
      <c r="BD590" s="561"/>
      <c r="BE590" s="563">
        <f>+BA590*BC590</f>
        <v>15546140</v>
      </c>
      <c r="BF590" s="561"/>
      <c r="BG590" s="561"/>
      <c r="BH590" s="533"/>
      <c r="BI590" s="500"/>
      <c r="BP590" s="56">
        <f>+BE590-BA590</f>
        <v>12436912</v>
      </c>
    </row>
    <row r="591" spans="2:68" x14ac:dyDescent="0.3">
      <c r="D591" s="56">
        <f>+D590+N591</f>
        <v>50857142.857142866</v>
      </c>
      <c r="H591" t="s">
        <v>138</v>
      </c>
      <c r="J591">
        <v>30</v>
      </c>
      <c r="N591" s="1">
        <f>+J591*H$587</f>
        <v>17142857.142857146</v>
      </c>
      <c r="AR591" s="500"/>
      <c r="AS591" s="533"/>
      <c r="AT591" s="578" t="s">
        <v>163</v>
      </c>
      <c r="AU591" s="578"/>
      <c r="AV591" s="578"/>
      <c r="AW591" s="578"/>
      <c r="AX591" s="578"/>
      <c r="AY591" s="578"/>
      <c r="AZ591" s="578"/>
      <c r="BA591" s="562">
        <f>+BA604-BA602</f>
        <v>16784558</v>
      </c>
      <c r="BB591" s="561"/>
      <c r="BC591" s="561">
        <v>1</v>
      </c>
      <c r="BD591" s="561"/>
      <c r="BE591" s="563">
        <f>+BC591*BA591</f>
        <v>16784558</v>
      </c>
      <c r="BF591" s="561"/>
      <c r="BG591" s="561"/>
      <c r="BH591" s="533"/>
      <c r="BI591" s="500"/>
      <c r="BP591" s="56">
        <f>+BE591-BA591</f>
        <v>0</v>
      </c>
    </row>
    <row r="592" spans="2:68" x14ac:dyDescent="0.3">
      <c r="D592" s="56">
        <f>+D591+N592</f>
        <v>68571428.571428582</v>
      </c>
      <c r="H592" t="s">
        <v>139</v>
      </c>
      <c r="J592">
        <v>31</v>
      </c>
      <c r="N592" s="1">
        <f>+J592*H$587</f>
        <v>17714285.714285716</v>
      </c>
      <c r="AR592" s="500"/>
      <c r="AS592" s="533"/>
      <c r="AT592" s="569" t="s">
        <v>184</v>
      </c>
      <c r="AU592" s="561"/>
      <c r="AV592" s="561"/>
      <c r="AW592" s="561"/>
      <c r="AX592" s="561"/>
      <c r="AY592" s="561"/>
      <c r="AZ592" s="561"/>
      <c r="BA592" s="562">
        <f>SUM(D328:D386)</f>
        <v>4197929</v>
      </c>
      <c r="BB592" s="561"/>
      <c r="BC592" s="561">
        <v>1</v>
      </c>
      <c r="BD592" s="561"/>
      <c r="BE592" s="563">
        <f>+BC592*BA592</f>
        <v>4197929</v>
      </c>
      <c r="BF592" s="561"/>
      <c r="BG592" s="561"/>
      <c r="BH592" s="533"/>
      <c r="BI592" s="500"/>
      <c r="BP592" s="56">
        <f>+BE592-BA592</f>
        <v>0</v>
      </c>
    </row>
    <row r="593" spans="4:75" x14ac:dyDescent="0.3">
      <c r="D593" s="56"/>
      <c r="N593" s="1"/>
      <c r="AR593" s="500"/>
      <c r="AS593" s="533"/>
      <c r="AT593" s="569" t="s">
        <v>189</v>
      </c>
      <c r="AU593" s="561"/>
      <c r="AV593" s="561"/>
      <c r="AW593" s="561"/>
      <c r="AX593" s="561"/>
      <c r="AY593" s="561"/>
      <c r="AZ593" s="561"/>
      <c r="BA593" s="562">
        <f>SUM(D387:D495)</f>
        <v>3470936</v>
      </c>
      <c r="BB593" s="561"/>
      <c r="BC593" s="561">
        <v>1</v>
      </c>
      <c r="BD593" s="561"/>
      <c r="BE593" s="563">
        <f>+BC593*BA593</f>
        <v>3470936</v>
      </c>
      <c r="BF593" s="561"/>
      <c r="BG593" s="561"/>
      <c r="BH593" s="533"/>
      <c r="BI593" s="500"/>
      <c r="BP593" s="56"/>
    </row>
    <row r="594" spans="4:75" x14ac:dyDescent="0.3">
      <c r="AR594" s="500"/>
      <c r="AS594" s="533"/>
      <c r="AT594" s="585" t="s">
        <v>165</v>
      </c>
      <c r="AU594" s="585"/>
      <c r="AV594" s="585"/>
      <c r="AW594" s="585"/>
      <c r="AX594" s="585"/>
      <c r="AY594" s="585"/>
      <c r="AZ594" s="585"/>
      <c r="BA594" s="561"/>
      <c r="BB594" s="561"/>
      <c r="BC594" s="561"/>
      <c r="BD594" s="561"/>
      <c r="BE594" s="563"/>
      <c r="BF594" s="561"/>
      <c r="BG594" s="561"/>
      <c r="BH594" s="533"/>
      <c r="BI594" s="500"/>
      <c r="BP594" s="56">
        <f>+BA592-BA593</f>
        <v>726993</v>
      </c>
    </row>
    <row r="595" spans="4:75" ht="15" thickBot="1" x14ac:dyDescent="0.35">
      <c r="D595" s="56">
        <f>+BE595+D592</f>
        <v>176831001.5714286</v>
      </c>
      <c r="H595" s="59">
        <f>+D595/320000000</f>
        <v>0.55259687991071438</v>
      </c>
      <c r="AR595" s="500"/>
      <c r="AS595" s="533"/>
      <c r="AT595" s="561"/>
      <c r="AU595" s="561"/>
      <c r="AV595" s="561"/>
      <c r="AW595" s="561"/>
      <c r="AX595" s="561"/>
      <c r="AY595" s="561"/>
      <c r="AZ595" s="561"/>
      <c r="BA595" s="564">
        <f>SUM(BA589:BA593)</f>
        <v>34388652</v>
      </c>
      <c r="BB595" s="561"/>
      <c r="BC595" s="561"/>
      <c r="BD595" s="561"/>
      <c r="BE595" s="564">
        <f>SUM(BE589:BE594)</f>
        <v>108259573</v>
      </c>
      <c r="BF595" s="561"/>
      <c r="BG595" s="565">
        <f>+BE595/320000000</f>
        <v>0.33831116562500002</v>
      </c>
      <c r="BH595" s="533"/>
      <c r="BI595" s="500"/>
      <c r="BP595" s="59">
        <f>+BP594/BA592</f>
        <v>0.17317896515162595</v>
      </c>
    </row>
    <row r="596" spans="4:75" ht="15" thickTop="1" x14ac:dyDescent="0.3">
      <c r="D596" s="56"/>
      <c r="H596" s="59"/>
      <c r="AR596" s="500"/>
      <c r="AS596" s="533"/>
      <c r="AT596" s="575" t="s">
        <v>186</v>
      </c>
      <c r="AU596" s="561"/>
      <c r="AV596" s="561"/>
      <c r="AW596" s="561"/>
      <c r="AX596" s="561"/>
      <c r="AY596" s="561"/>
      <c r="AZ596" s="561"/>
      <c r="BA596" s="484">
        <f>+BY615</f>
        <v>0.48563253012048191</v>
      </c>
      <c r="BB596" s="561"/>
      <c r="BC596" s="561"/>
      <c r="BD596" s="561"/>
      <c r="BE596" s="574"/>
      <c r="BF596" s="561"/>
      <c r="BG596" s="484"/>
      <c r="BH596" s="533"/>
      <c r="BI596" s="500"/>
      <c r="BP596" s="59"/>
    </row>
    <row r="597" spans="4:75" x14ac:dyDescent="0.3">
      <c r="D597" s="56"/>
      <c r="H597" s="59"/>
      <c r="AR597" s="500"/>
      <c r="AS597" s="533"/>
      <c r="AT597" s="575" t="s">
        <v>188</v>
      </c>
      <c r="AU597" s="561"/>
      <c r="AV597" s="561"/>
      <c r="AW597" s="561"/>
      <c r="AX597" s="561"/>
      <c r="AY597" s="561"/>
      <c r="AZ597" s="561"/>
      <c r="BA597" s="576">
        <f>+BA595*BA596</f>
        <v>16700248.07819277</v>
      </c>
      <c r="BB597" s="561"/>
      <c r="BC597" s="561"/>
      <c r="BD597" s="561"/>
      <c r="BE597" s="574"/>
      <c r="BF597" s="561"/>
      <c r="BG597" s="484"/>
      <c r="BH597" s="533"/>
      <c r="BI597" s="500"/>
      <c r="BP597" s="59"/>
    </row>
    <row r="598" spans="4:75" ht="15" thickBot="1" x14ac:dyDescent="0.35">
      <c r="D598" s="56"/>
      <c r="H598" s="59"/>
      <c r="AR598" s="500"/>
      <c r="AS598" s="533"/>
      <c r="AT598" s="575" t="s">
        <v>187</v>
      </c>
      <c r="AU598" s="561"/>
      <c r="AV598" s="561"/>
      <c r="AW598" s="561"/>
      <c r="AX598" s="561"/>
      <c r="AY598" s="561"/>
      <c r="AZ598" s="561"/>
      <c r="BA598" s="564">
        <f>+BA595-BA597</f>
        <v>17688403.92180723</v>
      </c>
      <c r="BB598" s="561"/>
      <c r="BC598" s="561"/>
      <c r="BD598" s="561"/>
      <c r="BE598" s="574"/>
      <c r="BF598" s="561"/>
      <c r="BG598" s="484"/>
      <c r="BH598" s="533"/>
      <c r="BI598" s="500"/>
      <c r="BP598" s="59"/>
    </row>
    <row r="599" spans="4:75" ht="15" thickTop="1" x14ac:dyDescent="0.3">
      <c r="AR599" s="500"/>
      <c r="AS599" s="533"/>
      <c r="AT599" s="561"/>
      <c r="AU599" s="561"/>
      <c r="AV599" s="561"/>
      <c r="AW599" s="561"/>
      <c r="AX599" s="561"/>
      <c r="AY599" s="561"/>
      <c r="AZ599" s="561"/>
      <c r="BA599" s="561"/>
      <c r="BB599" s="561"/>
      <c r="BC599" s="561"/>
      <c r="BD599" s="561"/>
      <c r="BE599" s="561"/>
      <c r="BF599" s="561"/>
      <c r="BG599" s="561"/>
      <c r="BH599" s="533"/>
      <c r="BI599" s="500"/>
    </row>
    <row r="600" spans="4:75" x14ac:dyDescent="0.3">
      <c r="AR600" s="500"/>
      <c r="AS600" s="500"/>
      <c r="AT600" s="500"/>
      <c r="AU600" s="500"/>
      <c r="AV600" s="500"/>
      <c r="AW600" s="500"/>
      <c r="AX600" s="500"/>
      <c r="AY600" s="500"/>
      <c r="AZ600" s="500"/>
      <c r="BA600" s="500"/>
      <c r="BB600" s="500"/>
      <c r="BC600" s="500"/>
      <c r="BD600" s="500"/>
      <c r="BE600" s="500"/>
      <c r="BF600" s="500"/>
      <c r="BG600" s="500"/>
      <c r="BH600" s="500"/>
      <c r="BI600" s="500"/>
    </row>
    <row r="602" spans="4:75" x14ac:dyDescent="0.3">
      <c r="AV602" t="s">
        <v>153</v>
      </c>
      <c r="BA602" s="56">
        <f>+H235</f>
        <v>9935229</v>
      </c>
    </row>
    <row r="604" spans="4:75" x14ac:dyDescent="0.3">
      <c r="AV604" t="s">
        <v>164</v>
      </c>
      <c r="BA604" s="56">
        <f>+H327</f>
        <v>26719787</v>
      </c>
    </row>
    <row r="605" spans="4:75" x14ac:dyDescent="0.3">
      <c r="BA605" s="56"/>
    </row>
    <row r="606" spans="4:75" x14ac:dyDescent="0.3">
      <c r="AR606" s="500"/>
      <c r="AS606" s="500"/>
      <c r="AT606" s="500"/>
      <c r="AU606" s="500"/>
      <c r="AV606" s="500"/>
      <c r="AW606" s="500"/>
      <c r="AX606" s="500"/>
      <c r="AY606" s="500"/>
      <c r="AZ606" s="500"/>
      <c r="BA606" s="557"/>
      <c r="BB606" s="500"/>
      <c r="BC606" s="500"/>
      <c r="BD606" s="500"/>
      <c r="BE606" s="500"/>
      <c r="BF606" s="500"/>
      <c r="BG606" s="500"/>
      <c r="BH606" s="500"/>
      <c r="BI606" s="500"/>
      <c r="BJ606" s="500"/>
      <c r="BK606" s="500"/>
      <c r="BL606" s="500"/>
      <c r="BM606" s="500"/>
      <c r="BN606" s="500"/>
      <c r="BO606" s="500"/>
      <c r="BP606" s="500"/>
      <c r="BQ606" s="500"/>
      <c r="BR606" s="500"/>
      <c r="BS606" s="500"/>
      <c r="BT606" s="500"/>
      <c r="BU606" s="500"/>
      <c r="BV606" s="500"/>
      <c r="BW606" s="500"/>
    </row>
    <row r="607" spans="4:75" ht="14.4" customHeight="1" x14ac:dyDescent="0.3">
      <c r="AR607" s="500"/>
      <c r="AS607" s="533"/>
      <c r="AT607" s="580" t="s">
        <v>177</v>
      </c>
      <c r="AU607" s="580"/>
      <c r="AV607" s="580"/>
      <c r="AW607" s="580"/>
      <c r="AX607" s="580"/>
      <c r="AY607" s="580"/>
      <c r="AZ607" s="580"/>
      <c r="BA607" s="580"/>
      <c r="BB607" s="580"/>
      <c r="BC607" s="580"/>
      <c r="BD607" s="580"/>
      <c r="BE607" s="580"/>
      <c r="BF607" s="580"/>
      <c r="BG607" s="580"/>
      <c r="BH607" s="580"/>
      <c r="BI607" s="580"/>
      <c r="BJ607" s="580"/>
      <c r="BK607" s="580"/>
      <c r="BL607" s="580"/>
      <c r="BM607" s="580"/>
      <c r="BN607" s="580"/>
      <c r="BO607" s="580"/>
      <c r="BP607" s="580"/>
      <c r="BQ607" s="580"/>
      <c r="BR607" s="580"/>
      <c r="BS607" s="580"/>
      <c r="BT607" s="580"/>
      <c r="BU607" s="580"/>
      <c r="BV607" s="580"/>
      <c r="BW607" s="500"/>
    </row>
    <row r="608" spans="4:75" ht="14.4" customHeight="1" x14ac:dyDescent="0.3">
      <c r="AR608" s="500"/>
      <c r="AS608" s="533"/>
      <c r="AT608" s="533"/>
      <c r="AU608" s="533"/>
      <c r="AV608" s="533"/>
      <c r="AW608" s="533"/>
      <c r="AX608" s="533"/>
      <c r="AY608" s="533"/>
      <c r="AZ608" s="533"/>
      <c r="BA608" s="579" t="s">
        <v>173</v>
      </c>
      <c r="BB608" s="579"/>
      <c r="BC608" s="579"/>
      <c r="BD608" s="579"/>
      <c r="BE608" s="579"/>
      <c r="BF608" s="561"/>
      <c r="BG608" s="580" t="s">
        <v>181</v>
      </c>
      <c r="BH608" s="580"/>
      <c r="BI608" s="580"/>
      <c r="BJ608" s="580"/>
      <c r="BK608" s="580"/>
      <c r="BL608" s="580"/>
      <c r="BM608" s="580"/>
      <c r="BN608" s="580"/>
      <c r="BO608" s="580"/>
      <c r="BP608" s="580"/>
      <c r="BQ608" s="533"/>
      <c r="BR608" s="586" t="s">
        <v>177</v>
      </c>
      <c r="BS608" s="586"/>
      <c r="BT608" s="586"/>
      <c r="BU608" s="586"/>
      <c r="BV608" s="586"/>
      <c r="BW608" s="500"/>
    </row>
    <row r="609" spans="44:90" x14ac:dyDescent="0.3">
      <c r="AR609" s="500"/>
      <c r="AS609" s="533"/>
      <c r="AT609" s="533"/>
      <c r="AU609" s="533"/>
      <c r="AV609" s="533"/>
      <c r="AW609" s="533"/>
      <c r="AX609" s="533"/>
      <c r="AY609" s="533"/>
      <c r="AZ609" s="533"/>
      <c r="BA609" s="570" t="s">
        <v>178</v>
      </c>
      <c r="BB609" s="571"/>
      <c r="BC609" s="572" t="s">
        <v>183</v>
      </c>
      <c r="BD609" s="571"/>
      <c r="BE609" s="572" t="s">
        <v>179</v>
      </c>
      <c r="BF609" s="561"/>
      <c r="BG609" s="570"/>
      <c r="BH609" s="571"/>
      <c r="BI609" s="583"/>
      <c r="BJ609" s="583"/>
      <c r="BK609" s="583"/>
      <c r="BL609" s="583"/>
      <c r="BM609" s="583"/>
      <c r="BN609" s="583"/>
      <c r="BO609" s="473"/>
      <c r="BP609" s="572"/>
      <c r="BQ609" s="533"/>
      <c r="BR609" s="587"/>
      <c r="BS609" s="587"/>
      <c r="BT609" s="587"/>
      <c r="BU609" s="587"/>
      <c r="BV609" s="587"/>
      <c r="BW609" s="500"/>
    </row>
    <row r="610" spans="44:90" x14ac:dyDescent="0.3">
      <c r="AR610" s="500"/>
      <c r="AS610" s="533"/>
      <c r="AT610" s="533"/>
      <c r="AU610" s="533"/>
      <c r="AV610" s="533"/>
      <c r="AW610" s="533"/>
      <c r="AX610" s="533"/>
      <c r="AY610" s="533"/>
      <c r="AZ610" s="533"/>
      <c r="BA610" s="568" t="s">
        <v>174</v>
      </c>
      <c r="BB610" s="566"/>
      <c r="BC610" s="568" t="s">
        <v>176</v>
      </c>
      <c r="BD610" s="566"/>
      <c r="BE610" s="568" t="s">
        <v>175</v>
      </c>
      <c r="BF610" s="561"/>
      <c r="BG610" s="567" t="s">
        <v>181</v>
      </c>
      <c r="BH610" s="561"/>
      <c r="BI610" s="581" t="s">
        <v>185</v>
      </c>
      <c r="BJ610" s="581"/>
      <c r="BK610" s="581"/>
      <c r="BL610" s="581"/>
      <c r="BM610" s="581"/>
      <c r="BN610" s="581"/>
      <c r="BO610" s="561"/>
      <c r="BP610" s="568" t="s">
        <v>182</v>
      </c>
      <c r="BQ610" s="533"/>
      <c r="BR610" s="588" t="s">
        <v>180</v>
      </c>
      <c r="BS610" s="588"/>
      <c r="BT610" s="588"/>
      <c r="BU610" s="588"/>
      <c r="BV610" s="588"/>
      <c r="BW610" s="500"/>
    </row>
    <row r="611" spans="44:90" x14ac:dyDescent="0.3">
      <c r="AR611" s="500"/>
      <c r="AS611" s="533"/>
      <c r="AT611" s="578" t="s">
        <v>162</v>
      </c>
      <c r="AU611" s="578"/>
      <c r="AV611" s="578"/>
      <c r="AW611" s="578"/>
      <c r="AX611" s="578"/>
      <c r="AY611" s="561"/>
      <c r="AZ611" s="561"/>
      <c r="BA611" s="562">
        <f>+BA589</f>
        <v>6826001</v>
      </c>
      <c r="BB611" s="561"/>
      <c r="BC611" s="562">
        <f>+BE611-BA611</f>
        <v>61434009</v>
      </c>
      <c r="BD611" s="561"/>
      <c r="BE611" s="562">
        <f>+BE589</f>
        <v>68260010</v>
      </c>
      <c r="BF611" s="533"/>
      <c r="BG611" s="563">
        <v>0</v>
      </c>
      <c r="BH611" s="563"/>
      <c r="BI611" s="563"/>
      <c r="BJ611" s="563"/>
      <c r="BK611" s="563"/>
      <c r="BL611" s="563"/>
      <c r="BM611" s="563"/>
      <c r="BN611" s="563">
        <f>+BG611</f>
        <v>0</v>
      </c>
      <c r="BO611" s="563"/>
      <c r="BP611" s="563">
        <f>+BN611*0.5</f>
        <v>0</v>
      </c>
      <c r="BQ611" s="561"/>
      <c r="BR611" s="584">
        <f>+BE611+BP611</f>
        <v>68260010</v>
      </c>
      <c r="BS611" s="585"/>
      <c r="BT611" s="585"/>
      <c r="BU611" s="585"/>
      <c r="BV611" s="585"/>
      <c r="BW611" s="500"/>
    </row>
    <row r="612" spans="44:90" x14ac:dyDescent="0.3">
      <c r="AR612" s="500"/>
      <c r="AS612" s="533"/>
      <c r="AT612" s="578" t="s">
        <v>172</v>
      </c>
      <c r="AU612" s="578"/>
      <c r="AV612" s="578"/>
      <c r="AW612" s="578"/>
      <c r="AX612" s="578"/>
      <c r="AY612" s="561"/>
      <c r="AZ612" s="561"/>
      <c r="BA612" s="562">
        <f>+BA611+BA590</f>
        <v>9935229</v>
      </c>
      <c r="BB612" s="561"/>
      <c r="BC612" s="562">
        <f>+BE612-BA612</f>
        <v>73870921</v>
      </c>
      <c r="BD612" s="561"/>
      <c r="BE612" s="562">
        <f>+BE611+BE590</f>
        <v>83806150</v>
      </c>
      <c r="BF612" s="533"/>
      <c r="BG612" s="563">
        <v>0</v>
      </c>
      <c r="BH612" s="563"/>
      <c r="BI612" s="563"/>
      <c r="BJ612" s="563"/>
      <c r="BK612" s="563"/>
      <c r="BL612" s="563"/>
      <c r="BM612" s="563"/>
      <c r="BN612" s="563">
        <f>+BN611+BG612</f>
        <v>0</v>
      </c>
      <c r="BO612" s="563"/>
      <c r="BP612" s="563">
        <f>+BN612*0.5</f>
        <v>0</v>
      </c>
      <c r="BQ612" s="561"/>
      <c r="BR612" s="584">
        <f>+BE612+BP612</f>
        <v>83806150</v>
      </c>
      <c r="BS612" s="585"/>
      <c r="BT612" s="585"/>
      <c r="BU612" s="585"/>
      <c r="BV612" s="585"/>
      <c r="BW612" s="500"/>
    </row>
    <row r="613" spans="44:90" x14ac:dyDescent="0.3">
      <c r="AR613" s="500"/>
      <c r="AS613" s="533"/>
      <c r="AT613" s="578" t="s">
        <v>163</v>
      </c>
      <c r="AU613" s="578"/>
      <c r="AV613" s="578"/>
      <c r="AW613" s="578"/>
      <c r="AX613" s="578"/>
      <c r="AY613" s="578"/>
      <c r="AZ613" s="578"/>
      <c r="BA613" s="562">
        <f>+BA612+BA591</f>
        <v>26719787</v>
      </c>
      <c r="BB613" s="561"/>
      <c r="BC613" s="562">
        <f>+BE613-BA613</f>
        <v>73870921</v>
      </c>
      <c r="BD613" s="561"/>
      <c r="BE613" s="562">
        <f>+BE612+BE591</f>
        <v>100590708</v>
      </c>
      <c r="BF613" s="533"/>
      <c r="BG613" s="563">
        <f>13400000+5660000</f>
        <v>19060000</v>
      </c>
      <c r="BH613" s="563"/>
      <c r="BI613" s="582"/>
      <c r="BJ613" s="582"/>
      <c r="BK613" s="582"/>
      <c r="BL613" s="582"/>
      <c r="BM613" s="582"/>
      <c r="BN613" s="582"/>
      <c r="BO613" s="563"/>
      <c r="BP613" s="563">
        <f>+BG613</f>
        <v>19060000</v>
      </c>
      <c r="BQ613" s="561"/>
      <c r="BR613" s="584">
        <f>+BE613+BP613</f>
        <v>119650708</v>
      </c>
      <c r="BS613" s="585"/>
      <c r="BT613" s="585"/>
      <c r="BU613" s="585"/>
      <c r="BV613" s="585"/>
      <c r="BW613" s="500"/>
    </row>
    <row r="614" spans="44:90" x14ac:dyDescent="0.3">
      <c r="AR614" s="500"/>
      <c r="AS614" s="533"/>
      <c r="AT614" s="569" t="s">
        <v>184</v>
      </c>
      <c r="AU614" s="561"/>
      <c r="AV614" s="561"/>
      <c r="AW614" s="561"/>
      <c r="AX614" s="561"/>
      <c r="AY614" s="561"/>
      <c r="AZ614" s="561"/>
      <c r="BA614" s="562">
        <f>+BA613+BA592</f>
        <v>30917716</v>
      </c>
      <c r="BB614" s="561"/>
      <c r="BC614" s="562">
        <f>+BE614-BA614</f>
        <v>73870921</v>
      </c>
      <c r="BD614" s="561"/>
      <c r="BE614" s="562">
        <f>+BE613+BE592</f>
        <v>104788637</v>
      </c>
      <c r="BF614" s="533"/>
      <c r="BG614" s="563">
        <f>53420000-BG613</f>
        <v>34360000</v>
      </c>
      <c r="BH614" s="563"/>
      <c r="BI614" s="582"/>
      <c r="BJ614" s="582"/>
      <c r="BK614" s="582"/>
      <c r="BL614" s="582"/>
      <c r="BM614" s="582"/>
      <c r="BN614" s="582"/>
      <c r="BO614" s="563"/>
      <c r="BP614" s="563">
        <f>+BP613+BG614</f>
        <v>53420000</v>
      </c>
      <c r="BQ614" s="561"/>
      <c r="BR614" s="584">
        <f>+BE614+BP614</f>
        <v>158208637</v>
      </c>
      <c r="BS614" s="585"/>
      <c r="BT614" s="585"/>
      <c r="BU614" s="585"/>
      <c r="BV614" s="585"/>
      <c r="BW614" s="500"/>
    </row>
    <row r="615" spans="44:90" x14ac:dyDescent="0.3">
      <c r="AR615" s="500"/>
      <c r="AS615" s="533"/>
      <c r="AT615" s="569" t="s">
        <v>189</v>
      </c>
      <c r="AU615" s="561"/>
      <c r="AV615" s="561"/>
      <c r="AW615" s="561"/>
      <c r="AX615" s="561"/>
      <c r="AY615" s="561"/>
      <c r="AZ615" s="561"/>
      <c r="BA615" s="562">
        <f>+BA598</f>
        <v>17688403.92180723</v>
      </c>
      <c r="BB615" s="561"/>
      <c r="BC615" s="562">
        <f>+BE615-BA615</f>
        <v>73870921</v>
      </c>
      <c r="BD615" s="561"/>
      <c r="BE615" s="562">
        <f>+BE614+BE593-BA597</f>
        <v>91559324.92180723</v>
      </c>
      <c r="BF615" s="533"/>
      <c r="BG615" s="563">
        <f>161230000-BP614</f>
        <v>107810000</v>
      </c>
      <c r="BH615" s="563"/>
      <c r="BI615" s="582"/>
      <c r="BJ615" s="582"/>
      <c r="BK615" s="582"/>
      <c r="BL615" s="582"/>
      <c r="BM615" s="582"/>
      <c r="BN615" s="582"/>
      <c r="BO615" s="563"/>
      <c r="BP615" s="563">
        <f>+BP614+BG615</f>
        <v>161230000</v>
      </c>
      <c r="BQ615" s="561"/>
      <c r="BR615" s="584">
        <f>+BE615+BP615</f>
        <v>252789324.92180723</v>
      </c>
      <c r="BS615" s="585"/>
      <c r="BT615" s="585"/>
      <c r="BU615" s="585"/>
      <c r="BV615" s="585"/>
      <c r="BW615" s="500"/>
      <c r="BY615" s="59">
        <f>+BP615/CL615</f>
        <v>0.48563253012048191</v>
      </c>
      <c r="CL615" s="1">
        <v>332000000</v>
      </c>
    </row>
    <row r="616" spans="44:90" x14ac:dyDescent="0.3">
      <c r="AR616" s="500"/>
      <c r="AS616" s="500"/>
      <c r="AT616" s="500"/>
      <c r="AU616" s="500"/>
      <c r="AV616" s="500"/>
      <c r="AW616" s="500"/>
      <c r="AX616" s="500"/>
      <c r="AY616" s="500"/>
      <c r="AZ616" s="500"/>
      <c r="BA616" s="500"/>
      <c r="BB616" s="500"/>
      <c r="BC616" s="500"/>
      <c r="BD616" s="500"/>
      <c r="BE616" s="500"/>
      <c r="BF616" s="500"/>
      <c r="BG616" s="500"/>
      <c r="BH616" s="500"/>
      <c r="BI616" s="500"/>
      <c r="BJ616" s="500"/>
      <c r="BK616" s="500"/>
      <c r="BL616" s="500"/>
      <c r="BM616" s="500"/>
      <c r="BN616" s="500"/>
      <c r="BO616" s="500"/>
      <c r="BP616" s="500"/>
      <c r="BQ616" s="500"/>
      <c r="BR616" s="500"/>
      <c r="BS616" s="500"/>
      <c r="BT616" s="500"/>
      <c r="BU616" s="500"/>
      <c r="BV616" s="500"/>
      <c r="BW616" s="500"/>
      <c r="CL616" s="59">
        <f>+BR615/CL615</f>
        <v>0.76141362928255185</v>
      </c>
    </row>
    <row r="618" spans="44:90" x14ac:dyDescent="0.3">
      <c r="BA618" s="56">
        <f>+BR615+BA597</f>
        <v>269489573</v>
      </c>
      <c r="BC618" s="59">
        <f>+BA618/CL615</f>
        <v>0.81171558132530119</v>
      </c>
      <c r="BE618" s="56"/>
      <c r="CL618" s="56">
        <f>+CL615-BR615</f>
        <v>79210675.07819277</v>
      </c>
    </row>
    <row r="621" spans="44:90" x14ac:dyDescent="0.3">
      <c r="CL621" s="59">
        <f>+BP615/CL615</f>
        <v>0.48563253012048191</v>
      </c>
    </row>
    <row r="623" spans="44:90" x14ac:dyDescent="0.3">
      <c r="BE623" s="500"/>
      <c r="BF623" s="500"/>
      <c r="BG623" s="500"/>
      <c r="BH623" s="500"/>
      <c r="BI623" s="500"/>
      <c r="BJ623" s="500"/>
      <c r="BK623" s="500"/>
      <c r="BL623" s="500"/>
      <c r="BM623" s="500"/>
      <c r="BN623" s="500"/>
      <c r="BO623" s="500"/>
      <c r="BP623" s="500"/>
      <c r="BQ623" s="500"/>
      <c r="BR623" s="500"/>
      <c r="BS623" s="500"/>
      <c r="BT623" s="500"/>
      <c r="BU623" s="500"/>
      <c r="BV623" s="500"/>
      <c r="BW623" s="500"/>
      <c r="BX623" s="500"/>
      <c r="BY623" s="500"/>
    </row>
    <row r="624" spans="44:90" x14ac:dyDescent="0.3">
      <c r="BE624" s="500"/>
      <c r="BF624" s="500"/>
      <c r="BG624" s="500"/>
      <c r="BH624" s="500"/>
      <c r="BI624" s="500"/>
      <c r="BJ624" s="500"/>
      <c r="BK624" s="500"/>
      <c r="BL624" s="500"/>
      <c r="BM624" s="500"/>
      <c r="BN624" s="500"/>
      <c r="BO624" s="500"/>
      <c r="BP624" s="500"/>
      <c r="BQ624" s="500"/>
      <c r="BR624" s="500"/>
      <c r="BS624" s="500"/>
      <c r="BT624" s="500"/>
      <c r="BU624" s="500"/>
      <c r="BV624" s="500"/>
      <c r="BW624" s="500"/>
      <c r="BX624" s="500"/>
      <c r="BY624" s="500"/>
    </row>
    <row r="625" spans="42:90" x14ac:dyDescent="0.3">
      <c r="AP625" s="1">
        <v>1500000</v>
      </c>
      <c r="BE625" s="500"/>
      <c r="BF625" s="500"/>
      <c r="BG625" s="500"/>
      <c r="BH625" s="500"/>
      <c r="BI625" s="500"/>
      <c r="BJ625" s="500"/>
      <c r="BK625" s="500"/>
      <c r="BL625" s="500"/>
      <c r="BM625" s="500"/>
      <c r="BN625" s="500"/>
      <c r="BO625" s="500"/>
      <c r="BP625" s="500"/>
      <c r="BQ625" s="500"/>
      <c r="BR625" s="500"/>
      <c r="BS625" s="500"/>
      <c r="BT625" s="500"/>
      <c r="BU625" s="500"/>
      <c r="BV625" s="500"/>
      <c r="BW625" s="500"/>
      <c r="BX625" s="500"/>
      <c r="BY625" s="500"/>
    </row>
    <row r="626" spans="42:90" x14ac:dyDescent="0.3">
      <c r="AP626">
        <v>7</v>
      </c>
      <c r="BE626" s="500"/>
      <c r="BY626" s="500"/>
      <c r="CL626">
        <v>177090000</v>
      </c>
    </row>
    <row r="627" spans="42:90" x14ac:dyDescent="0.3">
      <c r="AP627" s="1">
        <f>+AP625*AP626</f>
        <v>10500000</v>
      </c>
      <c r="BE627" s="500"/>
      <c r="BY627" s="500"/>
      <c r="CL627" s="231">
        <f>+CL626/CL615</f>
        <v>0.53340361445783135</v>
      </c>
    </row>
    <row r="628" spans="42:90" x14ac:dyDescent="0.3">
      <c r="BE628" s="500"/>
      <c r="BY628" s="500"/>
    </row>
    <row r="629" spans="42:90" x14ac:dyDescent="0.3">
      <c r="BE629" s="500"/>
      <c r="BY629" s="500"/>
    </row>
    <row r="630" spans="42:90" x14ac:dyDescent="0.3">
      <c r="BE630" s="500"/>
      <c r="BY630" s="500"/>
      <c r="CL630" s="56">
        <f>+BR615+27420000</f>
        <v>280209324.92180723</v>
      </c>
    </row>
    <row r="631" spans="42:90" x14ac:dyDescent="0.3">
      <c r="BE631" s="500"/>
      <c r="BY631" s="500"/>
    </row>
    <row r="632" spans="42:90" x14ac:dyDescent="0.3">
      <c r="BE632" s="500"/>
      <c r="BY632" s="500"/>
      <c r="CL632" s="59">
        <f>+CL630/CL615</f>
        <v>0.84400399072833499</v>
      </c>
    </row>
    <row r="633" spans="42:90" x14ac:dyDescent="0.3">
      <c r="BE633" s="500"/>
      <c r="BY633" s="500"/>
    </row>
    <row r="634" spans="42:90" x14ac:dyDescent="0.3">
      <c r="BE634" s="500"/>
      <c r="BY634" s="500"/>
    </row>
    <row r="635" spans="42:90" x14ac:dyDescent="0.3">
      <c r="BE635" s="500"/>
      <c r="BY635" s="500"/>
    </row>
    <row r="636" spans="42:90" x14ac:dyDescent="0.3">
      <c r="BE636" s="500"/>
      <c r="BY636" s="500"/>
    </row>
    <row r="637" spans="42:90" x14ac:dyDescent="0.3">
      <c r="BE637" s="500"/>
      <c r="BY637" s="500"/>
    </row>
    <row r="638" spans="42:90" x14ac:dyDescent="0.3">
      <c r="BE638" s="500"/>
      <c r="BY638" s="500"/>
    </row>
    <row r="639" spans="42:90" x14ac:dyDescent="0.3">
      <c r="BE639" s="500"/>
      <c r="BF639" s="500"/>
      <c r="BG639" s="500"/>
      <c r="BH639" s="500"/>
      <c r="BI639" s="500"/>
      <c r="BJ639" s="500"/>
      <c r="BK639" s="500"/>
      <c r="BL639" s="500"/>
      <c r="BM639" s="500"/>
      <c r="BN639" s="500"/>
      <c r="BO639" s="500"/>
      <c r="BP639" s="500"/>
      <c r="BQ639" s="500"/>
      <c r="BR639" s="500"/>
      <c r="BS639" s="500"/>
      <c r="BT639" s="500"/>
      <c r="BU639" s="500"/>
      <c r="BV639" s="500"/>
      <c r="BW639" s="500"/>
      <c r="BX639" s="500"/>
      <c r="BY639" s="500"/>
    </row>
    <row r="640" spans="42:90" x14ac:dyDescent="0.3">
      <c r="BE640" s="500"/>
      <c r="BF640" s="500"/>
      <c r="BG640" s="500"/>
      <c r="BH640" s="500"/>
      <c r="BI640" s="500"/>
      <c r="BJ640" s="500"/>
      <c r="BK640" s="500"/>
      <c r="BL640" s="500"/>
      <c r="BM640" s="500"/>
      <c r="BN640" s="500"/>
      <c r="BO640" s="500"/>
      <c r="BP640" s="500"/>
      <c r="BQ640" s="500"/>
      <c r="BR640" s="500"/>
      <c r="BS640" s="500"/>
      <c r="BT640" s="500"/>
      <c r="BU640" s="500"/>
      <c r="BV640" s="500"/>
      <c r="BW640" s="500"/>
      <c r="BX640" s="500"/>
      <c r="BY640" s="500"/>
    </row>
    <row r="641" spans="57:77" x14ac:dyDescent="0.3">
      <c r="BE641" s="500"/>
      <c r="BF641" s="500"/>
      <c r="BG641" s="500"/>
      <c r="BH641" s="500"/>
      <c r="BI641" s="500"/>
      <c r="BJ641" s="500"/>
      <c r="BK641" s="500"/>
      <c r="BL641" s="500"/>
      <c r="BM641" s="500"/>
      <c r="BN641" s="500"/>
      <c r="BO641" s="500"/>
      <c r="BP641" s="500"/>
      <c r="BQ641" s="500"/>
      <c r="BR641" s="500"/>
      <c r="BS641" s="500"/>
      <c r="BT641" s="500"/>
      <c r="BU641" s="500"/>
      <c r="BV641" s="500"/>
      <c r="BW641" s="500"/>
      <c r="BX641" s="500"/>
      <c r="BY641" s="500"/>
    </row>
    <row r="642" spans="57:77" x14ac:dyDescent="0.3">
      <c r="BE642" s="500"/>
      <c r="BF642" s="500"/>
      <c r="BG642" s="500"/>
      <c r="BH642" s="500"/>
      <c r="BI642" s="500"/>
      <c r="BJ642" s="500"/>
      <c r="BK642" s="500"/>
      <c r="BL642" s="500"/>
      <c r="BM642" s="500"/>
      <c r="BN642" s="500"/>
      <c r="BO642" s="500"/>
      <c r="BP642" s="500"/>
      <c r="BQ642" s="500"/>
      <c r="BR642" s="500"/>
      <c r="BS642" s="500"/>
      <c r="BT642" s="500"/>
      <c r="BU642" s="500"/>
      <c r="BV642" s="500"/>
      <c r="BW642" s="500"/>
      <c r="BX642" s="500"/>
      <c r="BY642" s="500"/>
    </row>
    <row r="643" spans="57:77" x14ac:dyDescent="0.3">
      <c r="BE643" s="500"/>
      <c r="BF643" s="500"/>
      <c r="BG643" s="500"/>
      <c r="BH643" s="500"/>
      <c r="BI643" s="500"/>
      <c r="BJ643" s="500"/>
      <c r="BK643" s="500"/>
      <c r="BL643" s="500"/>
      <c r="BM643" s="500"/>
      <c r="BN643" s="500"/>
      <c r="BO643" s="500"/>
      <c r="BP643" s="500"/>
      <c r="BQ643" s="500"/>
      <c r="BR643" s="500"/>
      <c r="BS643" s="500"/>
      <c r="BT643" s="500"/>
      <c r="BU643" s="500"/>
      <c r="BV643" s="500"/>
      <c r="BW643" s="500"/>
      <c r="BX643" s="500"/>
      <c r="BY643" s="500"/>
    </row>
    <row r="644" spans="57:77" x14ac:dyDescent="0.3">
      <c r="BE644" s="500"/>
      <c r="BF644" s="500"/>
      <c r="BG644" s="500"/>
      <c r="BH644" s="500"/>
      <c r="BI644" s="500"/>
      <c r="BJ644" s="500"/>
      <c r="BK644" s="500"/>
      <c r="BL644" s="500"/>
      <c r="BM644" s="500"/>
      <c r="BN644" s="500"/>
      <c r="BO644" s="500"/>
      <c r="BP644" s="500"/>
      <c r="BQ644" s="500"/>
      <c r="BR644" s="500"/>
      <c r="BS644" s="500"/>
      <c r="BT644" s="500"/>
      <c r="BU644" s="500"/>
      <c r="BV644" s="500"/>
      <c r="BW644" s="500"/>
      <c r="BX644" s="500"/>
      <c r="BY644" s="500"/>
    </row>
    <row r="645" spans="57:77" x14ac:dyDescent="0.3">
      <c r="BE645" s="500"/>
      <c r="BF645" s="500"/>
      <c r="BG645" s="500"/>
      <c r="BH645" s="500"/>
      <c r="BI645" s="500"/>
      <c r="BJ645" s="500"/>
      <c r="BK645" s="500"/>
      <c r="BL645" s="500"/>
      <c r="BM645" s="500"/>
      <c r="BN645" s="500"/>
      <c r="BO645" s="500"/>
      <c r="BP645" s="500"/>
      <c r="BQ645" s="500"/>
      <c r="BR645" s="500"/>
      <c r="BS645" s="500"/>
      <c r="BT645" s="500"/>
      <c r="BU645" s="500"/>
      <c r="BV645" s="500"/>
      <c r="BW645" s="500"/>
      <c r="BX645" s="500"/>
      <c r="BY645" s="500"/>
    </row>
    <row r="646" spans="57:77" x14ac:dyDescent="0.3">
      <c r="BE646" s="500"/>
      <c r="BF646" s="500"/>
      <c r="BG646" s="500"/>
      <c r="BH646" s="500"/>
      <c r="BI646" s="500"/>
      <c r="BJ646" s="500"/>
      <c r="BK646" s="500"/>
      <c r="BL646" s="500"/>
      <c r="BM646" s="500"/>
      <c r="BN646" s="500"/>
      <c r="BO646" s="500"/>
      <c r="BP646" s="500"/>
      <c r="BQ646" s="500"/>
      <c r="BR646" s="500"/>
      <c r="BS646" s="500"/>
      <c r="BT646" s="500"/>
      <c r="BU646" s="500"/>
      <c r="BV646" s="500"/>
      <c r="BW646" s="500"/>
      <c r="BX646" s="500"/>
      <c r="BY646" s="500"/>
    </row>
  </sheetData>
  <mergeCells count="57">
    <mergeCell ref="AV580:AY580"/>
    <mergeCell ref="BE587:BE588"/>
    <mergeCell ref="AV563:AX563"/>
    <mergeCell ref="AK518:AN518"/>
    <mergeCell ref="AK519:AN519"/>
    <mergeCell ref="AK520:AN520"/>
    <mergeCell ref="AS586:BH586"/>
    <mergeCell ref="H548:J548"/>
    <mergeCell ref="AK525:AN525"/>
    <mergeCell ref="AK516:AN516"/>
    <mergeCell ref="AK526:AN526"/>
    <mergeCell ref="AV575:AX575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515:AV515"/>
    <mergeCell ref="AK517:AN517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608:BV609"/>
    <mergeCell ref="BR610:BV610"/>
    <mergeCell ref="AT590:AX590"/>
    <mergeCell ref="AT594:AZ594"/>
    <mergeCell ref="AT588:AY588"/>
    <mergeCell ref="AT591:AZ591"/>
    <mergeCell ref="AT607:BV607"/>
    <mergeCell ref="BG587:BG588"/>
    <mergeCell ref="AT589:AX589"/>
    <mergeCell ref="BI615:BN615"/>
    <mergeCell ref="BR611:BV611"/>
    <mergeCell ref="BR612:BV612"/>
    <mergeCell ref="BR613:BV613"/>
    <mergeCell ref="BR615:BV615"/>
    <mergeCell ref="BI614:BN614"/>
    <mergeCell ref="BR614:BV614"/>
    <mergeCell ref="AT611:AX611"/>
    <mergeCell ref="AT612:AX612"/>
    <mergeCell ref="AT613:AZ613"/>
    <mergeCell ref="BA608:BE608"/>
    <mergeCell ref="BG608:BP608"/>
    <mergeCell ref="BI610:BN610"/>
    <mergeCell ref="BI613:BN613"/>
    <mergeCell ref="BI609:BN609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521:AP523 AR521:AR5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514"/>
  <sheetViews>
    <sheetView topLeftCell="A473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+K502</f>
        <v>3506286</v>
      </c>
      <c r="AG16" s="187"/>
      <c r="AH16" s="201">
        <f>+AJ31</f>
        <v>10898.95187218002</v>
      </c>
      <c r="AI16" s="201"/>
      <c r="AJ16" s="202">
        <f>+S502</f>
        <v>88596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712272</v>
      </c>
      <c r="AG17" s="188"/>
      <c r="AH17" s="149">
        <v>10334</v>
      </c>
      <c r="AI17" s="201"/>
      <c r="AJ17" s="148">
        <v>18020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1220653</v>
      </c>
      <c r="AG18" s="188"/>
      <c r="AH18" s="149">
        <v>9535</v>
      </c>
      <c r="AI18" s="201"/>
      <c r="AJ18" s="148">
        <v>27792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5439211</v>
      </c>
      <c r="AG19" s="188"/>
      <c r="AH19" s="188"/>
      <c r="AI19" s="188"/>
      <c r="AJ19" s="206">
        <f>SUM(AJ16:AJ18)</f>
        <v>134408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Table'!H502</f>
        <v>0.15816877614161787</v>
      </c>
      <c r="AG21" s="188"/>
      <c r="AH21" s="188"/>
      <c r="AI21" s="188"/>
      <c r="AJ21" s="208">
        <f>+AJ19/'Main Table'!AA502</f>
        <v>0.22071837584591358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+E502</f>
        <v>2126680</v>
      </c>
      <c r="AE27" s="155"/>
      <c r="AF27" s="186">
        <v>10932</v>
      </c>
      <c r="AG27" s="155"/>
      <c r="AH27" s="177">
        <f>+AD27/AD$31</f>
        <v>0.50412486920886235</v>
      </c>
      <c r="AI27" s="177"/>
      <c r="AJ27" s="155">
        <f>+AF27*AH27</f>
        <v>5511.093070191283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+G502</f>
        <v>1028931</v>
      </c>
      <c r="AE28" s="155"/>
      <c r="AF28" s="186">
        <v>11584</v>
      </c>
      <c r="AG28" s="155"/>
      <c r="AH28" s="177">
        <f>+AD28/AD$31</f>
        <v>0.24390585598206779</v>
      </c>
      <c r="AI28" s="177"/>
      <c r="AJ28" s="155">
        <f>+AF28*AH28</f>
        <v>2825.4054356962733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+I502</f>
        <v>350675</v>
      </c>
      <c r="AE29" s="155"/>
      <c r="AF29" s="186">
        <v>9836</v>
      </c>
      <c r="AG29" s="155"/>
      <c r="AH29" s="177">
        <f>+AD29/AD$31</f>
        <v>8.3126746153543457E-2</v>
      </c>
      <c r="AI29" s="177"/>
      <c r="AJ29" s="155">
        <f>+AF29*AH29</f>
        <v>817.63467516625349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712272</v>
      </c>
      <c r="AE30" s="237"/>
      <c r="AF30" s="155">
        <f>+AH17</f>
        <v>10334</v>
      </c>
      <c r="AG30" s="237"/>
      <c r="AH30" s="177">
        <f>+AD30/AD$31</f>
        <v>0.16884252865552637</v>
      </c>
      <c r="AI30" s="237"/>
      <c r="AJ30" s="155">
        <f>+AF30*AH30</f>
        <v>1744.8186911262096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4218558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10898.95187218002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Table'!AA502</f>
        <v>608957</v>
      </c>
      <c r="AJ49" s="56">
        <f>+AJ19</f>
        <v>134408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134408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474549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199310.58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275238.42000000004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0.45198334200937018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0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ref="K455" si="136">SUM(E455:I455)</f>
        <v>3472461</v>
      </c>
      <c r="L455" s="6"/>
      <c r="M455" s="438">
        <f t="shared" ref="M455" si="137">+(K455-K454)/K454</f>
        <v>2.2582746033113105E-4</v>
      </c>
      <c r="N455" s="29"/>
      <c r="O455" s="29"/>
      <c r="P455" s="29"/>
      <c r="Q455" s="332">
        <f t="shared" ref="Q455" si="138">+K455-K454</f>
        <v>784</v>
      </c>
      <c r="R455" s="6"/>
      <c r="S455" s="7">
        <f>53462+26279+8246</f>
        <v>87987</v>
      </c>
      <c r="T455" s="6"/>
      <c r="U455" s="243">
        <f t="shared" ref="U455" si="139">+S455/K455</f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ref="K456" si="140">SUM(E456:I456)</f>
        <v>3473313</v>
      </c>
      <c r="L456" s="6"/>
      <c r="M456" s="438">
        <f t="shared" ref="M456" si="141">+(K456-K455)/K455</f>
        <v>2.4535912714354461E-4</v>
      </c>
      <c r="N456" s="29"/>
      <c r="O456" s="29"/>
      <c r="P456" s="29"/>
      <c r="Q456" s="332">
        <f t="shared" ref="Q456" si="142">+K456-K455</f>
        <v>852</v>
      </c>
      <c r="R456" s="6"/>
      <c r="S456" s="7">
        <f>53483+26285+8255</f>
        <v>88023</v>
      </c>
      <c r="T456" s="6"/>
      <c r="U456" s="243">
        <f t="shared" ref="U456" si="143">+S456/K456</f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ref="K457" si="144">SUM(E457:I457)</f>
        <v>3474042</v>
      </c>
      <c r="L457" s="6"/>
      <c r="M457" s="438">
        <f t="shared" ref="M457" si="145">+(K457-K456)/K456</f>
        <v>2.0988606555182328E-4</v>
      </c>
      <c r="N457" s="29"/>
      <c r="O457" s="29"/>
      <c r="P457" s="29"/>
      <c r="Q457" s="332">
        <f t="shared" ref="Q457" si="146">+K457-K456</f>
        <v>729</v>
      </c>
      <c r="R457" s="6"/>
      <c r="S457" s="7">
        <f>53492+26316+8257</f>
        <v>88065</v>
      </c>
      <c r="T457" s="6"/>
      <c r="U457" s="243">
        <f t="shared" ref="U457" si="147">+S457/K457</f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ref="K458" si="148">SUM(E458:I458)</f>
        <v>3475000</v>
      </c>
      <c r="L458" s="6"/>
      <c r="M458" s="438">
        <f t="shared" ref="M458" si="149">+(K458-K457)/K457</f>
        <v>2.7575947556189589E-4</v>
      </c>
      <c r="N458" s="29"/>
      <c r="O458" s="29"/>
      <c r="P458" s="29"/>
      <c r="Q458" s="332">
        <f t="shared" ref="Q458" si="150">+K458-K457</f>
        <v>958</v>
      </c>
      <c r="R458" s="6"/>
      <c r="S458" s="7">
        <f>53492+26316+8257</f>
        <v>88065</v>
      </c>
      <c r="T458" s="6"/>
      <c r="U458" s="243">
        <f t="shared" ref="U458" si="151">+S458/K458</f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ref="K459" si="152">SUM(E459:I459)</f>
        <v>3475967</v>
      </c>
      <c r="L459" s="6"/>
      <c r="M459" s="438">
        <f t="shared" ref="M459" si="153">+(K459-K458)/K458</f>
        <v>2.7827338129496402E-4</v>
      </c>
      <c r="N459" s="29"/>
      <c r="O459" s="29"/>
      <c r="P459" s="29"/>
      <c r="Q459" s="332">
        <f t="shared" ref="Q459" si="154">+K459-K458</f>
        <v>967</v>
      </c>
      <c r="R459" s="6"/>
      <c r="S459" s="7">
        <f>53522+26324+8261</f>
        <v>88107</v>
      </c>
      <c r="T459" s="6"/>
      <c r="U459" s="243">
        <f t="shared" ref="U459" si="155">+S459/K459</f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ref="K460" si="156">SUM(E460:I460)</f>
        <v>3476407</v>
      </c>
      <c r="L460" s="6"/>
      <c r="M460" s="438">
        <f t="shared" ref="M460" si="157">+(K460-K459)/K459</f>
        <v>1.2658348022291351E-4</v>
      </c>
      <c r="N460" s="29"/>
      <c r="O460" s="29"/>
      <c r="P460" s="29"/>
      <c r="Q460" s="332">
        <f t="shared" ref="Q460" si="158">+K460-K459</f>
        <v>440</v>
      </c>
      <c r="R460" s="6"/>
      <c r="S460" s="7">
        <f>53539+26324+8261</f>
        <v>88124</v>
      </c>
      <c r="T460" s="6"/>
      <c r="U460" s="243">
        <f t="shared" ref="U460" si="159">+S460/K460</f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ref="K461" si="160">SUM(E461:I461)</f>
        <v>3477226</v>
      </c>
      <c r="L461" s="6"/>
      <c r="M461" s="438">
        <f t="shared" ref="M461" si="161">+(K461-K460)/K460</f>
        <v>2.3558806549405751E-4</v>
      </c>
      <c r="N461" s="29"/>
      <c r="O461" s="29"/>
      <c r="P461" s="29"/>
      <c r="Q461" s="332">
        <f t="shared" ref="Q461" si="162">+K461-K460</f>
        <v>819</v>
      </c>
      <c r="R461" s="6"/>
      <c r="S461" s="7">
        <f>53549+26330+8261</f>
        <v>88140</v>
      </c>
      <c r="T461" s="6"/>
      <c r="U461" s="243">
        <f t="shared" ref="U461" si="163">+S461/K461</f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ref="K462" si="164">SUM(E462:I462)</f>
        <v>3477900</v>
      </c>
      <c r="L462" s="6"/>
      <c r="M462" s="438">
        <f t="shared" ref="M462" si="165">+(K462-K461)/K461</f>
        <v>1.9383267006516114E-4</v>
      </c>
      <c r="N462" s="29"/>
      <c r="O462" s="29"/>
      <c r="P462" s="29"/>
      <c r="Q462" s="332">
        <f t="shared" ref="Q462" si="166">+K462-K461</f>
        <v>674</v>
      </c>
      <c r="R462" s="6"/>
      <c r="S462" s="7">
        <f>53549+26330+8261</f>
        <v>88140</v>
      </c>
      <c r="T462" s="6"/>
      <c r="U462" s="243">
        <f t="shared" ref="U462" si="167">+S462/K462</f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ref="K463" si="168">SUM(E463:I463)</f>
        <v>3478645</v>
      </c>
      <c r="L463" s="6"/>
      <c r="M463" s="438">
        <f t="shared" ref="M463" si="169">+(K463-K462)/K462</f>
        <v>2.1420972425889186E-4</v>
      </c>
      <c r="N463" s="29"/>
      <c r="O463" s="29"/>
      <c r="P463" s="29"/>
      <c r="Q463" s="332">
        <f t="shared" ref="Q463" si="170">+K463-K462</f>
        <v>745</v>
      </c>
      <c r="R463" s="6"/>
      <c r="S463" s="7">
        <f>53574+26344+8263</f>
        <v>88181</v>
      </c>
      <c r="T463" s="6"/>
      <c r="U463" s="243">
        <f t="shared" ref="U463" si="171">+S463/K463</f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ref="K464" si="172">SUM(E464:I464)</f>
        <v>3479196</v>
      </c>
      <c r="L464" s="6"/>
      <c r="M464" s="438">
        <f t="shared" ref="M464" si="173">+(K464-K463)/K463</f>
        <v>1.5839500725138667E-4</v>
      </c>
      <c r="N464" s="29"/>
      <c r="O464" s="29"/>
      <c r="P464" s="29"/>
      <c r="Q464" s="332">
        <f t="shared" ref="Q464" si="174">+K464-K463</f>
        <v>551</v>
      </c>
      <c r="R464" s="6"/>
      <c r="S464" s="7">
        <f>53576+26357+8265</f>
        <v>88198</v>
      </c>
      <c r="T464" s="6"/>
      <c r="U464" s="243">
        <f t="shared" ref="U464" si="175">+S464/K464</f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ref="K465:K466" si="176">SUM(E465:I465)</f>
        <v>3479800</v>
      </c>
      <c r="L465" s="6"/>
      <c r="M465" s="438">
        <f t="shared" ref="M465:M466" si="177">+(K465-K464)/K464</f>
        <v>1.7360332674560443E-4</v>
      </c>
      <c r="N465" s="29"/>
      <c r="O465" s="29"/>
      <c r="P465" s="29"/>
      <c r="Q465" s="332">
        <f t="shared" ref="Q465:Q466" si="178">+K465-K464</f>
        <v>604</v>
      </c>
      <c r="R465" s="6"/>
      <c r="S465" s="7">
        <f>53576+26357+8265</f>
        <v>88198</v>
      </c>
      <c r="T465" s="6"/>
      <c r="U465" s="243">
        <f t="shared" ref="U465:U466" si="179">+S465/K465</f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176"/>
        <v>3480657</v>
      </c>
      <c r="L466" s="6"/>
      <c r="M466" s="438">
        <f t="shared" si="177"/>
        <v>2.4627852175412379E-4</v>
      </c>
      <c r="N466" s="29"/>
      <c r="O466" s="29"/>
      <c r="P466" s="29"/>
      <c r="Q466" s="332">
        <f t="shared" si="178"/>
        <v>857</v>
      </c>
      <c r="R466" s="6"/>
      <c r="S466" s="7">
        <f>53597+26368+8270</f>
        <v>88235</v>
      </c>
      <c r="T466" s="6"/>
      <c r="U466" s="243">
        <f t="shared" si="179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ref="K467" si="180">SUM(E467:I467)</f>
        <v>3481265</v>
      </c>
      <c r="L467" s="6"/>
      <c r="M467" s="438">
        <f t="shared" ref="M467" si="181">+(K467-K466)/K466</f>
        <v>1.7467966536202791E-4</v>
      </c>
      <c r="N467" s="29"/>
      <c r="O467" s="29"/>
      <c r="P467" s="29"/>
      <c r="Q467" s="332">
        <f t="shared" ref="Q467" si="182">+K467-K466</f>
        <v>608</v>
      </c>
      <c r="R467" s="6"/>
      <c r="S467" s="7">
        <f>53606+26374+8270</f>
        <v>88250</v>
      </c>
      <c r="T467" s="6"/>
      <c r="U467" s="243">
        <f t="shared" ref="U467" si="183">+S467/K467</f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ref="K468" si="184">SUM(E468:I468)</f>
        <v>3481692</v>
      </c>
      <c r="L468" s="6"/>
      <c r="M468" s="438">
        <f t="shared" ref="M468" si="185">+(K468-K467)/K467</f>
        <v>1.2265656305969239E-4</v>
      </c>
      <c r="N468" s="29"/>
      <c r="O468" s="29"/>
      <c r="P468" s="29"/>
      <c r="Q468" s="332">
        <f t="shared" ref="Q468" si="186">+K468-K467</f>
        <v>427</v>
      </c>
      <c r="R468" s="6"/>
      <c r="S468" s="7">
        <f>53606+26374+8270</f>
        <v>88250</v>
      </c>
      <c r="T468" s="6"/>
      <c r="U468" s="243">
        <f t="shared" ref="U468" si="187">+S468/K468</f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ref="K469" si="188">SUM(E469:I469)</f>
        <v>3482000</v>
      </c>
      <c r="L469" s="6"/>
      <c r="M469" s="438">
        <f t="shared" ref="M469" si="189">+(K469-K468)/K468</f>
        <v>8.8462735934137775E-5</v>
      </c>
      <c r="N469" s="29"/>
      <c r="O469" s="29"/>
      <c r="P469" s="29"/>
      <c r="Q469" s="332">
        <f t="shared" ref="Q469" si="190">+K469-K468</f>
        <v>308</v>
      </c>
      <c r="R469" s="6"/>
      <c r="S469" s="7">
        <f>53632+26392+8271</f>
        <v>88295</v>
      </c>
      <c r="T469" s="6"/>
      <c r="U469" s="243">
        <f t="shared" ref="U469" si="191">+S469/K469</f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ref="K470:K472" si="192">SUM(E470:I470)</f>
        <v>3482350</v>
      </c>
      <c r="L470" s="6"/>
      <c r="M470" s="438">
        <f t="shared" ref="M470:M472" si="193">+(K470-K469)/K469</f>
        <v>1.0051694428489374E-4</v>
      </c>
      <c r="N470" s="29"/>
      <c r="O470" s="29"/>
      <c r="P470" s="29"/>
      <c r="Q470" s="332">
        <f t="shared" ref="Q470:Q472" si="194">+K470-K469</f>
        <v>350</v>
      </c>
      <c r="R470" s="6"/>
      <c r="S470" s="7">
        <f t="shared" ref="S470:S471" si="195">53632+26392+8271</f>
        <v>88295</v>
      </c>
      <c r="T470" s="6"/>
      <c r="U470" s="243">
        <f t="shared" ref="U470:U472" si="196">+S470/K470</f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192"/>
        <v>3482744</v>
      </c>
      <c r="L471" s="6"/>
      <c r="M471" s="438">
        <f t="shared" si="193"/>
        <v>1.1314198745100292E-4</v>
      </c>
      <c r="N471" s="29"/>
      <c r="O471" s="29"/>
      <c r="P471" s="29"/>
      <c r="Q471" s="332">
        <f t="shared" si="194"/>
        <v>394</v>
      </c>
      <c r="R471" s="6"/>
      <c r="S471" s="7">
        <f t="shared" si="195"/>
        <v>88295</v>
      </c>
      <c r="T471" s="6"/>
      <c r="U471" s="243">
        <f t="shared" si="196"/>
        <v>2.53521361317398E-2</v>
      </c>
      <c r="W471">
        <f t="shared" ref="W471" si="197"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192"/>
        <v>3484133</v>
      </c>
      <c r="L472" s="6"/>
      <c r="M472" s="438">
        <f t="shared" si="193"/>
        <v>3.9882345644698549E-4</v>
      </c>
      <c r="N472" s="29"/>
      <c r="O472" s="29"/>
      <c r="P472" s="29"/>
      <c r="Q472" s="332">
        <f t="shared" si="194"/>
        <v>1389</v>
      </c>
      <c r="R472" s="6"/>
      <c r="S472" s="7">
        <f>53635+26416+8274</f>
        <v>88325</v>
      </c>
      <c r="T472" s="6"/>
      <c r="U472" s="243">
        <f t="shared" si="196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" si="198">SUM(E473:I473)</f>
        <v>3485198</v>
      </c>
      <c r="L473" s="6"/>
      <c r="M473" s="438">
        <f t="shared" ref="M473" si="199">+(K473-K472)/K472</f>
        <v>3.0567145398869677E-4</v>
      </c>
      <c r="N473" s="29"/>
      <c r="O473" s="29"/>
      <c r="P473" s="29"/>
      <c r="Q473" s="332">
        <f t="shared" ref="Q473" si="200">+K473-K472</f>
        <v>1065</v>
      </c>
      <c r="R473" s="6"/>
      <c r="S473" s="7">
        <f>53646+26434+8275</f>
        <v>88355</v>
      </c>
      <c r="T473" s="6"/>
      <c r="U473" s="243">
        <f t="shared" ref="U473" si="201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ref="K474" si="202">SUM(E474:I474)</f>
        <v>3485670</v>
      </c>
      <c r="L474" s="6"/>
      <c r="M474" s="438">
        <f t="shared" ref="M474" si="203">+(K474-K473)/K473</f>
        <v>1.3542989523120352E-4</v>
      </c>
      <c r="N474" s="29"/>
      <c r="O474" s="29"/>
      <c r="P474" s="29"/>
      <c r="Q474" s="332">
        <f t="shared" ref="Q474" si="204">+K474-K473</f>
        <v>472</v>
      </c>
      <c r="R474" s="6"/>
      <c r="S474" s="7">
        <f>53664+26437+8275</f>
        <v>88376</v>
      </c>
      <c r="T474" s="6"/>
      <c r="U474" s="243">
        <f t="shared" ref="U474" si="205">+S474/K474</f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ref="K475" si="206">SUM(E475:I475)</f>
        <v>3486073</v>
      </c>
      <c r="L475" s="6"/>
      <c r="M475" s="438">
        <f t="shared" ref="M475" si="207">+(K475-K474)/K474</f>
        <v>1.1561622299299705E-4</v>
      </c>
      <c r="N475" s="29"/>
      <c r="O475" s="29"/>
      <c r="P475" s="29"/>
      <c r="Q475" s="332">
        <f t="shared" ref="Q475" si="208">+K475-K474</f>
        <v>403</v>
      </c>
      <c r="R475" s="6"/>
      <c r="S475" s="7">
        <f>53664+26437+8275</f>
        <v>88376</v>
      </c>
      <c r="T475" s="6"/>
      <c r="U475" s="243">
        <f t="shared" ref="U475" si="209">+S475/K475</f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ref="K476:K477" si="210">SUM(E476:I476)</f>
        <v>3486523</v>
      </c>
      <c r="L476" s="6"/>
      <c r="M476" s="438">
        <f t="shared" ref="M476:M477" si="211">+(K476-K475)/K475</f>
        <v>1.2908507653167331E-4</v>
      </c>
      <c r="N476" s="29"/>
      <c r="O476" s="29"/>
      <c r="P476" s="29"/>
      <c r="Q476" s="332">
        <f t="shared" ref="Q476:Q477" si="212">+K476-K475</f>
        <v>450</v>
      </c>
      <c r="R476" s="6"/>
      <c r="S476" s="7">
        <f t="shared" ref="S476" si="213">53664+26437+8275</f>
        <v>88376</v>
      </c>
      <c r="T476" s="6"/>
      <c r="U476" s="243">
        <f t="shared" ref="U476:U477" si="214">+S476/K476</f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210"/>
        <v>3487187</v>
      </c>
      <c r="L477" s="6"/>
      <c r="M477" s="438">
        <f t="shared" si="211"/>
        <v>1.9044761787029657E-4</v>
      </c>
      <c r="N477" s="29"/>
      <c r="O477" s="29"/>
      <c r="P477" s="29"/>
      <c r="Q477" s="332">
        <f t="shared" si="212"/>
        <v>664</v>
      </c>
      <c r="R477" s="6"/>
      <c r="S477" s="7">
        <f>53676+26444+8276</f>
        <v>88396</v>
      </c>
      <c r="T477" s="6"/>
      <c r="U477" s="243">
        <f t="shared" si="214"/>
        <v>2.534879832942713E-2</v>
      </c>
      <c r="W477">
        <f t="shared" ref="W477:W496" si="215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ref="K478" si="216">SUM(E478:I478)</f>
        <v>3487733</v>
      </c>
      <c r="L478" s="6"/>
      <c r="M478" s="438">
        <f t="shared" ref="M478" si="217">+(K478-K477)/K477</f>
        <v>1.5657319208863763E-4</v>
      </c>
      <c r="N478" s="29"/>
      <c r="O478" s="29"/>
      <c r="P478" s="29"/>
      <c r="Q478" s="332">
        <f t="shared" ref="Q478" si="218">+K478-K477</f>
        <v>546</v>
      </c>
      <c r="R478" s="6"/>
      <c r="S478" s="7">
        <f>53679+26457+8278</f>
        <v>88414</v>
      </c>
      <c r="T478" s="6"/>
      <c r="U478" s="243">
        <f t="shared" ref="U478" si="219">+S478/K478</f>
        <v>2.5349990954009381E-2</v>
      </c>
      <c r="W478">
        <f t="shared" si="215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ref="K479" si="220">SUM(E479:I479)</f>
        <v>3488377</v>
      </c>
      <c r="L479" s="6"/>
      <c r="M479" s="438">
        <f t="shared" ref="M479" si="221">+(K479-K478)/K478</f>
        <v>1.8464716192437896E-4</v>
      </c>
      <c r="N479" s="29"/>
      <c r="O479" s="29"/>
      <c r="P479" s="29"/>
      <c r="Q479" s="332">
        <f t="shared" ref="Q479" si="222">+K479-K478</f>
        <v>644</v>
      </c>
      <c r="R479" s="6"/>
      <c r="S479" s="7">
        <f>53690+26462+8279</f>
        <v>88431</v>
      </c>
      <c r="T479" s="6"/>
      <c r="U479" s="243">
        <f t="shared" ref="U479" si="223">+S479/K479</f>
        <v>2.5350184340740694E-2</v>
      </c>
      <c r="W479">
        <f t="shared" si="215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ref="K480" si="224">SUM(E480:I480)</f>
        <v>3489279</v>
      </c>
      <c r="L480" s="6"/>
      <c r="M480" s="438">
        <f t="shared" ref="M480" si="225">+(K480-K479)/K479</f>
        <v>2.5857296960735609E-4</v>
      </c>
      <c r="N480" s="29"/>
      <c r="O480" s="29"/>
      <c r="P480" s="29"/>
      <c r="Q480" s="332">
        <f t="shared" ref="Q480" si="226">+K480-K479</f>
        <v>902</v>
      </c>
      <c r="R480" s="6"/>
      <c r="S480" s="7">
        <f>53692+26467+8279</f>
        <v>88438</v>
      </c>
      <c r="T480" s="6"/>
      <c r="U480" s="243">
        <f t="shared" ref="U480" si="227">+S480/K480</f>
        <v>2.5345637307879365E-2</v>
      </c>
      <c r="W480">
        <f t="shared" si="215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ref="K481" si="228">SUM(E481:I481)</f>
        <v>3489755</v>
      </c>
      <c r="L481" s="6"/>
      <c r="M481" s="438">
        <f t="shared" ref="M481" si="229">+(K481-K480)/K480</f>
        <v>1.3641786741616248E-4</v>
      </c>
      <c r="N481" s="29"/>
      <c r="O481" s="29"/>
      <c r="P481" s="29"/>
      <c r="Q481" s="332">
        <f t="shared" ref="Q481" si="230">+K481-K480</f>
        <v>476</v>
      </c>
      <c r="R481" s="6"/>
      <c r="S481" s="7">
        <f>53692+26472+8279</f>
        <v>88443</v>
      </c>
      <c r="T481" s="6"/>
      <c r="U481" s="243">
        <f t="shared" ref="U481" si="231">+S481/K481</f>
        <v>2.5343612947040694E-2</v>
      </c>
      <c r="W481">
        <f t="shared" si="215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ref="K482" si="232">SUM(E482:I482)</f>
        <v>3490217</v>
      </c>
      <c r="L482" s="6"/>
      <c r="M482" s="438">
        <f t="shared" ref="M482" si="233">+(K482-K481)/K481</f>
        <v>1.3238751717527448E-4</v>
      </c>
      <c r="N482" s="29"/>
      <c r="O482" s="29"/>
      <c r="P482" s="29"/>
      <c r="Q482" s="332">
        <f t="shared" ref="Q482" si="234">+K482-K481</f>
        <v>462</v>
      </c>
      <c r="R482" s="6"/>
      <c r="S482" s="7">
        <f>53701+26473+8279</f>
        <v>88453</v>
      </c>
      <c r="T482" s="6"/>
      <c r="U482" s="243">
        <f t="shared" ref="U482" si="235">+S482/K482</f>
        <v>2.5343123364535786E-2</v>
      </c>
      <c r="W482">
        <f t="shared" si="215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ref="K483" si="236">SUM(E483:I483)</f>
        <v>3490675</v>
      </c>
      <c r="L483" s="6"/>
      <c r="M483" s="438">
        <f t="shared" ref="M483" si="237">+(K483-K482)/K482</f>
        <v>1.3122393249474174E-4</v>
      </c>
      <c r="N483" s="29"/>
      <c r="O483" s="29"/>
      <c r="P483" s="29"/>
      <c r="Q483" s="332">
        <f t="shared" ref="Q483" si="238">+K483-K482</f>
        <v>458</v>
      </c>
      <c r="R483" s="6"/>
      <c r="S483" s="7">
        <f>53705+26477+8279</f>
        <v>88461</v>
      </c>
      <c r="T483" s="6"/>
      <c r="U483" s="243">
        <f t="shared" ref="U483" si="239">+S483/K483</f>
        <v>2.5342089996920367E-2</v>
      </c>
      <c r="W483">
        <f t="shared" si="215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ref="K484" si="240">SUM(E484:I484)</f>
        <v>3491302</v>
      </c>
      <c r="L484" s="6"/>
      <c r="M484" s="438">
        <f t="shared" ref="M484" si="241">+(K484-K483)/K483</f>
        <v>1.7962141992594556E-4</v>
      </c>
      <c r="N484" s="29"/>
      <c r="O484" s="29"/>
      <c r="P484" s="29"/>
      <c r="Q484" s="332">
        <f t="shared" ref="Q484" si="242">+K484-K483</f>
        <v>627</v>
      </c>
      <c r="R484" s="6"/>
      <c r="S484" s="7">
        <f>53711+26477+8279</f>
        <v>88467</v>
      </c>
      <c r="T484" s="6"/>
      <c r="U484" s="243">
        <f t="shared" ref="U484" si="243">+S484/K484</f>
        <v>2.5339257388790771E-2</v>
      </c>
      <c r="W484">
        <f t="shared" si="215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ref="K485" si="244">SUM(E485:I485)</f>
        <v>3492040</v>
      </c>
      <c r="L485" s="6"/>
      <c r="M485" s="438">
        <f t="shared" ref="M485" si="245">+(K485-K484)/K484</f>
        <v>2.1138245846391977E-4</v>
      </c>
      <c r="N485" s="29"/>
      <c r="O485" s="29"/>
      <c r="P485" s="29"/>
      <c r="Q485" s="332">
        <f t="shared" ref="Q485" si="246">+K485-K484</f>
        <v>738</v>
      </c>
      <c r="R485" s="6"/>
      <c r="S485" s="7">
        <f>53717+26490+8278</f>
        <v>88485</v>
      </c>
      <c r="T485" s="6"/>
      <c r="U485" s="243">
        <f t="shared" ref="U485" si="247">+S485/K485</f>
        <v>2.5339056826382288E-2</v>
      </c>
      <c r="W485">
        <f t="shared" si="215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ref="K486" si="248">SUM(E486:I486)</f>
        <v>3493093</v>
      </c>
      <c r="L486" s="6"/>
      <c r="M486" s="438">
        <f t="shared" ref="M486" si="249">+(K486-K485)/K485</f>
        <v>3.0154293765248964E-4</v>
      </c>
      <c r="N486" s="29"/>
      <c r="O486" s="29"/>
      <c r="P486" s="29"/>
      <c r="Q486" s="332">
        <f t="shared" ref="Q486" si="250">+K486-K485</f>
        <v>1053</v>
      </c>
      <c r="R486" s="6"/>
      <c r="S486" s="7">
        <f>53721+26493+8279</f>
        <v>88493</v>
      </c>
      <c r="T486" s="6"/>
      <c r="U486" s="243">
        <f t="shared" ref="U486" si="251">+S486/K486</f>
        <v>2.5333708549987073E-2</v>
      </c>
      <c r="W486">
        <f t="shared" si="215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ref="K487" si="252">SUM(E487:I487)</f>
        <v>3494406</v>
      </c>
      <c r="L487" s="6"/>
      <c r="M487" s="438">
        <f t="shared" ref="M487" si="253">+(K487-K486)/K486</f>
        <v>3.7588463862828729E-4</v>
      </c>
      <c r="N487" s="29"/>
      <c r="O487" s="29"/>
      <c r="P487" s="29"/>
      <c r="Q487" s="332">
        <f t="shared" ref="Q487" si="254">+K487-K486</f>
        <v>1313</v>
      </c>
      <c r="R487" s="6"/>
      <c r="S487" s="7">
        <f>53726+26496+8279</f>
        <v>88501</v>
      </c>
      <c r="T487" s="6"/>
      <c r="U487" s="243">
        <f t="shared" ref="U487" si="255">+S487/K487</f>
        <v>2.5326478949498139E-2</v>
      </c>
      <c r="W487">
        <f t="shared" si="215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ref="K488" si="256">SUM(E488:I488)</f>
        <v>3495549</v>
      </c>
      <c r="L488" s="6"/>
      <c r="M488" s="438">
        <f t="shared" ref="M488" si="257">+(K488-K487)/K487</f>
        <v>3.2709421858822358E-4</v>
      </c>
      <c r="N488" s="29"/>
      <c r="O488" s="29"/>
      <c r="P488" s="29"/>
      <c r="Q488" s="332">
        <f t="shared" ref="Q488" si="258">+K488-K487</f>
        <v>1143</v>
      </c>
      <c r="R488" s="6"/>
      <c r="S488" s="7">
        <f>53733+26501+8279</f>
        <v>88513</v>
      </c>
      <c r="T488" s="6"/>
      <c r="U488" s="243">
        <f t="shared" ref="U488" si="259">+S488/K488</f>
        <v>2.5321630450610189E-2</v>
      </c>
      <c r="W488">
        <f t="shared" si="215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ref="K489" si="260">SUM(E489:I489)</f>
        <v>3496526</v>
      </c>
      <c r="L489" s="6"/>
      <c r="M489" s="438">
        <f t="shared" ref="M489" si="261">+(K489-K488)/K488</f>
        <v>2.7949829912268429E-4</v>
      </c>
      <c r="N489" s="29"/>
      <c r="O489" s="29"/>
      <c r="P489" s="29"/>
      <c r="Q489" s="332">
        <f t="shared" ref="Q489" si="262">+K489-K488</f>
        <v>977</v>
      </c>
      <c r="R489" s="6"/>
      <c r="S489" s="7">
        <f>53735+26505+8279</f>
        <v>88519</v>
      </c>
      <c r="T489" s="6"/>
      <c r="U489" s="243">
        <f t="shared" ref="U489" si="263">+S489/K489</f>
        <v>2.531627106447943E-2</v>
      </c>
      <c r="W489">
        <f t="shared" si="215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ref="K490" si="264">SUM(E490:I490)</f>
        <v>3497444</v>
      </c>
      <c r="L490" s="6"/>
      <c r="M490" s="438">
        <f t="shared" ref="M490" si="265">+(K490-K489)/K489</f>
        <v>2.6254631025194724E-4</v>
      </c>
      <c r="N490" s="29"/>
      <c r="O490" s="29"/>
      <c r="P490" s="29"/>
      <c r="Q490" s="332">
        <f t="shared" ref="Q490" si="266">+K490-K489</f>
        <v>918</v>
      </c>
      <c r="R490" s="6"/>
      <c r="S490" s="7">
        <f>53737+26509+8279</f>
        <v>88525</v>
      </c>
      <c r="T490" s="6"/>
      <c r="U490" s="243">
        <f t="shared" ref="U490" si="267">+S490/K490</f>
        <v>2.531134165407652E-2</v>
      </c>
      <c r="W490">
        <f t="shared" si="215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ref="K491" si="268">SUM(E491:I491)</f>
        <v>3498655</v>
      </c>
      <c r="L491" s="6"/>
      <c r="M491" s="438">
        <f t="shared" ref="M491" si="269">+(K491-K490)/K490</f>
        <v>3.4625286351975903E-4</v>
      </c>
      <c r="N491" s="29"/>
      <c r="O491" s="29"/>
      <c r="P491" s="29"/>
      <c r="Q491" s="332">
        <f t="shared" ref="Q491" si="270">+K491-K490</f>
        <v>1211</v>
      </c>
      <c r="R491" s="6"/>
      <c r="S491" s="7">
        <f>53743+26516+8279</f>
        <v>88538</v>
      </c>
      <c r="T491" s="6"/>
      <c r="U491" s="243">
        <f t="shared" ref="U491" si="271">+S491/K491</f>
        <v>2.5306296276712052E-2</v>
      </c>
      <c r="W491">
        <f t="shared" si="215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ref="K492" si="272">SUM(E492:I492)</f>
        <v>3499902</v>
      </c>
      <c r="L492" s="6"/>
      <c r="M492" s="438">
        <f t="shared" ref="M492" si="273">+(K492-K491)/K491</f>
        <v>3.5642268243081982E-4</v>
      </c>
      <c r="N492" s="29"/>
      <c r="O492" s="29"/>
      <c r="P492" s="29"/>
      <c r="Q492" s="332">
        <f t="shared" ref="Q492" si="274">+K492-K491</f>
        <v>1247</v>
      </c>
      <c r="R492" s="6"/>
      <c r="S492" s="7">
        <f>53754+26527+8279</f>
        <v>88560</v>
      </c>
      <c r="T492" s="6"/>
      <c r="U492" s="243">
        <f t="shared" ref="U492" si="275">+S492/K492</f>
        <v>2.5303565642695137E-2</v>
      </c>
      <c r="W492">
        <f t="shared" si="215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ref="K493" si="276">SUM(E493:I493)</f>
        <v>3501448</v>
      </c>
      <c r="L493" s="6"/>
      <c r="M493" s="438">
        <f t="shared" ref="M493" si="277">+(K493-K492)/K492</f>
        <v>4.4172665406059939E-4</v>
      </c>
      <c r="N493" s="29"/>
      <c r="O493" s="29"/>
      <c r="P493" s="29"/>
      <c r="Q493" s="332">
        <f t="shared" ref="Q493" si="278">+K493-K492</f>
        <v>1546</v>
      </c>
      <c r="R493" s="6"/>
      <c r="S493" s="7">
        <f>53759+26529+8282</f>
        <v>88570</v>
      </c>
      <c r="T493" s="6"/>
      <c r="U493" s="243">
        <f t="shared" ref="U493" si="279">+S493/K493</f>
        <v>2.529524927972656E-2</v>
      </c>
      <c r="W493">
        <f t="shared" si="215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ref="K494" si="280">SUM(E494:I494)</f>
        <v>3502797</v>
      </c>
      <c r="L494" s="6"/>
      <c r="M494" s="438">
        <f t="shared" ref="M494" si="281">+(K494-K493)/K493</f>
        <v>3.8526918006493311E-4</v>
      </c>
      <c r="N494" s="29"/>
      <c r="O494" s="29"/>
      <c r="P494" s="29"/>
      <c r="Q494" s="332">
        <f t="shared" ref="Q494" si="282">+K494-K493</f>
        <v>1349</v>
      </c>
      <c r="R494" s="6"/>
      <c r="S494" s="7">
        <f>53760+26531+8282</f>
        <v>88573</v>
      </c>
      <c r="T494" s="6"/>
      <c r="U494" s="243">
        <f t="shared" ref="U494" si="283">+S494/K494</f>
        <v>2.5286364011388614E-2</v>
      </c>
      <c r="W494">
        <f t="shared" si="215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ref="K495" si="284">SUM(E495:I495)</f>
        <v>3504713</v>
      </c>
      <c r="L495" s="6"/>
      <c r="M495" s="438">
        <f t="shared" ref="M495" si="285">+(K495-K494)/K494</f>
        <v>5.4699144712068665E-4</v>
      </c>
      <c r="N495" s="29"/>
      <c r="O495" s="29"/>
      <c r="P495" s="29"/>
      <c r="Q495" s="332">
        <f t="shared" ref="Q495" si="286">+K495-K494</f>
        <v>1916</v>
      </c>
      <c r="R495" s="6"/>
      <c r="S495" s="7">
        <f>53765+26536+8282</f>
        <v>88583</v>
      </c>
      <c r="T495" s="6"/>
      <c r="U495" s="243">
        <f t="shared" ref="U495" si="287">+S495/K495</f>
        <v>2.5275393448764564E-2</v>
      </c>
      <c r="W495">
        <f t="shared" si="215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ref="K496" si="288">SUM(E496:I496)</f>
        <v>3506286</v>
      </c>
      <c r="L496" s="6"/>
      <c r="M496" s="438">
        <f t="shared" ref="M496" si="289">+(K496-K495)/K495</f>
        <v>4.488241975876484E-4</v>
      </c>
      <c r="N496" s="29"/>
      <c r="O496" s="29"/>
      <c r="P496" s="29"/>
      <c r="Q496" s="332">
        <f t="shared" ref="Q496" si="290">+K496-K495</f>
        <v>1573</v>
      </c>
      <c r="R496" s="6"/>
      <c r="S496" s="7">
        <f>53775+8282+26539</f>
        <v>88596</v>
      </c>
      <c r="T496" s="6"/>
      <c r="U496" s="243">
        <f t="shared" ref="U496" si="291">+S496/K496</f>
        <v>2.5267761956668681E-2</v>
      </c>
      <c r="W496">
        <f t="shared" si="215"/>
        <v>486</v>
      </c>
      <c r="Y496" s="56"/>
    </row>
    <row r="497" spans="3:41" x14ac:dyDescent="0.3">
      <c r="C497" s="157">
        <f t="shared" si="75"/>
        <v>44396</v>
      </c>
      <c r="E497" s="241"/>
      <c r="F497" s="7"/>
      <c r="G497" s="7"/>
      <c r="H497" s="7"/>
      <c r="I497" s="7"/>
      <c r="J497" s="244"/>
      <c r="K497" s="7"/>
      <c r="L497" s="6"/>
      <c r="M497" s="438"/>
      <c r="N497" s="29"/>
      <c r="O497" s="29"/>
      <c r="P497" s="29"/>
      <c r="Q497" s="332"/>
      <c r="R497" s="6"/>
      <c r="S497" s="7"/>
      <c r="T497" s="6"/>
      <c r="U497" s="243"/>
      <c r="Y497" s="56"/>
    </row>
    <row r="498" spans="3:41" x14ac:dyDescent="0.3">
      <c r="C498" s="157">
        <f t="shared" si="75"/>
        <v>44397</v>
      </c>
      <c r="E498" s="241"/>
      <c r="F498" s="7"/>
      <c r="G498" s="7"/>
      <c r="H498" s="7"/>
      <c r="I498" s="7"/>
      <c r="J498" s="244"/>
      <c r="K498" s="7"/>
      <c r="L498" s="6"/>
      <c r="M498" s="438"/>
      <c r="N498" s="29"/>
      <c r="O498" s="29"/>
      <c r="P498" s="29"/>
      <c r="Q498" s="332"/>
      <c r="R498" s="6"/>
      <c r="S498" s="7"/>
      <c r="T498" s="6"/>
      <c r="U498" s="243"/>
      <c r="Y498" s="56"/>
    </row>
    <row r="499" spans="3:41" x14ac:dyDescent="0.3">
      <c r="C499" s="157">
        <f t="shared" si="75"/>
        <v>44398</v>
      </c>
      <c r="E499" s="241"/>
      <c r="F499" s="7"/>
      <c r="G499" s="7"/>
      <c r="H499" s="7"/>
      <c r="I499" s="7"/>
      <c r="J499" s="244"/>
      <c r="K499" s="7"/>
      <c r="L499" s="6"/>
      <c r="M499" s="438"/>
      <c r="N499" s="29"/>
      <c r="O499" s="29"/>
      <c r="P499" s="29"/>
      <c r="Q499" s="332"/>
      <c r="R499" s="6"/>
      <c r="S499" s="7"/>
      <c r="T499" s="6"/>
      <c r="U499" s="243"/>
      <c r="Y499" s="56"/>
    </row>
    <row r="500" spans="3:41" ht="15" thickBot="1" x14ac:dyDescent="0.35">
      <c r="C500" s="157">
        <f t="shared" si="75"/>
        <v>44399</v>
      </c>
      <c r="E500" s="245"/>
      <c r="F500" s="246"/>
      <c r="G500" s="246"/>
      <c r="H500" s="246"/>
      <c r="I500" s="246"/>
      <c r="J500" s="246"/>
      <c r="K500" s="246"/>
      <c r="L500" s="247"/>
      <c r="M500" s="248"/>
      <c r="N500" s="248"/>
      <c r="O500" s="248"/>
      <c r="P500" s="248"/>
      <c r="Q500" s="331"/>
      <c r="R500" s="247"/>
      <c r="S500" s="247"/>
      <c r="T500" s="247"/>
      <c r="U500" s="249"/>
      <c r="W500">
        <f>+W405+1</f>
        <v>396</v>
      </c>
      <c r="Y500" s="59"/>
    </row>
    <row r="501" spans="3:41" x14ac:dyDescent="0.3">
      <c r="E501" s="56"/>
      <c r="F501" s="1"/>
      <c r="G501" s="56"/>
      <c r="H501" s="56"/>
      <c r="I501" s="56"/>
      <c r="J501" s="1"/>
      <c r="K501" s="56"/>
      <c r="S501" s="56"/>
    </row>
    <row r="502" spans="3:41" x14ac:dyDescent="0.3">
      <c r="C502" s="166" t="s">
        <v>73</v>
      </c>
      <c r="E502" s="56">
        <f>+E496</f>
        <v>2126680</v>
      </c>
      <c r="F502" s="56"/>
      <c r="G502" s="56">
        <f t="shared" ref="G502:U502" si="292">+G496</f>
        <v>1028931</v>
      </c>
      <c r="H502" s="56">
        <f t="shared" si="292"/>
        <v>0</v>
      </c>
      <c r="I502" s="56">
        <f t="shared" si="292"/>
        <v>350675</v>
      </c>
      <c r="J502" s="56">
        <f t="shared" si="292"/>
        <v>0</v>
      </c>
      <c r="K502" s="56">
        <f t="shared" si="292"/>
        <v>3506286</v>
      </c>
      <c r="L502" s="56">
        <f t="shared" si="292"/>
        <v>0</v>
      </c>
      <c r="M502" s="56">
        <f t="shared" si="292"/>
        <v>4.488241975876484E-4</v>
      </c>
      <c r="N502" s="56">
        <f t="shared" si="292"/>
        <v>0</v>
      </c>
      <c r="O502" s="56">
        <f t="shared" si="292"/>
        <v>0</v>
      </c>
      <c r="P502" s="56">
        <f t="shared" si="292"/>
        <v>0</v>
      </c>
      <c r="Q502" s="56">
        <f t="shared" si="292"/>
        <v>1573</v>
      </c>
      <c r="R502" s="56">
        <f t="shared" si="292"/>
        <v>0</v>
      </c>
      <c r="S502" s="56">
        <f t="shared" si="292"/>
        <v>88596</v>
      </c>
      <c r="T502" s="56">
        <f t="shared" si="292"/>
        <v>0</v>
      </c>
      <c r="U502" s="56">
        <f t="shared" si="292"/>
        <v>2.5267761956668681E-2</v>
      </c>
      <c r="V502" s="56">
        <f>+V259</f>
        <v>0</v>
      </c>
    </row>
    <row r="503" spans="3:41" x14ac:dyDescent="0.3">
      <c r="E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</row>
    <row r="504" spans="3:41" x14ac:dyDescent="0.3">
      <c r="E504" s="59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</row>
    <row r="505" spans="3:41" x14ac:dyDescent="0.3">
      <c r="C505" s="111"/>
      <c r="D505" s="112"/>
      <c r="E505" s="349"/>
      <c r="F505" s="10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</row>
    <row r="506" spans="3:41" x14ac:dyDescent="0.3">
      <c r="E506" s="56"/>
      <c r="K506" s="56"/>
      <c r="Q506" s="56"/>
    </row>
    <row r="507" spans="3:41" x14ac:dyDescent="0.3">
      <c r="D507" s="549" t="s">
        <v>26</v>
      </c>
      <c r="E507" t="s">
        <v>158</v>
      </c>
      <c r="K507" s="549"/>
      <c r="Q507" s="56"/>
      <c r="S507" s="59"/>
    </row>
    <row r="509" spans="3:41" x14ac:dyDescent="0.3">
      <c r="U509" s="549"/>
    </row>
    <row r="510" spans="3:41" x14ac:dyDescent="0.3">
      <c r="AO510" s="1">
        <v>3797000</v>
      </c>
    </row>
    <row r="511" spans="3:41" x14ac:dyDescent="0.3">
      <c r="C511" s="1"/>
    </row>
    <row r="512" spans="3:41" x14ac:dyDescent="0.3">
      <c r="C512" s="1"/>
      <c r="AO512" s="1">
        <v>30000</v>
      </c>
    </row>
    <row r="513" spans="3:41" x14ac:dyDescent="0.3">
      <c r="C513" s="59"/>
    </row>
    <row r="514" spans="3:41" x14ac:dyDescent="0.3">
      <c r="AO514" s="235">
        <f>+AO512/AO510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489"/>
  <sheetViews>
    <sheetView topLeftCell="A429" workbookViewId="0">
      <selection activeCell="P455" sqref="P455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07" t="s">
        <v>101</v>
      </c>
      <c r="U3" s="708"/>
      <c r="V3" s="708"/>
      <c r="W3" s="708"/>
      <c r="X3" s="708"/>
      <c r="Y3" s="708"/>
      <c r="Z3" s="708"/>
      <c r="AA3" s="708"/>
      <c r="AB3" s="708"/>
      <c r="AC3" s="708"/>
      <c r="AD3" s="709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6.8262053423902742E-3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10" t="s">
        <v>91</v>
      </c>
      <c r="F15" s="710"/>
      <c r="G15" s="710"/>
      <c r="H15" s="710"/>
      <c r="I15" s="710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16" t="s">
        <v>44</v>
      </c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8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19" t="s">
        <v>67</v>
      </c>
      <c r="F19" s="719"/>
      <c r="G19" s="719"/>
      <c r="H19" s="719"/>
      <c r="I19" s="134" t="s">
        <v>66</v>
      </c>
      <c r="J19" s="135"/>
      <c r="K19" s="724" t="s">
        <v>64</v>
      </c>
      <c r="L19" s="724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Table'!H487</f>
        <v>34163251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Table'!AA502</f>
        <v>608957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9343</v>
      </c>
      <c r="J22" s="116"/>
      <c r="K22" s="127"/>
      <c r="L22" s="238">
        <v>4868</v>
      </c>
      <c r="M22" s="127"/>
      <c r="N22" s="147">
        <f>+(I22-L22)/I22</f>
        <v>0.47896821149523705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33544951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Table'!AP502</f>
        <v>29380533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20" t="s">
        <v>47</v>
      </c>
      <c r="E25" s="721"/>
      <c r="F25" s="721"/>
      <c r="G25" s="721"/>
      <c r="H25" s="721"/>
      <c r="I25" s="119">
        <f>+I23-I24</f>
        <v>4164418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29380533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20" t="s">
        <v>44</v>
      </c>
      <c r="E27" s="721"/>
      <c r="F27" s="721"/>
      <c r="G27" s="721"/>
      <c r="H27" s="721"/>
      <c r="I27" s="136">
        <f>+I25+I26</f>
        <v>33544951</v>
      </c>
      <c r="J27" s="116"/>
      <c r="K27" s="725">
        <v>33533973</v>
      </c>
      <c r="L27" s="725"/>
      <c r="M27" s="127"/>
      <c r="N27" s="137">
        <f>+I27-K27</f>
        <v>10978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22" t="s">
        <v>61</v>
      </c>
      <c r="F28" s="722"/>
      <c r="G28" s="722"/>
      <c r="H28" s="124"/>
      <c r="I28" s="232">
        <f>+I27/I32</f>
        <v>0.97546571467820253</v>
      </c>
      <c r="J28" s="127"/>
      <c r="K28" s="127"/>
      <c r="L28" s="127"/>
      <c r="M28" s="98"/>
      <c r="N28" s="463">
        <f>+N27/K27</f>
        <v>3.2736950077463236E-4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701" t="s">
        <v>101</v>
      </c>
      <c r="F31" s="702"/>
      <c r="G31" s="702"/>
      <c r="H31" s="702"/>
      <c r="I31" s="702"/>
      <c r="J31" s="703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96">
        <f>+'Main Table'!H502</f>
        <v>34388652</v>
      </c>
      <c r="J32" s="696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97">
        <f>+I27</f>
        <v>33544951</v>
      </c>
      <c r="J34" s="698"/>
      <c r="K34" s="22"/>
      <c r="L34" s="25">
        <f>+I34/$I$32</f>
        <v>0.97546571467820253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04">
        <f>+I21</f>
        <v>608957</v>
      </c>
      <c r="J35" s="705"/>
      <c r="K35" s="22"/>
      <c r="L35" s="25">
        <f>+I35/$I$32</f>
        <v>1.7708079979407161E-2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23" t="s">
        <v>101</v>
      </c>
      <c r="F36" s="723"/>
      <c r="G36" s="723"/>
      <c r="H36" s="233"/>
      <c r="I36" s="699">
        <f>+I32-I34-I35</f>
        <v>234744</v>
      </c>
      <c r="J36" s="700"/>
      <c r="K36" s="259"/>
      <c r="L36" s="234">
        <f>+I36/$I$32</f>
        <v>6.8262053423902742E-3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11" t="s">
        <v>114</v>
      </c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3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14" t="s">
        <v>67</v>
      </c>
      <c r="F42" s="714"/>
      <c r="G42" s="714"/>
      <c r="H42" s="714"/>
      <c r="I42" s="260" t="s">
        <v>66</v>
      </c>
      <c r="J42" s="261"/>
      <c r="K42" s="715" t="s">
        <v>35</v>
      </c>
      <c r="L42" s="715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Table'!AP520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0" t="s">
        <v>47</v>
      </c>
      <c r="E48" s="681"/>
      <c r="F48" s="681"/>
      <c r="G48" s="681"/>
      <c r="H48" s="681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0" t="s">
        <v>44</v>
      </c>
      <c r="E50" s="681"/>
      <c r="F50" s="681"/>
      <c r="G50" s="681"/>
      <c r="H50" s="681"/>
      <c r="I50" s="340">
        <f>+I48+I49</f>
        <v>22172</v>
      </c>
      <c r="J50" s="336"/>
      <c r="K50" s="682">
        <v>30167</v>
      </c>
      <c r="L50" s="682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83" t="s">
        <v>61</v>
      </c>
      <c r="F51" s="683"/>
      <c r="G51" s="683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84" t="s">
        <v>115</v>
      </c>
      <c r="F54" s="685"/>
      <c r="G54" s="685"/>
      <c r="H54" s="685"/>
      <c r="I54" s="685"/>
      <c r="J54" s="686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87">
        <f>+K50</f>
        <v>30167</v>
      </c>
      <c r="J55" s="687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88">
        <f>+I50</f>
        <v>22172</v>
      </c>
      <c r="J57" s="689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0">
        <f>+I44</f>
        <v>1836</v>
      </c>
      <c r="J58" s="691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2" t="s">
        <v>101</v>
      </c>
      <c r="F59" s="692"/>
      <c r="G59" s="692"/>
      <c r="H59" s="267"/>
      <c r="I59" s="693">
        <f>+I55-I57-I58</f>
        <v>6159</v>
      </c>
      <c r="J59" s="694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695">
        <f>+I45</f>
        <v>1397</v>
      </c>
      <c r="J60" s="695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93">
        <f>+I59-I60</f>
        <v>4762</v>
      </c>
      <c r="J61" s="693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84" t="s">
        <v>104</v>
      </c>
      <c r="F64" s="685"/>
      <c r="G64" s="685"/>
      <c r="H64" s="685"/>
      <c r="I64" s="685"/>
      <c r="J64" s="685"/>
      <c r="K64" s="685"/>
      <c r="L64" s="685"/>
      <c r="M64" s="686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79">
        <v>11690000</v>
      </c>
      <c r="J65" s="679"/>
      <c r="K65" s="679"/>
      <c r="L65" s="679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06" t="s">
        <v>95</v>
      </c>
      <c r="G67" s="706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54" t="s">
        <v>118</v>
      </c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6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57" t="s">
        <v>67</v>
      </c>
      <c r="F73" s="657"/>
      <c r="G73" s="657"/>
      <c r="H73" s="657"/>
      <c r="I73" s="355" t="s">
        <v>66</v>
      </c>
      <c r="J73" s="356"/>
      <c r="K73" s="658" t="s">
        <v>35</v>
      </c>
      <c r="L73" s="658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Table'!AP561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59" t="s">
        <v>47</v>
      </c>
      <c r="E79" s="660"/>
      <c r="F79" s="660"/>
      <c r="G79" s="660"/>
      <c r="H79" s="660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59" t="s">
        <v>44</v>
      </c>
      <c r="E81" s="660"/>
      <c r="F81" s="660"/>
      <c r="G81" s="660"/>
      <c r="H81" s="660"/>
      <c r="I81" s="370">
        <f>+I79+I80</f>
        <v>36684</v>
      </c>
      <c r="J81" s="363"/>
      <c r="K81" s="662">
        <v>48675</v>
      </c>
      <c r="L81" s="662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61" t="s">
        <v>61</v>
      </c>
      <c r="F82" s="661"/>
      <c r="G82" s="661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6.8262053423902742E-3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6.8262053423902742E-3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6.8262053423902742E-3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6.8262053423902742E-3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5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ref="AA409" si="36">+W408-W409</f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ref="AA410" si="37">+W409-W410</f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ref="AA411" si="38">+W410-W411</f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ref="AA412" si="39">+W411-W412</f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ref="AA413" si="40">+W412-W413</f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ref="AA414" si="41">+W413-W414</f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ref="AA415" si="42">+W414-W415</f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ref="AA416" si="43">+W415-W416</f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ref="AA417" si="44">+W416-W417</f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ref="AA418" si="45">+W417-W418</f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ref="AA419" si="46">+W418-W419</f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ref="AA420" si="47">+W419-W420</f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ref="AA421" si="48">+W420-W421</f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ref="AA422" si="49">+W421-W422</f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ref="AA423" si="50">+W422-W423</f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ref="AA424" si="51">+W423-W424</f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ref="AA425" si="52">+W424-W425</f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ref="AA426" si="53">+W425-W426</f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" si="54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ref="AA428" si="55">+W427-W428</f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ref="AA429" si="56">+W428-W429</f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ref="AA430" si="57">+W429-W430</f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ref="AA431" si="58">+W430-W431</f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ref="AA432" si="59">+W431-W432</f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ref="AA433" si="60">+W432-W433</f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ref="AA434" si="61">+W433-W434</f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ref="AA435" si="62">+W434-W435</f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ref="AA436" si="63">+W435-W436</f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ref="AA437" si="64">+W436-W437</f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ref="AA438" si="65">+W437-W438</f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ref="AA439" si="66">+W438-W439</f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ref="AA440" si="67">+W439-W440</f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ref="AA441" si="68">+W440-W441</f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ref="AA442" si="69">+W441-W442</f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ref="AA443" si="70">+W442-W443</f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ref="AA444" si="71">+W443-W444</f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ref="AA445" si="72">+W444-W445</f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ref="AA446" si="73">+W445-W446</f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ref="AA447" si="74">+W446-W447</f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ref="AA448" si="75">+W447-W448</f>
        <v>-21296</v>
      </c>
      <c r="AB448" s="6"/>
      <c r="AC448" s="258"/>
      <c r="AD448" s="251"/>
      <c r="AE448" s="61"/>
    </row>
    <row r="449" spans="5:36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ref="AA449" si="76">+W448-W449</f>
        <v>2164</v>
      </c>
      <c r="AB449" s="6"/>
      <c r="AC449" s="258"/>
      <c r="AD449" s="251"/>
      <c r="AE449" s="61"/>
    </row>
    <row r="450" spans="5:36" x14ac:dyDescent="0.3">
      <c r="O450" s="98"/>
      <c r="T450" s="250"/>
      <c r="U450" s="573">
        <f t="shared" si="21"/>
        <v>44395</v>
      </c>
      <c r="V450" s="6"/>
      <c r="W450" s="253">
        <f>+I$36</f>
        <v>234744</v>
      </c>
      <c r="X450" s="6"/>
      <c r="Y450" s="44">
        <v>3.0000000000000001E-3</v>
      </c>
      <c r="Z450" s="6"/>
      <c r="AA450" s="254">
        <f t="shared" ref="AA450" si="77">+W449-W450</f>
        <v>-11218</v>
      </c>
      <c r="AB450" s="6"/>
      <c r="AC450" s="258"/>
      <c r="AD450" s="251"/>
      <c r="AE450" s="61"/>
    </row>
    <row r="451" spans="5:36" x14ac:dyDescent="0.3">
      <c r="O451" s="98"/>
      <c r="T451" s="250"/>
      <c r="U451" s="252">
        <f t="shared" si="21"/>
        <v>44396</v>
      </c>
      <c r="V451" s="6"/>
      <c r="W451" s="253"/>
      <c r="X451" s="6"/>
      <c r="Y451" s="44"/>
      <c r="Z451" s="6"/>
      <c r="AA451" s="254"/>
      <c r="AB451" s="6"/>
      <c r="AC451" s="258"/>
      <c r="AD451" s="251"/>
      <c r="AE451" s="61"/>
    </row>
    <row r="452" spans="5:36" x14ac:dyDescent="0.3">
      <c r="O452" s="98"/>
      <c r="T452" s="250"/>
      <c r="U452" s="252">
        <f t="shared" si="21"/>
        <v>44397</v>
      </c>
      <c r="V452" s="6"/>
      <c r="W452" s="253"/>
      <c r="X452" s="6"/>
      <c r="Y452" s="44"/>
      <c r="Z452" s="6"/>
      <c r="AA452" s="254"/>
      <c r="AB452" s="6"/>
      <c r="AC452" s="258"/>
      <c r="AD452" s="251"/>
    </row>
    <row r="453" spans="5:36" ht="15" thickBot="1" x14ac:dyDescent="0.35">
      <c r="O453" s="98"/>
      <c r="T453" s="255"/>
      <c r="U453" s="350">
        <f t="shared" si="21"/>
        <v>44398</v>
      </c>
      <c r="V453" s="247"/>
      <c r="W453" s="351"/>
      <c r="X453" s="247"/>
      <c r="Y453" s="256"/>
      <c r="Z453" s="247"/>
      <c r="AA453" s="352"/>
      <c r="AB453" s="247"/>
      <c r="AC453" s="353"/>
      <c r="AD453" s="257"/>
    </row>
    <row r="454" spans="5:36" x14ac:dyDescent="0.3">
      <c r="O454" s="98"/>
    </row>
    <row r="455" spans="5:36" x14ac:dyDescent="0.3">
      <c r="O455" s="98"/>
      <c r="P455" s="57"/>
      <c r="Q455" s="57"/>
      <c r="R455" s="57"/>
    </row>
    <row r="456" spans="5:36" x14ac:dyDescent="0.3">
      <c r="O456" s="98"/>
    </row>
    <row r="457" spans="5:36" ht="15" thickBot="1" x14ac:dyDescent="0.35">
      <c r="O457" s="98"/>
    </row>
    <row r="458" spans="5:36" ht="15.6" thickTop="1" thickBot="1" x14ac:dyDescent="0.35">
      <c r="Q458" s="441"/>
      <c r="R458" s="442"/>
      <c r="S458" s="442"/>
      <c r="T458" s="442"/>
      <c r="U458" s="442"/>
      <c r="V458" s="442"/>
      <c r="W458" s="442"/>
      <c r="X458" s="442"/>
      <c r="Y458" s="442"/>
      <c r="Z458" s="442"/>
      <c r="AA458" s="442"/>
      <c r="AB458" s="443"/>
    </row>
    <row r="459" spans="5:36" ht="15" thickBot="1" x14ac:dyDescent="0.35">
      <c r="E459" s="666" t="s">
        <v>106</v>
      </c>
      <c r="F459" s="667"/>
      <c r="G459" s="667"/>
      <c r="H459" s="667"/>
      <c r="I459" s="667"/>
      <c r="J459" s="667"/>
      <c r="K459" s="667"/>
      <c r="L459" s="667"/>
      <c r="M459" s="668"/>
      <c r="Q459" s="444"/>
      <c r="R459" s="6"/>
      <c r="S459" s="6"/>
      <c r="T459" s="6"/>
      <c r="U459" s="5" t="s">
        <v>132</v>
      </c>
      <c r="V459" s="5"/>
      <c r="W459" s="5"/>
      <c r="X459" s="5"/>
      <c r="Y459" s="5"/>
      <c r="Z459" s="5"/>
      <c r="AA459" s="5" t="s">
        <v>28</v>
      </c>
      <c r="AB459" s="445"/>
    </row>
    <row r="460" spans="5:36" x14ac:dyDescent="0.3">
      <c r="E460" s="395"/>
      <c r="F460" s="396" t="s">
        <v>107</v>
      </c>
      <c r="G460" s="396"/>
      <c r="H460" s="396"/>
      <c r="I460" s="669">
        <v>21477737</v>
      </c>
      <c r="J460" s="669"/>
      <c r="K460" s="669"/>
      <c r="L460" s="669"/>
      <c r="M460" s="397"/>
      <c r="Q460" s="444"/>
      <c r="R460" s="437" t="s">
        <v>134</v>
      </c>
      <c r="S460" s="6"/>
      <c r="T460" s="6"/>
      <c r="U460" s="437" t="s">
        <v>133</v>
      </c>
      <c r="V460" s="5"/>
      <c r="W460" s="437" t="s">
        <v>20</v>
      </c>
      <c r="X460" s="5"/>
      <c r="Y460" s="437" t="s">
        <v>4</v>
      </c>
      <c r="Z460" s="5"/>
      <c r="AA460" s="446" t="s">
        <v>131</v>
      </c>
      <c r="AB460" s="445"/>
    </row>
    <row r="461" spans="5:36" x14ac:dyDescent="0.3">
      <c r="E461" s="395"/>
      <c r="F461" s="396" t="s">
        <v>97</v>
      </c>
      <c r="G461" s="396"/>
      <c r="H461" s="396"/>
      <c r="I461" s="396"/>
      <c r="J461" s="396"/>
      <c r="K461" s="396"/>
      <c r="L461" s="398">
        <f>+I473/I460</f>
        <v>4.5847474526762295E-4</v>
      </c>
      <c r="M461" s="397"/>
      <c r="Q461" s="444"/>
      <c r="R461" s="6" t="s">
        <v>121</v>
      </c>
      <c r="S461" s="6"/>
      <c r="T461" s="6"/>
      <c r="U461" s="7">
        <v>2003</v>
      </c>
      <c r="V461" s="6"/>
      <c r="W461" s="7">
        <v>389666</v>
      </c>
      <c r="X461" s="6"/>
      <c r="Y461" s="7">
        <v>31257</v>
      </c>
      <c r="Z461" s="6"/>
      <c r="AA461" s="253">
        <f>+AJ461</f>
        <v>19500</v>
      </c>
      <c r="AB461" s="445"/>
      <c r="AJ461" s="1">
        <v>19500</v>
      </c>
    </row>
    <row r="462" spans="5:36" x14ac:dyDescent="0.3">
      <c r="E462" s="395"/>
      <c r="F462" s="670" t="s">
        <v>95</v>
      </c>
      <c r="G462" s="670"/>
      <c r="H462" s="396"/>
      <c r="I462" s="396"/>
      <c r="J462" s="396"/>
      <c r="K462" s="396"/>
      <c r="L462" s="399">
        <f>+I473/(I460/100000)</f>
        <v>45.847474526762298</v>
      </c>
      <c r="M462" s="397"/>
      <c r="Q462" s="444"/>
      <c r="R462" s="6" t="s">
        <v>122</v>
      </c>
      <c r="S462" s="6"/>
      <c r="T462" s="6"/>
      <c r="U462" s="7">
        <v>1913</v>
      </c>
      <c r="V462" s="6"/>
      <c r="W462" s="7">
        <v>169892</v>
      </c>
      <c r="X462" s="6"/>
      <c r="Y462" s="7">
        <v>13076</v>
      </c>
      <c r="Z462" s="6"/>
      <c r="AA462" s="253">
        <f t="shared" ref="AA462:AA470" si="78">+AJ462</f>
        <v>8900</v>
      </c>
      <c r="AB462" s="445"/>
      <c r="AJ462" s="1">
        <v>8900</v>
      </c>
    </row>
    <row r="463" spans="5:36" x14ac:dyDescent="0.3">
      <c r="E463" s="395"/>
      <c r="F463" s="400"/>
      <c r="G463" s="400"/>
      <c r="H463" s="396"/>
      <c r="I463" s="396"/>
      <c r="J463" s="396"/>
      <c r="K463" s="396"/>
      <c r="L463" s="399"/>
      <c r="M463" s="397"/>
      <c r="Q463" s="444"/>
      <c r="R463" s="6" t="s">
        <v>123</v>
      </c>
      <c r="S463" s="6"/>
      <c r="T463" s="6"/>
      <c r="U463" s="7">
        <v>1568</v>
      </c>
      <c r="V463" s="6"/>
      <c r="W463" s="7">
        <v>16606</v>
      </c>
      <c r="X463" s="6"/>
      <c r="Y463" s="7">
        <v>912</v>
      </c>
      <c r="Z463" s="6"/>
      <c r="AA463" s="253">
        <f t="shared" si="78"/>
        <v>1100</v>
      </c>
      <c r="AB463" s="445"/>
      <c r="AJ463" s="1">
        <v>1100</v>
      </c>
    </row>
    <row r="464" spans="5:36" x14ac:dyDescent="0.3">
      <c r="E464" s="395"/>
      <c r="F464" s="400" t="s">
        <v>108</v>
      </c>
      <c r="G464" s="400"/>
      <c r="H464" s="670" t="s">
        <v>109</v>
      </c>
      <c r="I464" s="670"/>
      <c r="J464" s="396"/>
      <c r="K464" s="396"/>
      <c r="L464" s="399"/>
      <c r="M464" s="397"/>
      <c r="Q464" s="444"/>
      <c r="R464" s="6" t="s">
        <v>56</v>
      </c>
      <c r="S464" s="6"/>
      <c r="T464" s="6"/>
      <c r="U464" s="7">
        <v>1561</v>
      </c>
      <c r="V464" s="6"/>
      <c r="W464" s="7">
        <v>107611</v>
      </c>
      <c r="X464" s="6"/>
      <c r="Y464" s="7">
        <v>7937</v>
      </c>
      <c r="Z464" s="6"/>
      <c r="AA464" s="253">
        <f t="shared" si="78"/>
        <v>7000</v>
      </c>
      <c r="AB464" s="445"/>
      <c r="AJ464" s="1">
        <v>7000</v>
      </c>
    </row>
    <row r="465" spans="4:36" ht="15" thickBot="1" x14ac:dyDescent="0.35">
      <c r="E465" s="401"/>
      <c r="F465" s="402"/>
      <c r="G465" s="402"/>
      <c r="H465" s="402"/>
      <c r="I465" s="402"/>
      <c r="J465" s="402"/>
      <c r="K465" s="402"/>
      <c r="L465" s="402"/>
      <c r="M465" s="403"/>
      <c r="Q465" s="444"/>
      <c r="R465" s="6" t="s">
        <v>128</v>
      </c>
      <c r="S465" s="6"/>
      <c r="T465" s="6"/>
      <c r="U465" s="7">
        <v>1435</v>
      </c>
      <c r="V465" s="6"/>
      <c r="W465" s="7">
        <v>10128</v>
      </c>
      <c r="X465" s="6"/>
      <c r="Y465" s="7">
        <v>541</v>
      </c>
      <c r="Z465" s="6"/>
      <c r="AA465" s="253">
        <f t="shared" si="78"/>
        <v>700</v>
      </c>
      <c r="AB465" s="445"/>
      <c r="AJ465" s="1">
        <v>700</v>
      </c>
    </row>
    <row r="466" spans="4:36" x14ac:dyDescent="0.3">
      <c r="Q466" s="444"/>
      <c r="R466" s="6" t="s">
        <v>124</v>
      </c>
      <c r="S466" s="6"/>
      <c r="T466" s="6"/>
      <c r="U466" s="7">
        <v>1288</v>
      </c>
      <c r="V466" s="6"/>
      <c r="W466" s="7">
        <v>45913</v>
      </c>
      <c r="X466" s="6"/>
      <c r="Y466" s="7">
        <v>4287</v>
      </c>
      <c r="Z466" s="6"/>
      <c r="AA466" s="253">
        <f t="shared" si="78"/>
        <v>3600</v>
      </c>
      <c r="AB466" s="445"/>
      <c r="AJ466" s="1">
        <v>3600</v>
      </c>
    </row>
    <row r="467" spans="4:36" ht="15" thickBot="1" x14ac:dyDescent="0.35">
      <c r="D467" s="78"/>
      <c r="E467" s="139"/>
      <c r="F467" s="139"/>
      <c r="G467" s="139"/>
      <c r="H467" s="139"/>
      <c r="I467" s="310"/>
      <c r="J467" s="78"/>
      <c r="K467" s="98"/>
      <c r="L467" s="98"/>
      <c r="M467" s="98"/>
      <c r="N467" s="98"/>
      <c r="Q467" s="444"/>
      <c r="R467" s="6" t="s">
        <v>129</v>
      </c>
      <c r="S467" s="6"/>
      <c r="T467" s="6"/>
      <c r="U467" s="7">
        <v>1129</v>
      </c>
      <c r="V467" s="6"/>
      <c r="W467" s="7">
        <v>52477</v>
      </c>
      <c r="X467" s="6"/>
      <c r="Y467" s="7">
        <v>3152</v>
      </c>
      <c r="Z467" s="6"/>
      <c r="AA467" s="253">
        <f t="shared" si="78"/>
        <v>4600</v>
      </c>
      <c r="AB467" s="445"/>
      <c r="AJ467" s="1">
        <v>4600</v>
      </c>
    </row>
    <row r="468" spans="4:36" ht="16.2" thickBot="1" x14ac:dyDescent="0.35">
      <c r="D468" s="381"/>
      <c r="E468" s="671" t="s">
        <v>119</v>
      </c>
      <c r="F468" s="672"/>
      <c r="G468" s="672"/>
      <c r="H468" s="672"/>
      <c r="I468" s="672"/>
      <c r="J468" s="673"/>
      <c r="K468" s="382"/>
      <c r="L468" s="394" t="s">
        <v>10</v>
      </c>
      <c r="M468" s="383"/>
      <c r="N468" s="98"/>
      <c r="Q468" s="444"/>
      <c r="R468" s="6" t="s">
        <v>125</v>
      </c>
      <c r="S468" s="6"/>
      <c r="T468" s="6"/>
      <c r="U468" s="7">
        <v>1118</v>
      </c>
      <c r="V468" s="6"/>
      <c r="W468" s="7">
        <v>10889</v>
      </c>
      <c r="X468" s="6"/>
      <c r="Y468" s="7">
        <v>505</v>
      </c>
      <c r="Z468" s="6"/>
      <c r="AA468" s="253">
        <f t="shared" si="78"/>
        <v>980</v>
      </c>
      <c r="AB468" s="445"/>
      <c r="AJ468" s="1">
        <v>980</v>
      </c>
    </row>
    <row r="469" spans="4:36" x14ac:dyDescent="0.3">
      <c r="D469" s="360"/>
      <c r="E469" s="384" t="s">
        <v>75</v>
      </c>
      <c r="F469" s="16"/>
      <c r="G469" s="16"/>
      <c r="H469" s="16"/>
      <c r="I469" s="674">
        <f>+K81</f>
        <v>48675</v>
      </c>
      <c r="J469" s="674"/>
      <c r="K469" s="16"/>
      <c r="L469" s="60">
        <f>+I469/$I$469</f>
        <v>1</v>
      </c>
      <c r="M469" s="385"/>
      <c r="N469" s="98"/>
      <c r="Q469" s="444"/>
      <c r="R469" s="6" t="s">
        <v>126</v>
      </c>
      <c r="S469" s="6"/>
      <c r="T469" s="6"/>
      <c r="U469" s="7">
        <v>1093</v>
      </c>
      <c r="V469" s="6"/>
      <c r="W469" s="7">
        <v>138546</v>
      </c>
      <c r="X469" s="6"/>
      <c r="Y469" s="7">
        <v>6770</v>
      </c>
      <c r="Z469" s="6"/>
      <c r="AA469" s="253">
        <f t="shared" si="78"/>
        <v>12700</v>
      </c>
      <c r="AB469" s="445"/>
      <c r="AJ469" s="1">
        <v>12700</v>
      </c>
    </row>
    <row r="470" spans="4:36" x14ac:dyDescent="0.3">
      <c r="D470" s="360"/>
      <c r="E470" s="384"/>
      <c r="F470" s="16"/>
      <c r="G470" s="16"/>
      <c r="H470" s="16"/>
      <c r="I470" s="16"/>
      <c r="J470" s="16"/>
      <c r="K470" s="16"/>
      <c r="L470" s="16"/>
      <c r="M470" s="385"/>
      <c r="N470" s="98"/>
      <c r="Q470" s="444"/>
      <c r="R470" s="6" t="s">
        <v>127</v>
      </c>
      <c r="S470" s="6"/>
      <c r="T470" s="6"/>
      <c r="U470" s="447">
        <v>1081</v>
      </c>
      <c r="V470" s="6"/>
      <c r="W470" s="447">
        <v>65337</v>
      </c>
      <c r="X470" s="6"/>
      <c r="Y470" s="447">
        <v>3108</v>
      </c>
      <c r="Z470" s="6"/>
      <c r="AA470" s="448">
        <f t="shared" si="78"/>
        <v>6100</v>
      </c>
      <c r="AB470" s="445"/>
      <c r="AJ470" s="439">
        <v>6100</v>
      </c>
    </row>
    <row r="471" spans="4:36" x14ac:dyDescent="0.3">
      <c r="D471" s="372"/>
      <c r="E471" s="15"/>
      <c r="F471" s="386" t="s">
        <v>100</v>
      </c>
      <c r="G471" s="386"/>
      <c r="H471" s="15"/>
      <c r="I471" s="675">
        <f>+I81</f>
        <v>36684</v>
      </c>
      <c r="J471" s="676"/>
      <c r="K471" s="15"/>
      <c r="L471" s="60">
        <f>+I471/$I$469</f>
        <v>0.75365177195685673</v>
      </c>
      <c r="M471" s="365"/>
      <c r="N471" s="98"/>
      <c r="Q471" s="444"/>
      <c r="R471" s="5" t="s">
        <v>31</v>
      </c>
      <c r="S471" s="6"/>
      <c r="T471" s="6"/>
      <c r="U471" s="253">
        <f>+W471/(AA471/100)</f>
        <v>1545.0521632402579</v>
      </c>
      <c r="V471" s="6"/>
      <c r="W471" s="253">
        <f>SUM(W461:W470)</f>
        <v>1007065</v>
      </c>
      <c r="X471" s="6"/>
      <c r="Y471" s="253">
        <f>SUM(Y461:Y470)</f>
        <v>71545</v>
      </c>
      <c r="Z471" s="6"/>
      <c r="AA471" s="253">
        <f>SUM(AA461:AA470)</f>
        <v>65180</v>
      </c>
      <c r="AB471" s="445"/>
      <c r="AJ471" s="56">
        <f>SUM(AJ461:AJ470)</f>
        <v>65180</v>
      </c>
    </row>
    <row r="472" spans="4:36" x14ac:dyDescent="0.3">
      <c r="D472" s="372"/>
      <c r="E472" s="15"/>
      <c r="F472" s="15" t="s">
        <v>76</v>
      </c>
      <c r="G472" s="15"/>
      <c r="H472" s="15"/>
      <c r="I472" s="677">
        <f>+I75</f>
        <v>2144</v>
      </c>
      <c r="J472" s="678"/>
      <c r="K472" s="15"/>
      <c r="L472" s="60">
        <f>+I472/$I$469</f>
        <v>4.4047252182845401E-2</v>
      </c>
      <c r="M472" s="365"/>
      <c r="N472" s="98"/>
      <c r="Q472" s="444"/>
      <c r="R472" s="5"/>
      <c r="S472" s="6"/>
      <c r="T472" s="6"/>
      <c r="U472" s="6"/>
      <c r="V472" s="6"/>
      <c r="W472" s="253"/>
      <c r="X472" s="6"/>
      <c r="Y472" s="253"/>
      <c r="Z472" s="6"/>
      <c r="AA472" s="6"/>
      <c r="AB472" s="445"/>
      <c r="AJ472" s="56"/>
    </row>
    <row r="473" spans="4:36" ht="15" thickBot="1" x14ac:dyDescent="0.35">
      <c r="D473" s="372"/>
      <c r="E473" s="663" t="s">
        <v>101</v>
      </c>
      <c r="F473" s="663"/>
      <c r="G473" s="663"/>
      <c r="H473" s="15"/>
      <c r="I473" s="664">
        <f>+I469-I471-I472</f>
        <v>9847</v>
      </c>
      <c r="J473" s="665"/>
      <c r="K473" s="387"/>
      <c r="L473" s="388">
        <f>+I473/$I$469</f>
        <v>0.20230097586029788</v>
      </c>
      <c r="M473" s="365"/>
      <c r="N473" s="98"/>
      <c r="Q473" s="444"/>
      <c r="R473" s="5" t="s">
        <v>57</v>
      </c>
      <c r="S473" s="6"/>
      <c r="T473" s="6"/>
      <c r="U473" s="7">
        <v>7441</v>
      </c>
      <c r="V473" s="6"/>
      <c r="W473" s="7">
        <f>+'Main Table'!H106</f>
        <v>3029734</v>
      </c>
      <c r="X473" s="6"/>
      <c r="Y473" s="7">
        <f>+'Main Table'!AA106</f>
        <v>129682</v>
      </c>
      <c r="Z473" s="6"/>
      <c r="AA473" s="253">
        <f>+AJ473</f>
        <v>333000</v>
      </c>
      <c r="AB473" s="445"/>
      <c r="AJ473" s="56">
        <v>333000</v>
      </c>
    </row>
    <row r="474" spans="4:36" ht="15.6" thickTop="1" thickBot="1" x14ac:dyDescent="0.35">
      <c r="D474" s="372"/>
      <c r="E474" s="389"/>
      <c r="F474" s="389"/>
      <c r="G474" s="389"/>
      <c r="H474" s="15"/>
      <c r="I474" s="390"/>
      <c r="J474" s="389"/>
      <c r="K474" s="387"/>
      <c r="L474" s="391"/>
      <c r="M474" s="365"/>
      <c r="N474" s="98"/>
      <c r="Q474" s="444"/>
      <c r="R474" s="5" t="s">
        <v>130</v>
      </c>
      <c r="S474" s="6"/>
      <c r="T474" s="6"/>
      <c r="U474" s="449"/>
      <c r="V474" s="6"/>
      <c r="W474" s="450">
        <f>+W471/W473</f>
        <v>0.33239386692033029</v>
      </c>
      <c r="X474" s="6"/>
      <c r="Y474" s="450">
        <f>+Y471/Y473</f>
        <v>0.55169568637127742</v>
      </c>
      <c r="Z474" s="6"/>
      <c r="AA474" s="450">
        <f>+AA471/AA473</f>
        <v>0.19573573573573574</v>
      </c>
      <c r="AB474" s="445"/>
      <c r="AJ474" s="440">
        <f>+AJ471/AJ473</f>
        <v>0.19573573573573574</v>
      </c>
    </row>
    <row r="475" spans="4:36" ht="15.6" thickTop="1" thickBot="1" x14ac:dyDescent="0.35">
      <c r="D475" s="392"/>
      <c r="E475" s="393"/>
      <c r="F475" s="393"/>
      <c r="G475" s="393"/>
      <c r="H475" s="393"/>
      <c r="I475" s="393"/>
      <c r="J475" s="393"/>
      <c r="K475" s="393"/>
      <c r="L475" s="393"/>
      <c r="M475" s="380"/>
      <c r="N475" s="98"/>
      <c r="Q475" s="451"/>
      <c r="R475" s="452"/>
      <c r="S475" s="452"/>
      <c r="T475" s="452"/>
      <c r="U475" s="452"/>
      <c r="V475" s="452"/>
      <c r="W475" s="452"/>
      <c r="X475" s="452"/>
      <c r="Y475" s="452"/>
      <c r="Z475" s="452"/>
      <c r="AA475" s="452"/>
      <c r="AB475" s="453"/>
    </row>
    <row r="479" spans="4:36" x14ac:dyDescent="0.3">
      <c r="F479" s="1">
        <v>1248371</v>
      </c>
    </row>
    <row r="480" spans="4:36" x14ac:dyDescent="0.3">
      <c r="W480" s="1"/>
    </row>
    <row r="481" spans="6:6" x14ac:dyDescent="0.3">
      <c r="F481">
        <v>700</v>
      </c>
    </row>
    <row r="482" spans="6:6" x14ac:dyDescent="0.3">
      <c r="F482" s="76">
        <f>+F481/F479</f>
        <v>5.6073074430597954E-4</v>
      </c>
    </row>
    <row r="484" spans="6:6" x14ac:dyDescent="0.3">
      <c r="F484" s="1">
        <v>60000</v>
      </c>
    </row>
    <row r="485" spans="6:6" x14ac:dyDescent="0.3">
      <c r="F485">
        <f>+F482*F484</f>
        <v>33.643844658358773</v>
      </c>
    </row>
    <row r="487" spans="6:6" x14ac:dyDescent="0.3">
      <c r="F487" s="1">
        <v>331000000</v>
      </c>
    </row>
    <row r="488" spans="6:6" x14ac:dyDescent="0.3">
      <c r="F488" s="56">
        <f>+W86</f>
        <v>811067</v>
      </c>
    </row>
    <row r="489" spans="6:6" x14ac:dyDescent="0.3">
      <c r="F489" s="57">
        <f>+F488/F487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473:G473"/>
    <mergeCell ref="I473:J473"/>
    <mergeCell ref="E459:M459"/>
    <mergeCell ref="I460:L460"/>
    <mergeCell ref="F462:G462"/>
    <mergeCell ref="E468:J468"/>
    <mergeCell ref="I469:J469"/>
    <mergeCell ref="I471:J471"/>
    <mergeCell ref="I472:J472"/>
    <mergeCell ref="H464:I464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2021-07-20T02:27:21Z</dcterms:modified>
</cp:coreProperties>
</file>