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7555064-FBB5-410E-8BE7-CA5BA6648DA1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2" i="2" l="1"/>
  <c r="S132" i="2"/>
  <c r="U132" i="2" s="1"/>
  <c r="K132" i="2"/>
  <c r="BM131" i="1"/>
  <c r="BM143" i="1" s="1"/>
  <c r="BM144" i="1" s="1"/>
  <c r="BD131" i="1"/>
  <c r="BO131" i="1" s="1"/>
  <c r="AZ131" i="1"/>
  <c r="AZ143" i="1" s="1"/>
  <c r="AZ144" i="1" s="1"/>
  <c r="AW131" i="1"/>
  <c r="AW143" i="1" s="1"/>
  <c r="AW144" i="1" s="1"/>
  <c r="AK131" i="1"/>
  <c r="AQ131" i="1" s="1"/>
  <c r="AQ143" i="1" s="1"/>
  <c r="AQ144" i="1" s="1"/>
  <c r="AG131" i="1"/>
  <c r="AG143" i="1" s="1"/>
  <c r="AF131" i="1"/>
  <c r="AF143" i="1" s="1"/>
  <c r="AF144" i="1" s="1"/>
  <c r="Z131" i="1"/>
  <c r="Z143" i="1" s="1"/>
  <c r="Z144" i="1" s="1"/>
  <c r="P131" i="1"/>
  <c r="R131" i="1" s="1"/>
  <c r="R143" i="1" s="1"/>
  <c r="R144" i="1" s="1"/>
  <c r="J131" i="1"/>
  <c r="H131" i="1"/>
  <c r="AU131" i="1" s="1"/>
  <c r="AU143" i="1" s="1"/>
  <c r="AU144" i="1" s="1"/>
  <c r="AR144" i="1"/>
  <c r="V144" i="1"/>
  <c r="T144" i="1"/>
  <c r="BN143" i="1"/>
  <c r="BN144" i="1" s="1"/>
  <c r="BK143" i="1"/>
  <c r="BK144" i="1" s="1"/>
  <c r="BI143" i="1"/>
  <c r="BI144" i="1" s="1"/>
  <c r="BH143" i="1"/>
  <c r="BH144" i="1" s="1"/>
  <c r="BG143" i="1"/>
  <c r="BG144" i="1" s="1"/>
  <c r="BE143" i="1"/>
  <c r="BE144" i="1" s="1"/>
  <c r="BD143" i="1"/>
  <c r="BD144" i="1" s="1"/>
  <c r="BC143" i="1"/>
  <c r="BC144" i="1" s="1"/>
  <c r="BB143" i="1"/>
  <c r="BB144" i="1" s="1"/>
  <c r="BA143" i="1"/>
  <c r="BA144" i="1" s="1"/>
  <c r="AY143" i="1"/>
  <c r="AY144" i="1" s="1"/>
  <c r="AX143" i="1"/>
  <c r="AX144" i="1" s="1"/>
  <c r="AV143" i="1"/>
  <c r="AV144" i="1" s="1"/>
  <c r="AT143" i="1"/>
  <c r="AT144" i="1" s="1"/>
  <c r="AS143" i="1"/>
  <c r="AS144" i="1" s="1"/>
  <c r="AR143" i="1"/>
  <c r="AP143" i="1"/>
  <c r="AP144" i="1" s="1"/>
  <c r="AO143" i="1"/>
  <c r="AO144" i="1" s="1"/>
  <c r="AN143" i="1"/>
  <c r="AN144" i="1" s="1"/>
  <c r="AM143" i="1"/>
  <c r="AM144" i="1" s="1"/>
  <c r="AL143" i="1"/>
  <c r="AL144" i="1" s="1"/>
  <c r="AK143" i="1"/>
  <c r="AK144" i="1" s="1"/>
  <c r="AJ143" i="1"/>
  <c r="AJ144" i="1" s="1"/>
  <c r="AI143" i="1"/>
  <c r="AI144" i="1" s="1"/>
  <c r="AE143" i="1"/>
  <c r="AE144" i="1" s="1"/>
  <c r="AC143" i="1"/>
  <c r="AC144" i="1" s="1"/>
  <c r="AA143" i="1"/>
  <c r="AA144" i="1" s="1"/>
  <c r="Y143" i="1"/>
  <c r="Y144" i="1" s="1"/>
  <c r="X143" i="1"/>
  <c r="X144" i="1" s="1"/>
  <c r="W143" i="1"/>
  <c r="W144" i="1" s="1"/>
  <c r="V143" i="1"/>
  <c r="U143" i="1"/>
  <c r="U144" i="1" s="1"/>
  <c r="T143" i="1"/>
  <c r="S143" i="1"/>
  <c r="S144" i="1" s="1"/>
  <c r="Q143" i="1"/>
  <c r="Q144" i="1" s="1"/>
  <c r="P143" i="1"/>
  <c r="P144" i="1" s="1"/>
  <c r="O143" i="1"/>
  <c r="O144" i="1" s="1"/>
  <c r="M143" i="1"/>
  <c r="M144" i="1" s="1"/>
  <c r="L143" i="1"/>
  <c r="L144" i="1" s="1"/>
  <c r="K143" i="1"/>
  <c r="K144" i="1" s="1"/>
  <c r="J143" i="1"/>
  <c r="J144" i="1" s="1"/>
  <c r="I143" i="1"/>
  <c r="I144" i="1" s="1"/>
  <c r="D143" i="1"/>
  <c r="D144" i="1" s="1"/>
  <c r="I20" i="3"/>
  <c r="BM130" i="1"/>
  <c r="BD130" i="1"/>
  <c r="AZ130" i="1"/>
  <c r="BJ130" i="1" s="1"/>
  <c r="AW130" i="1"/>
  <c r="AU130" i="1"/>
  <c r="AK130" i="1"/>
  <c r="AQ130" i="1" s="1"/>
  <c r="AG130" i="1"/>
  <c r="AF130" i="1"/>
  <c r="Z130" i="1"/>
  <c r="AB130" i="1" s="1"/>
  <c r="P130" i="1"/>
  <c r="R130" i="1" s="1"/>
  <c r="J130" i="1"/>
  <c r="H130" i="1"/>
  <c r="W131" i="2"/>
  <c r="K131" i="2"/>
  <c r="Q131" i="2" s="1"/>
  <c r="K130" i="2"/>
  <c r="U130" i="2" s="1"/>
  <c r="W130" i="2"/>
  <c r="S129" i="2"/>
  <c r="U131" i="2" l="1"/>
  <c r="M132" i="2"/>
  <c r="M131" i="2"/>
  <c r="Q132" i="2"/>
  <c r="AD131" i="1"/>
  <c r="AD143" i="1" s="1"/>
  <c r="AD144" i="1" s="1"/>
  <c r="AH131" i="1"/>
  <c r="AH143" i="1" s="1"/>
  <c r="AH144" i="1" s="1"/>
  <c r="AB131" i="1"/>
  <c r="AB143" i="1" s="1"/>
  <c r="AB144" i="1" s="1"/>
  <c r="H143" i="1"/>
  <c r="H144" i="1" s="1"/>
  <c r="AG144" i="1"/>
  <c r="N131" i="1"/>
  <c r="N143" i="1" s="1"/>
  <c r="N144" i="1" s="1"/>
  <c r="BO143" i="1"/>
  <c r="BO144" i="1" s="1"/>
  <c r="BQ131" i="1"/>
  <c r="BF131" i="1"/>
  <c r="BF143" i="1" s="1"/>
  <c r="BF144" i="1" s="1"/>
  <c r="BJ131" i="1"/>
  <c r="BJ143" i="1" s="1"/>
  <c r="BJ144" i="1" s="1"/>
  <c r="BO130" i="1"/>
  <c r="AD130" i="1"/>
  <c r="BF130" i="1"/>
  <c r="N130" i="1"/>
  <c r="AH130" i="1"/>
  <c r="BL130" i="1"/>
  <c r="Q130" i="2"/>
  <c r="M130" i="2"/>
  <c r="BL131" i="1" l="1"/>
  <c r="BL143" i="1" s="1"/>
  <c r="BL144" i="1" s="1"/>
  <c r="BQ130" i="1"/>
  <c r="BV129" i="1" l="1"/>
  <c r="BM129" i="1" s="1"/>
  <c r="BD129" i="1"/>
  <c r="AZ129" i="1"/>
  <c r="AW129" i="1"/>
  <c r="AK129" i="1"/>
  <c r="AQ129" i="1" s="1"/>
  <c r="AG129" i="1"/>
  <c r="AF129" i="1"/>
  <c r="AH129" i="1" s="1"/>
  <c r="P129" i="1"/>
  <c r="R129" i="1" s="1"/>
  <c r="S138" i="2"/>
  <c r="R138" i="2"/>
  <c r="P138" i="2"/>
  <c r="O138" i="2"/>
  <c r="N138" i="2"/>
  <c r="L138" i="2"/>
  <c r="J138" i="2"/>
  <c r="I138" i="2"/>
  <c r="H138" i="2"/>
  <c r="G138" i="2"/>
  <c r="E138" i="2"/>
  <c r="W129" i="2"/>
  <c r="K129" i="2"/>
  <c r="U84" i="3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BV130" i="1"/>
  <c r="BV131" i="1" s="1"/>
  <c r="BV132" i="1" s="1"/>
  <c r="BV133" i="1" s="1"/>
  <c r="BV134" i="1" s="1"/>
  <c r="BV135" i="1" s="1"/>
  <c r="BV136" i="1" s="1"/>
  <c r="BV137" i="1" s="1"/>
  <c r="BV138" i="1" s="1"/>
  <c r="BV139" i="1" s="1"/>
  <c r="BV140" i="1" s="1"/>
  <c r="BV141" i="1" s="1"/>
  <c r="B129" i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K138" i="2" l="1"/>
  <c r="BF129" i="1"/>
  <c r="U129" i="2"/>
  <c r="BD139" i="1"/>
  <c r="BD128" i="1"/>
  <c r="AZ128" i="1"/>
  <c r="BJ129" i="1" s="1"/>
  <c r="AK128" i="1"/>
  <c r="AQ128" i="1" s="1"/>
  <c r="AF128" i="1"/>
  <c r="AH128" i="1" s="1"/>
  <c r="P128" i="1"/>
  <c r="S128" i="2"/>
  <c r="BL129" i="1" l="1"/>
  <c r="BF128" i="1"/>
  <c r="BD127" i="1" l="1"/>
  <c r="AZ127" i="1"/>
  <c r="AK127" i="1"/>
  <c r="AQ127" i="1" s="1"/>
  <c r="AF127" i="1"/>
  <c r="AH127" i="1" s="1"/>
  <c r="P127" i="1"/>
  <c r="W128" i="2"/>
  <c r="K128" i="2"/>
  <c r="Q128" i="2" l="1"/>
  <c r="Q129" i="2"/>
  <c r="Q138" i="2" s="1"/>
  <c r="M129" i="2"/>
  <c r="M138" i="2" s="1"/>
  <c r="BF127" i="1"/>
  <c r="U128" i="2"/>
  <c r="M128" i="2"/>
  <c r="S127" i="2"/>
  <c r="BD126" i="1"/>
  <c r="AZ126" i="1"/>
  <c r="AK126" i="1"/>
  <c r="AQ126" i="1" s="1"/>
  <c r="AF126" i="1"/>
  <c r="AH126" i="1" s="1"/>
  <c r="P126" i="1"/>
  <c r="K127" i="2"/>
  <c r="Q127" i="2" s="1"/>
  <c r="S126" i="2"/>
  <c r="BF126" i="1" l="1"/>
  <c r="U127" i="2"/>
  <c r="M127" i="2"/>
  <c r="BD125" i="1" l="1"/>
  <c r="AZ125" i="1"/>
  <c r="AK125" i="1"/>
  <c r="AQ125" i="1" s="1"/>
  <c r="AF125" i="1"/>
  <c r="AH125" i="1" s="1"/>
  <c r="P125" i="1"/>
  <c r="W126" i="2"/>
  <c r="W127" i="2" s="1"/>
  <c r="W133" i="2" s="1"/>
  <c r="W134" i="2" s="1"/>
  <c r="W135" i="2" s="1"/>
  <c r="W136" i="2" s="1"/>
  <c r="K126" i="2"/>
  <c r="M126" i="2" s="1"/>
  <c r="C126" i="2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BF125" i="1" l="1"/>
  <c r="U126" i="2"/>
  <c r="Q126" i="2"/>
  <c r="S125" i="2" l="1"/>
  <c r="AQ161" i="1"/>
  <c r="AQ160" i="1"/>
  <c r="AU160" i="1" s="1"/>
  <c r="AO160" i="1"/>
  <c r="AG115" i="1"/>
  <c r="AG114" i="1"/>
  <c r="AG113" i="1"/>
  <c r="BD124" i="1"/>
  <c r="AZ124" i="1"/>
  <c r="AK124" i="1"/>
  <c r="AF124" i="1"/>
  <c r="K125" i="2"/>
  <c r="Q125" i="2" s="1"/>
  <c r="S124" i="2"/>
  <c r="AQ165" i="1" l="1"/>
  <c r="BF124" i="1"/>
  <c r="AQ124" i="1"/>
  <c r="U125" i="2"/>
  <c r="M125" i="2"/>
  <c r="BD123" i="1" l="1"/>
  <c r="AZ123" i="1"/>
  <c r="AK123" i="1"/>
  <c r="AQ123" i="1" s="1"/>
  <c r="K124" i="2"/>
  <c r="Q124" i="2" s="1"/>
  <c r="BF123" i="1" l="1"/>
  <c r="BJ139" i="1"/>
  <c r="U124" i="2"/>
  <c r="M124" i="2"/>
  <c r="S123" i="2"/>
  <c r="BD122" i="1" l="1"/>
  <c r="AZ122" i="1"/>
  <c r="AK122" i="1"/>
  <c r="AQ122" i="1" s="1"/>
  <c r="K123" i="2"/>
  <c r="Q123" i="2" s="1"/>
  <c r="BJ128" i="1" l="1"/>
  <c r="BF122" i="1"/>
  <c r="U123" i="2"/>
  <c r="M123" i="2"/>
  <c r="S122" i="2"/>
  <c r="D178" i="1"/>
  <c r="BD121" i="1"/>
  <c r="AZ121" i="1"/>
  <c r="AK121" i="1"/>
  <c r="AQ121" i="1" s="1"/>
  <c r="K122" i="2"/>
  <c r="M122" i="2" s="1"/>
  <c r="BJ127" i="1" l="1"/>
  <c r="BL128" i="1"/>
  <c r="BF121" i="1"/>
  <c r="U122" i="2"/>
  <c r="Q122" i="2"/>
  <c r="BL127" i="1" l="1"/>
  <c r="BJ140" i="1"/>
  <c r="E121" i="2"/>
  <c r="S121" i="2"/>
  <c r="G144" i="1" l="1"/>
  <c r="F144" i="1"/>
  <c r="E144" i="1"/>
  <c r="G143" i="1"/>
  <c r="F143" i="1"/>
  <c r="E143" i="1"/>
  <c r="BD120" i="1"/>
  <c r="AZ120" i="1"/>
  <c r="AK120" i="1"/>
  <c r="AQ120" i="1" s="1"/>
  <c r="K121" i="2"/>
  <c r="Q121" i="2" s="1"/>
  <c r="BJ126" i="1" l="1"/>
  <c r="BL126" i="1" s="1"/>
  <c r="BF120" i="1"/>
  <c r="U121" i="2"/>
  <c r="M121" i="2"/>
  <c r="D118" i="1" l="1"/>
  <c r="D116" i="1"/>
  <c r="D115" i="1"/>
  <c r="D114" i="1"/>
  <c r="P124" i="1" l="1"/>
  <c r="P123" i="1"/>
  <c r="AG128" i="1"/>
  <c r="AG127" i="1"/>
  <c r="AG126" i="1"/>
  <c r="AG125" i="1"/>
  <c r="AG124" i="1"/>
  <c r="AO161" i="1" s="1"/>
  <c r="AU161" i="1" s="1"/>
  <c r="P120" i="1"/>
  <c r="P121" i="1"/>
  <c r="P122" i="1"/>
  <c r="S120" i="2"/>
  <c r="R127" i="1" l="1"/>
  <c r="R128" i="1"/>
  <c r="BD119" i="1"/>
  <c r="AZ119" i="1"/>
  <c r="AK119" i="1"/>
  <c r="AQ119" i="1" s="1"/>
  <c r="P119" i="1"/>
  <c r="R126" i="1" s="1"/>
  <c r="K120" i="2"/>
  <c r="Q120" i="2" s="1"/>
  <c r="BJ125" i="1" l="1"/>
  <c r="BL125" i="1" s="1"/>
  <c r="BF119" i="1"/>
  <c r="U120" i="2"/>
  <c r="M120" i="2"/>
  <c r="S119" i="2"/>
  <c r="BD118" i="1" l="1"/>
  <c r="AZ118" i="1"/>
  <c r="AK118" i="1"/>
  <c r="AQ118" i="1" s="1"/>
  <c r="P118" i="1"/>
  <c r="R125" i="1" s="1"/>
  <c r="K119" i="2"/>
  <c r="Q119" i="2" s="1"/>
  <c r="BJ124" i="1" l="1"/>
  <c r="BL124" i="1" s="1"/>
  <c r="BF118" i="1"/>
  <c r="U119" i="2"/>
  <c r="M119" i="2"/>
  <c r="S118" i="2" l="1"/>
  <c r="K118" i="2"/>
  <c r="Q118" i="2" s="1"/>
  <c r="BD117" i="1"/>
  <c r="AZ117" i="1"/>
  <c r="AK117" i="1"/>
  <c r="AQ117" i="1" s="1"/>
  <c r="AF117" i="1"/>
  <c r="P117" i="1"/>
  <c r="R124" i="1" s="1"/>
  <c r="AH124" i="1" l="1"/>
  <c r="BJ123" i="1"/>
  <c r="BL123" i="1" s="1"/>
  <c r="U118" i="2"/>
  <c r="M118" i="2"/>
  <c r="BF117" i="1"/>
  <c r="BD116" i="1"/>
  <c r="AZ116" i="1"/>
  <c r="BJ122" i="1" s="1"/>
  <c r="BL122" i="1" s="1"/>
  <c r="AK116" i="1"/>
  <c r="AQ116" i="1" s="1"/>
  <c r="S117" i="2"/>
  <c r="K117" i="2"/>
  <c r="Q117" i="2" s="1"/>
  <c r="S116" i="2"/>
  <c r="K116" i="2"/>
  <c r="Q116" i="2" s="1"/>
  <c r="BD115" i="1"/>
  <c r="AZ115" i="1"/>
  <c r="AK115" i="1"/>
  <c r="AQ115" i="1" s="1"/>
  <c r="S115" i="2"/>
  <c r="BJ121" i="1" l="1"/>
  <c r="BL121" i="1" s="1"/>
  <c r="BF116" i="1"/>
  <c r="U117" i="2"/>
  <c r="M117" i="2"/>
  <c r="U116" i="2"/>
  <c r="M116" i="2"/>
  <c r="BF115" i="1"/>
  <c r="BD114" i="1" l="1"/>
  <c r="AZ114" i="1"/>
  <c r="BJ120" i="1" s="1"/>
  <c r="BL120" i="1" s="1"/>
  <c r="AK114" i="1"/>
  <c r="AQ114" i="1" s="1"/>
  <c r="K115" i="2"/>
  <c r="M115" i="2" s="1"/>
  <c r="S114" i="2"/>
  <c r="Q115" i="2" l="1"/>
  <c r="U115" i="2"/>
  <c r="BF114" i="1"/>
  <c r="BD113" i="1" l="1"/>
  <c r="AZ113" i="1"/>
  <c r="BJ119" i="1" s="1"/>
  <c r="BL119" i="1" s="1"/>
  <c r="AK113" i="1"/>
  <c r="K114" i="2"/>
  <c r="AQ113" i="1" l="1"/>
  <c r="BF113" i="1"/>
  <c r="U114" i="2"/>
  <c r="S113" i="2" l="1"/>
  <c r="BD112" i="1"/>
  <c r="AZ112" i="1"/>
  <c r="BJ118" i="1" s="1"/>
  <c r="BL118" i="1" s="1"/>
  <c r="AK112" i="1"/>
  <c r="K113" i="2"/>
  <c r="M114" i="2" l="1"/>
  <c r="Q114" i="2"/>
  <c r="AQ112" i="1"/>
  <c r="BF112" i="1"/>
  <c r="U113" i="2"/>
  <c r="AG82" i="1"/>
  <c r="AG81" i="1"/>
  <c r="AG80" i="1"/>
  <c r="AG79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S112" i="2" l="1"/>
  <c r="BD111" i="1" l="1"/>
  <c r="K112" i="2"/>
  <c r="Q113" i="2" l="1"/>
  <c r="M113" i="2"/>
  <c r="U112" i="2"/>
  <c r="Q112" i="2"/>
  <c r="S111" i="2"/>
  <c r="AO110" i="1"/>
  <c r="BB110" i="1"/>
  <c r="K111" i="2"/>
  <c r="BD110" i="1"/>
  <c r="AF110" i="1"/>
  <c r="AH117" i="1" s="1"/>
  <c r="P110" i="1"/>
  <c r="R117" i="1" s="1"/>
  <c r="BD109" i="1"/>
  <c r="AZ109" i="1"/>
  <c r="AK109" i="1"/>
  <c r="AQ109" i="1" s="1"/>
  <c r="S110" i="2"/>
  <c r="K110" i="2"/>
  <c r="S109" i="2"/>
  <c r="Q111" i="2" l="1"/>
  <c r="M112" i="2"/>
  <c r="AZ111" i="1"/>
  <c r="BJ117" i="1" s="1"/>
  <c r="BL117" i="1" s="1"/>
  <c r="AK110" i="1"/>
  <c r="AQ110" i="1" s="1"/>
  <c r="AK111" i="1"/>
  <c r="AZ110" i="1"/>
  <c r="U111" i="2"/>
  <c r="M111" i="2"/>
  <c r="BF109" i="1"/>
  <c r="U110" i="2"/>
  <c r="K109" i="2"/>
  <c r="BD108" i="1"/>
  <c r="AZ108" i="1"/>
  <c r="AK108" i="1"/>
  <c r="AQ108" i="1" s="1"/>
  <c r="Q110" i="2" l="1"/>
  <c r="M110" i="2"/>
  <c r="AQ111" i="1"/>
  <c r="BF111" i="1"/>
  <c r="BF110" i="1"/>
  <c r="U109" i="2"/>
  <c r="BF108" i="1"/>
  <c r="S108" i="2" l="1"/>
  <c r="BD107" i="1" l="1"/>
  <c r="AK107" i="1"/>
  <c r="AQ107" i="1" s="1"/>
  <c r="K108" i="2"/>
  <c r="AA61" i="3"/>
  <c r="BB106" i="1"/>
  <c r="AZ107" i="1" s="1"/>
  <c r="AA113" i="3"/>
  <c r="AA112" i="3"/>
  <c r="AA111" i="3"/>
  <c r="AA110" i="3"/>
  <c r="AA109" i="3"/>
  <c r="AA108" i="3"/>
  <c r="AA107" i="3"/>
  <c r="AA106" i="3"/>
  <c r="AA105" i="3"/>
  <c r="AA104" i="3"/>
  <c r="AA114" i="3" s="1"/>
  <c r="AA117" i="3" s="1"/>
  <c r="AJ114" i="3"/>
  <c r="AJ117" i="3" s="1"/>
  <c r="Y114" i="3"/>
  <c r="W114" i="3"/>
  <c r="S107" i="2"/>
  <c r="U114" i="3" l="1"/>
  <c r="Q109" i="2"/>
  <c r="M109" i="2"/>
  <c r="BF107" i="1"/>
  <c r="U108" i="2"/>
  <c r="M108" i="2"/>
  <c r="BD106" i="1"/>
  <c r="AZ106" i="1"/>
  <c r="AK106" i="1"/>
  <c r="AQ106" i="1" s="1"/>
  <c r="K107" i="2"/>
  <c r="Q108" i="2" s="1"/>
  <c r="BF106" i="1" l="1"/>
  <c r="U107" i="2"/>
  <c r="S106" i="2" l="1"/>
  <c r="BD105" i="1"/>
  <c r="AZ105" i="1"/>
  <c r="AK105" i="1"/>
  <c r="AQ105" i="1" s="1"/>
  <c r="K106" i="2"/>
  <c r="S105" i="2"/>
  <c r="Q107" i="2" l="1"/>
  <c r="M107" i="2"/>
  <c r="BF105" i="1"/>
  <c r="U106" i="2"/>
  <c r="BD104" i="1" l="1"/>
  <c r="AZ104" i="1"/>
  <c r="BJ110" i="1" s="1"/>
  <c r="BL110" i="1" s="1"/>
  <c r="AK104" i="1"/>
  <c r="AQ104" i="1" s="1"/>
  <c r="K105" i="2"/>
  <c r="Q106" i="2" l="1"/>
  <c r="M106" i="2"/>
  <c r="BF104" i="1"/>
  <c r="U105" i="2"/>
  <c r="S104" i="2"/>
  <c r="K104" i="2"/>
  <c r="M105" i="2" s="1"/>
  <c r="BD103" i="1"/>
  <c r="AZ103" i="1"/>
  <c r="AK103" i="1"/>
  <c r="AQ103" i="1" s="1"/>
  <c r="AF103" i="1"/>
  <c r="P103" i="1"/>
  <c r="R110" i="1" s="1"/>
  <c r="S103" i="2"/>
  <c r="Q105" i="2" l="1"/>
  <c r="AH110" i="1"/>
  <c r="U104" i="2"/>
  <c r="BF103" i="1"/>
  <c r="BD102" i="1"/>
  <c r="AZ102" i="1"/>
  <c r="AK102" i="1"/>
  <c r="AQ102" i="1" s="1"/>
  <c r="K103" i="2"/>
  <c r="Q104" i="2" s="1"/>
  <c r="S102" i="2"/>
  <c r="BD101" i="1"/>
  <c r="AZ101" i="1"/>
  <c r="AK101" i="1"/>
  <c r="AQ101" i="1" s="1"/>
  <c r="S101" i="2"/>
  <c r="K102" i="2"/>
  <c r="M104" i="2" l="1"/>
  <c r="Q103" i="2"/>
  <c r="BF102" i="1"/>
  <c r="U103" i="2"/>
  <c r="M103" i="2"/>
  <c r="BF101" i="1"/>
  <c r="U102" i="2"/>
  <c r="BD100" i="1" l="1"/>
  <c r="AZ100" i="1"/>
  <c r="AK100" i="1"/>
  <c r="K101" i="2"/>
  <c r="S100" i="2"/>
  <c r="Q102" i="2" l="1"/>
  <c r="M102" i="2"/>
  <c r="AQ100" i="1"/>
  <c r="BF100" i="1"/>
  <c r="U101" i="2"/>
  <c r="BD99" i="1"/>
  <c r="AZ99" i="1"/>
  <c r="AK99" i="1"/>
  <c r="AQ99" i="1" s="1"/>
  <c r="K100" i="2"/>
  <c r="Q101" i="2" l="1"/>
  <c r="M101" i="2"/>
  <c r="BF99" i="1"/>
  <c r="U100" i="2"/>
  <c r="S99" i="2" l="1"/>
  <c r="BD98" i="1"/>
  <c r="AZ98" i="1"/>
  <c r="AK98" i="1"/>
  <c r="AQ98" i="1" s="1"/>
  <c r="K99" i="2"/>
  <c r="M100" i="2" l="1"/>
  <c r="Q100" i="2"/>
  <c r="BF98" i="1"/>
  <c r="U99" i="2"/>
  <c r="S98" i="2"/>
  <c r="BD97" i="1" l="1"/>
  <c r="AZ97" i="1"/>
  <c r="AK97" i="1"/>
  <c r="AQ97" i="1" s="1"/>
  <c r="K98" i="2"/>
  <c r="Q99" i="2" l="1"/>
  <c r="M99" i="2"/>
  <c r="BJ103" i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62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P75" i="1"/>
  <c r="P61" i="1"/>
  <c r="P54" i="1"/>
  <c r="R54" i="1" s="1"/>
  <c r="P47" i="1"/>
  <c r="P48" i="1" s="1"/>
  <c r="P40" i="1"/>
  <c r="P33" i="1"/>
  <c r="BD89" i="1"/>
  <c r="AZ89" i="1"/>
  <c r="AK89" i="1"/>
  <c r="AQ89" i="1" s="1"/>
  <c r="AF89" i="1"/>
  <c r="AH96" i="1" s="1"/>
  <c r="P89" i="1"/>
  <c r="R82" i="1" l="1"/>
  <c r="R89" i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S87" i="2"/>
  <c r="K87" i="2"/>
  <c r="Q88" i="2" s="1"/>
  <c r="BD86" i="1"/>
  <c r="AZ86" i="1"/>
  <c r="AK86" i="1"/>
  <c r="AQ86" i="1" s="1"/>
  <c r="U87" i="2" l="1"/>
  <c r="M88" i="2"/>
  <c r="BF86" i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25" i="3"/>
  <c r="F128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AF82" i="1" l="1"/>
  <c r="AG78" i="1"/>
  <c r="AF84" i="1" s="1"/>
  <c r="AH82" i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AQ159" i="1" l="1"/>
  <c r="AG139" i="1"/>
  <c r="U81" i="2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9" i="2" l="1"/>
  <c r="M79" i="2"/>
  <c r="BF77" i="1"/>
  <c r="U78" i="2"/>
  <c r="BD76" i="1"/>
  <c r="AZ76" i="1"/>
  <c r="BJ82" i="1" s="1"/>
  <c r="AK76" i="1"/>
  <c r="AQ76" i="1" s="1"/>
  <c r="S77" i="2"/>
  <c r="K77" i="2"/>
  <c r="Q78" i="2" s="1"/>
  <c r="M78" i="2" l="1"/>
  <c r="BL82" i="1"/>
  <c r="BJ146" i="1"/>
  <c r="BF76" i="1"/>
  <c r="U77" i="2"/>
  <c r="S76" i="2"/>
  <c r="BD75" i="1" l="1"/>
  <c r="AZ75" i="1"/>
  <c r="AK75" i="1"/>
  <c r="AQ75" i="1" s="1"/>
  <c r="K76" i="2"/>
  <c r="Q77" i="2" l="1"/>
  <c r="M77" i="2"/>
  <c r="BF75" i="1"/>
  <c r="U76" i="2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59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BF68" i="1"/>
  <c r="S68" i="2"/>
  <c r="D65" i="1"/>
  <c r="K68" i="2"/>
  <c r="M69" i="2" s="1"/>
  <c r="BD67" i="1"/>
  <c r="AZ67" i="1"/>
  <c r="AK67" i="1"/>
  <c r="P68" i="1" l="1"/>
  <c r="AF83" i="1"/>
  <c r="R68" i="1"/>
  <c r="R75" i="1"/>
  <c r="Q69" i="2"/>
  <c r="AQ67" i="1"/>
  <c r="U68" i="2"/>
  <c r="BF67" i="1"/>
  <c r="AF85" i="1" l="1"/>
  <c r="AO159" i="1"/>
  <c r="AU159" i="1" s="1"/>
  <c r="D171" i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97" i="3" l="1"/>
  <c r="I94" i="3"/>
  <c r="L94" i="3" s="1"/>
  <c r="I78" i="3"/>
  <c r="I80" i="3" s="1"/>
  <c r="I77" i="3"/>
  <c r="BD64" i="1"/>
  <c r="AZ64" i="1"/>
  <c r="AK64" i="1"/>
  <c r="AQ64" i="1" s="1"/>
  <c r="K65" i="2"/>
  <c r="Y19" i="3"/>
  <c r="Q66" i="2" l="1"/>
  <c r="M66" i="2"/>
  <c r="L97" i="3"/>
  <c r="I79" i="3"/>
  <c r="I81" i="3" s="1"/>
  <c r="I82" i="3" s="1"/>
  <c r="BF64" i="1"/>
  <c r="U65" i="2"/>
  <c r="S64" i="2"/>
  <c r="N81" i="3" l="1"/>
  <c r="N82" i="3" s="1"/>
  <c r="I96" i="3"/>
  <c r="L96" i="3" s="1"/>
  <c r="K64" i="2"/>
  <c r="BD63" i="1"/>
  <c r="AZ63" i="1"/>
  <c r="AK63" i="1"/>
  <c r="AQ63" i="1" s="1"/>
  <c r="Y18" i="3"/>
  <c r="Q65" i="2" l="1"/>
  <c r="M65" i="2"/>
  <c r="I98" i="3"/>
  <c r="P98" i="3" s="1"/>
  <c r="U64" i="2"/>
  <c r="BF63" i="1"/>
  <c r="L105" i="3" l="1"/>
  <c r="L98" i="3"/>
  <c r="L104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38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50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3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1" i="2" l="1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W113" i="2" l="1"/>
  <c r="W114" i="2" s="1"/>
  <c r="W115" i="2" s="1"/>
  <c r="W116" i="2" s="1"/>
  <c r="W117" i="2" s="1"/>
  <c r="W118" i="2" s="1"/>
  <c r="W119" i="2" s="1"/>
  <c r="W120" i="2" s="1"/>
  <c r="W121" i="2" s="1"/>
  <c r="BV14" i="1"/>
  <c r="AW13" i="1"/>
  <c r="AH29" i="2"/>
  <c r="AJ29" i="2" s="1"/>
  <c r="AH28" i="2"/>
  <c r="AJ28" i="2" s="1"/>
  <c r="AH27" i="2"/>
  <c r="BF51" i="1"/>
  <c r="BD50" i="1"/>
  <c r="AZ50" i="1"/>
  <c r="AK50" i="1"/>
  <c r="AQ50" i="1" s="1"/>
  <c r="W122" i="2" l="1"/>
  <c r="W123" i="2" s="1"/>
  <c r="W124" i="2" s="1"/>
  <c r="W125" i="2" s="1"/>
  <c r="BV15" i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97" i="1"/>
  <c r="B20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AG51" i="1" s="1"/>
  <c r="V21" i="1"/>
  <c r="V20" i="1"/>
  <c r="AF26" i="1" s="1"/>
  <c r="AH33" i="1" s="1"/>
  <c r="V17" i="1"/>
  <c r="V13" i="1"/>
  <c r="V12" i="1"/>
  <c r="V10" i="1"/>
  <c r="AQ158" i="1" l="1"/>
  <c r="AF139" i="1"/>
  <c r="BV43" i="1"/>
  <c r="BM43" i="1" s="1"/>
  <c r="AW42" i="1"/>
  <c r="BD24" i="1"/>
  <c r="BB24" i="1"/>
  <c r="AQ164" i="1" l="1"/>
  <c r="AQ166" i="1" s="1"/>
  <c r="AU166" i="1" s="1"/>
  <c r="BV44" i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P26" i="1" l="1"/>
  <c r="R33" i="1" s="1"/>
  <c r="AG50" i="1"/>
  <c r="BV46" i="1"/>
  <c r="BM46" i="1" s="1"/>
  <c r="AW45" i="1"/>
  <c r="BQ25" i="1"/>
  <c r="BO26" i="1"/>
  <c r="AO158" i="1" l="1"/>
  <c r="AU158" i="1" s="1"/>
  <c r="AG49" i="1"/>
  <c r="BV47" i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J22" i="1"/>
  <c r="H22" i="1"/>
  <c r="N22" i="1" s="1"/>
  <c r="AU21" i="1"/>
  <c r="AD23" i="1" l="1"/>
  <c r="Z24" i="1"/>
  <c r="BV68" i="1"/>
  <c r="AW67" i="1"/>
  <c r="BM67" i="1"/>
  <c r="BM66" i="1"/>
  <c r="AW66" i="1"/>
  <c r="AB22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AW111" i="1"/>
  <c r="BM111" i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V113" i="1" l="1"/>
  <c r="BV114" i="1" s="1"/>
  <c r="BM112" i="1"/>
  <c r="AW112" i="1"/>
  <c r="BQ84" i="1"/>
  <c r="BO85" i="1"/>
  <c r="BO86" i="1" s="1"/>
  <c r="BO87" i="1" s="1"/>
  <c r="BQ83" i="1"/>
  <c r="AD62" i="1"/>
  <c r="Z63" i="1"/>
  <c r="J61" i="1"/>
  <c r="H61" i="1"/>
  <c r="AU60" i="1"/>
  <c r="N60" i="1"/>
  <c r="AB60" i="1"/>
  <c r="BV115" i="1" l="1"/>
  <c r="BM114" i="1"/>
  <c r="AW114" i="1"/>
  <c r="BM113" i="1"/>
  <c r="AW113" i="1"/>
  <c r="BQ87" i="1"/>
  <c r="BO88" i="1"/>
  <c r="BQ86" i="1"/>
  <c r="BQ85" i="1"/>
  <c r="Z64" i="1"/>
  <c r="Z65" i="1" s="1"/>
  <c r="H62" i="1"/>
  <c r="J62" i="1"/>
  <c r="AD63" i="1"/>
  <c r="AU61" i="1"/>
  <c r="N61" i="1"/>
  <c r="AB61" i="1"/>
  <c r="BV116" i="1" l="1"/>
  <c r="AW115" i="1"/>
  <c r="BM115" i="1"/>
  <c r="BO89" i="1"/>
  <c r="BQ88" i="1"/>
  <c r="AD65" i="1"/>
  <c r="Z66" i="1"/>
  <c r="AD64" i="1"/>
  <c r="AU62" i="1"/>
  <c r="H63" i="1"/>
  <c r="J63" i="1"/>
  <c r="N62" i="1"/>
  <c r="AB62" i="1"/>
  <c r="BV117" i="1" l="1"/>
  <c r="AW116" i="1"/>
  <c r="BM116" i="1"/>
  <c r="BQ89" i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V118" i="1" l="1"/>
  <c r="AW117" i="1"/>
  <c r="BM117" i="1"/>
  <c r="BQ91" i="1"/>
  <c r="BO92" i="1"/>
  <c r="BQ90" i="1"/>
  <c r="Z68" i="1"/>
  <c r="Z69" i="1" s="1"/>
  <c r="AD67" i="1"/>
  <c r="H65" i="1"/>
  <c r="J65" i="1"/>
  <c r="AU64" i="1"/>
  <c r="N64" i="1"/>
  <c r="AB64" i="1"/>
  <c r="BV119" i="1" l="1"/>
  <c r="BM118" i="1"/>
  <c r="AW118" i="1"/>
  <c r="BQ92" i="1"/>
  <c r="BO93" i="1"/>
  <c r="Z70" i="1"/>
  <c r="Z71" i="1" s="1"/>
  <c r="AD69" i="1"/>
  <c r="AD68" i="1"/>
  <c r="AB65" i="1"/>
  <c r="J66" i="1"/>
  <c r="H66" i="1"/>
  <c r="AU65" i="1"/>
  <c r="N65" i="1"/>
  <c r="BV120" i="1" l="1"/>
  <c r="BM119" i="1"/>
  <c r="AW119" i="1"/>
  <c r="BQ93" i="1"/>
  <c r="BO94" i="1"/>
  <c r="Z72" i="1"/>
  <c r="AD71" i="1"/>
  <c r="AD70" i="1"/>
  <c r="J67" i="1"/>
  <c r="H67" i="1"/>
  <c r="AU66" i="1"/>
  <c r="N66" i="1"/>
  <c r="AB66" i="1"/>
  <c r="AA20" i="3"/>
  <c r="AA19" i="3"/>
  <c r="BV121" i="1" l="1"/>
  <c r="BV122" i="1" s="1"/>
  <c r="AW120" i="1"/>
  <c r="BM120" i="1"/>
  <c r="BO95" i="1"/>
  <c r="BO96" i="1" s="1"/>
  <c r="BQ94" i="1"/>
  <c r="Z73" i="1"/>
  <c r="AD72" i="1"/>
  <c r="H68" i="1"/>
  <c r="J68" i="1"/>
  <c r="AU67" i="1"/>
  <c r="N67" i="1"/>
  <c r="AB67" i="1"/>
  <c r="AW122" i="1" l="1"/>
  <c r="BV123" i="1"/>
  <c r="BM122" i="1"/>
  <c r="BM121" i="1"/>
  <c r="AW121" i="1"/>
  <c r="BQ96" i="1"/>
  <c r="BO97" i="1"/>
  <c r="BQ95" i="1"/>
  <c r="Z74" i="1"/>
  <c r="AD73" i="1"/>
  <c r="J69" i="1"/>
  <c r="H69" i="1"/>
  <c r="AU68" i="1"/>
  <c r="N68" i="1"/>
  <c r="AB68" i="1"/>
  <c r="BV124" i="1" l="1"/>
  <c r="BM123" i="1"/>
  <c r="AW123" i="1"/>
  <c r="BO98" i="1"/>
  <c r="BQ97" i="1"/>
  <c r="Z75" i="1"/>
  <c r="AD74" i="1"/>
  <c r="J70" i="1"/>
  <c r="H70" i="1"/>
  <c r="AU69" i="1"/>
  <c r="AB69" i="1"/>
  <c r="N69" i="1"/>
  <c r="AA22" i="3"/>
  <c r="AA21" i="3"/>
  <c r="BV125" i="1" l="1"/>
  <c r="AW124" i="1"/>
  <c r="BM124" i="1"/>
  <c r="BO99" i="1"/>
  <c r="BO100" i="1" s="1"/>
  <c r="BQ98" i="1"/>
  <c r="Z76" i="1"/>
  <c r="AD75" i="1"/>
  <c r="H71" i="1"/>
  <c r="J71" i="1"/>
  <c r="N70" i="1"/>
  <c r="AU70" i="1"/>
  <c r="AB70" i="1"/>
  <c r="BV126" i="1" l="1"/>
  <c r="BM125" i="1"/>
  <c r="AW125" i="1"/>
  <c r="BQ100" i="1"/>
  <c r="BO101" i="1"/>
  <c r="BQ99" i="1"/>
  <c r="Z77" i="1"/>
  <c r="AD76" i="1"/>
  <c r="AU71" i="1"/>
  <c r="H72" i="1"/>
  <c r="AB71" i="1"/>
  <c r="N71" i="1"/>
  <c r="J72" i="1"/>
  <c r="AA24" i="3"/>
  <c r="AA23" i="3"/>
  <c r="BV127" i="1" l="1"/>
  <c r="AW126" i="1"/>
  <c r="BM126" i="1"/>
  <c r="BO102" i="1"/>
  <c r="BQ101" i="1"/>
  <c r="AD77" i="1"/>
  <c r="Z78" i="1"/>
  <c r="Z79" i="1" s="1"/>
  <c r="J73" i="1"/>
  <c r="H73" i="1"/>
  <c r="AU72" i="1"/>
  <c r="AB72" i="1"/>
  <c r="N72" i="1"/>
  <c r="BV128" i="1" l="1"/>
  <c r="AW127" i="1"/>
  <c r="BM127" i="1"/>
  <c r="BO103" i="1"/>
  <c r="BQ102" i="1"/>
  <c r="AD79" i="1"/>
  <c r="Z80" i="1"/>
  <c r="AD78" i="1"/>
  <c r="J74" i="1"/>
  <c r="H74" i="1"/>
  <c r="AU73" i="1"/>
  <c r="AB73" i="1"/>
  <c r="N73" i="1"/>
  <c r="AA26" i="3"/>
  <c r="AA25" i="3"/>
  <c r="AW128" i="1" l="1"/>
  <c r="BM128" i="1"/>
  <c r="BQ103" i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O112" i="1" s="1"/>
  <c r="BQ110" i="1"/>
  <c r="Z92" i="1"/>
  <c r="AD91" i="1"/>
  <c r="AD90" i="1"/>
  <c r="H81" i="1"/>
  <c r="J81" i="1"/>
  <c r="AU80" i="1"/>
  <c r="N80" i="1"/>
  <c r="AB80" i="1"/>
  <c r="BQ112" i="1" l="1"/>
  <c r="BO113" i="1"/>
  <c r="BO114" i="1" s="1"/>
  <c r="BO115" i="1" s="1"/>
  <c r="BQ111" i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BO116" i="1" l="1"/>
  <c r="BQ115" i="1"/>
  <c r="BQ114" i="1"/>
  <c r="BQ113" i="1"/>
  <c r="Z95" i="1"/>
  <c r="Z96" i="1" s="1"/>
  <c r="AD94" i="1"/>
  <c r="AD93" i="1"/>
  <c r="J83" i="1"/>
  <c r="H83" i="1"/>
  <c r="AU82" i="1"/>
  <c r="N82" i="1"/>
  <c r="AB82" i="1"/>
  <c r="BQ116" i="1" l="1"/>
  <c r="BO117" i="1"/>
  <c r="Z97" i="1"/>
  <c r="AD96" i="1"/>
  <c r="AD95" i="1"/>
  <c r="J84" i="1"/>
  <c r="H84" i="1"/>
  <c r="AU83" i="1"/>
  <c r="N83" i="1"/>
  <c r="AB83" i="1"/>
  <c r="BQ117" i="1" l="1"/>
  <c r="BO118" i="1"/>
  <c r="AD97" i="1"/>
  <c r="Z98" i="1"/>
  <c r="AU84" i="1"/>
  <c r="J85" i="1"/>
  <c r="H85" i="1"/>
  <c r="N84" i="1"/>
  <c r="AB84" i="1"/>
  <c r="BO119" i="1" l="1"/>
  <c r="BO120" i="1" s="1"/>
  <c r="BQ118" i="1"/>
  <c r="Z99" i="1"/>
  <c r="Z100" i="1" s="1"/>
  <c r="AD98" i="1"/>
  <c r="H86" i="1"/>
  <c r="J86" i="1"/>
  <c r="AU85" i="1"/>
  <c r="N85" i="1"/>
  <c r="AB85" i="1"/>
  <c r="AA39" i="3"/>
  <c r="AA38" i="3"/>
  <c r="AA37" i="3"/>
  <c r="BO121" i="1" l="1"/>
  <c r="BO122" i="1" s="1"/>
  <c r="BQ120" i="1"/>
  <c r="BQ119" i="1"/>
  <c r="AD100" i="1"/>
  <c r="Z101" i="1"/>
  <c r="AD99" i="1"/>
  <c r="J87" i="1"/>
  <c r="H87" i="1"/>
  <c r="AU86" i="1"/>
  <c r="N86" i="1"/>
  <c r="AB86" i="1"/>
  <c r="BQ122" i="1" l="1"/>
  <c r="BO123" i="1"/>
  <c r="BQ121" i="1"/>
  <c r="AD101" i="1"/>
  <c r="Z102" i="1"/>
  <c r="AU87" i="1"/>
  <c r="J88" i="1"/>
  <c r="H88" i="1"/>
  <c r="N87" i="1"/>
  <c r="AB87" i="1"/>
  <c r="BQ123" i="1" l="1"/>
  <c r="BO124" i="1"/>
  <c r="Z103" i="1"/>
  <c r="AD102" i="1"/>
  <c r="AU88" i="1"/>
  <c r="J89" i="1"/>
  <c r="H89" i="1"/>
  <c r="N88" i="1"/>
  <c r="AB88" i="1"/>
  <c r="AA45" i="3"/>
  <c r="AA43" i="3"/>
  <c r="AA44" i="3"/>
  <c r="AA41" i="3"/>
  <c r="AA42" i="3"/>
  <c r="AA40" i="3"/>
  <c r="BO125" i="1" l="1"/>
  <c r="BQ124" i="1"/>
  <c r="AD103" i="1"/>
  <c r="Z104" i="1"/>
  <c r="J90" i="1"/>
  <c r="H90" i="1"/>
  <c r="N89" i="1"/>
  <c r="AU89" i="1"/>
  <c r="AB89" i="1"/>
  <c r="BQ125" i="1" l="1"/>
  <c r="J155" i="1" s="1"/>
  <c r="BO126" i="1"/>
  <c r="AD104" i="1"/>
  <c r="Z105" i="1"/>
  <c r="J91" i="1"/>
  <c r="H91" i="1"/>
  <c r="AU90" i="1"/>
  <c r="N90" i="1"/>
  <c r="AB90" i="1"/>
  <c r="BQ126" i="1" l="1"/>
  <c r="BO127" i="1"/>
  <c r="Z106" i="1"/>
  <c r="AD105" i="1"/>
  <c r="N91" i="1"/>
  <c r="H92" i="1"/>
  <c r="J92" i="1"/>
  <c r="AU91" i="1"/>
  <c r="AB91" i="1"/>
  <c r="BO128" i="1" l="1"/>
  <c r="BO129" i="1" s="1"/>
  <c r="BQ127" i="1"/>
  <c r="Z107" i="1"/>
  <c r="Z108" i="1" s="1"/>
  <c r="Z109" i="1" s="1"/>
  <c r="AD106" i="1"/>
  <c r="Y116" i="3"/>
  <c r="Y117" i="3" s="1"/>
  <c r="N92" i="1"/>
  <c r="H93" i="1"/>
  <c r="J93" i="1"/>
  <c r="AB92" i="1"/>
  <c r="AU92" i="1"/>
  <c r="BQ129" i="1" l="1"/>
  <c r="BQ128" i="1"/>
  <c r="Z110" i="1"/>
  <c r="AD109" i="1"/>
  <c r="AD108" i="1"/>
  <c r="AD107" i="1"/>
  <c r="H94" i="1"/>
  <c r="J94" i="1"/>
  <c r="N93" i="1"/>
  <c r="AU93" i="1"/>
  <c r="AB93" i="1"/>
  <c r="AA46" i="3"/>
  <c r="Z111" i="1" l="1"/>
  <c r="Z112" i="1" s="1"/>
  <c r="AD110" i="1"/>
  <c r="H95" i="1"/>
  <c r="J95" i="1"/>
  <c r="N94" i="1"/>
  <c r="AU94" i="1"/>
  <c r="AB94" i="1"/>
  <c r="Z113" i="1" l="1"/>
  <c r="Z114" i="1" s="1"/>
  <c r="AD112" i="1"/>
  <c r="AD111" i="1"/>
  <c r="J96" i="1"/>
  <c r="H96" i="1"/>
  <c r="N95" i="1"/>
  <c r="AU95" i="1"/>
  <c r="AB95" i="1"/>
  <c r="AA48" i="3"/>
  <c r="AA49" i="3"/>
  <c r="AA47" i="3"/>
  <c r="Z115" i="1" l="1"/>
  <c r="AD114" i="1"/>
  <c r="AD113" i="1"/>
  <c r="AU96" i="1"/>
  <c r="H97" i="1"/>
  <c r="J97" i="1"/>
  <c r="N96" i="1"/>
  <c r="AB96" i="1"/>
  <c r="Z116" i="1" l="1"/>
  <c r="AD115" i="1"/>
  <c r="N97" i="1"/>
  <c r="H98" i="1"/>
  <c r="J98" i="1"/>
  <c r="AU97" i="1"/>
  <c r="AB97" i="1"/>
  <c r="Z117" i="1" l="1"/>
  <c r="AD116" i="1"/>
  <c r="J99" i="1"/>
  <c r="H99" i="1"/>
  <c r="N98" i="1"/>
  <c r="AU98" i="1"/>
  <c r="AB98" i="1"/>
  <c r="AA53" i="3"/>
  <c r="AA51" i="3"/>
  <c r="AA52" i="3"/>
  <c r="AA50" i="3"/>
  <c r="AD117" i="1" l="1"/>
  <c r="Z118" i="1"/>
  <c r="H100" i="1"/>
  <c r="J100" i="1"/>
  <c r="N99" i="1"/>
  <c r="AU99" i="1"/>
  <c r="AB99" i="1"/>
  <c r="AD118" i="1" l="1"/>
  <c r="Z119" i="1"/>
  <c r="AU100" i="1"/>
  <c r="J101" i="1"/>
  <c r="H101" i="1"/>
  <c r="N100" i="1"/>
  <c r="AB100" i="1"/>
  <c r="Z120" i="1" l="1"/>
  <c r="AD119" i="1"/>
  <c r="N101" i="1"/>
  <c r="J102" i="1"/>
  <c r="H102" i="1"/>
  <c r="AU101" i="1"/>
  <c r="AB101" i="1"/>
  <c r="AD120" i="1" l="1"/>
  <c r="Z121" i="1"/>
  <c r="Z122" i="1" s="1"/>
  <c r="N102" i="1"/>
  <c r="J103" i="1"/>
  <c r="H103" i="1"/>
  <c r="AU102" i="1"/>
  <c r="AB102" i="1"/>
  <c r="AA59" i="3"/>
  <c r="AA60" i="3"/>
  <c r="AA57" i="3"/>
  <c r="AA58" i="3"/>
  <c r="AA55" i="3"/>
  <c r="AA56" i="3"/>
  <c r="AA54" i="3"/>
  <c r="Z123" i="1" l="1"/>
  <c r="AD122" i="1"/>
  <c r="AD121" i="1"/>
  <c r="J104" i="1"/>
  <c r="H104" i="1"/>
  <c r="AU103" i="1"/>
  <c r="N103" i="1"/>
  <c r="AB103" i="1"/>
  <c r="AD123" i="1" l="1"/>
  <c r="Z124" i="1"/>
  <c r="N104" i="1"/>
  <c r="H105" i="1"/>
  <c r="J105" i="1"/>
  <c r="AU104" i="1"/>
  <c r="AB104" i="1"/>
  <c r="AD124" i="1" l="1"/>
  <c r="Z125" i="1"/>
  <c r="Z126" i="1" s="1"/>
  <c r="N105" i="1"/>
  <c r="J106" i="1"/>
  <c r="H106" i="1"/>
  <c r="H107" i="1" s="1"/>
  <c r="AU105" i="1"/>
  <c r="AB105" i="1"/>
  <c r="Z127" i="1" l="1"/>
  <c r="AD126" i="1"/>
  <c r="AQ162" i="1"/>
  <c r="AD125" i="1"/>
  <c r="AU106" i="1"/>
  <c r="J107" i="1"/>
  <c r="N106" i="1"/>
  <c r="W116" i="3"/>
  <c r="W117" i="3" s="1"/>
  <c r="AB106" i="1"/>
  <c r="AD127" i="1" l="1"/>
  <c r="Z128" i="1"/>
  <c r="Z129" i="1" s="1"/>
  <c r="AO162" i="1"/>
  <c r="AU162" i="1" s="1"/>
  <c r="J108" i="1"/>
  <c r="H108" i="1"/>
  <c r="N107" i="1"/>
  <c r="AU107" i="1"/>
  <c r="AB107" i="1"/>
  <c r="AD129" i="1" l="1"/>
  <c r="AD128" i="1"/>
  <c r="H109" i="1"/>
  <c r="J109" i="1"/>
  <c r="AU108" i="1"/>
  <c r="N108" i="1"/>
  <c r="AB108" i="1"/>
  <c r="I21" i="3" l="1"/>
  <c r="I35" i="3" s="1"/>
  <c r="AD49" i="2"/>
  <c r="AD51" i="2" s="1"/>
  <c r="AD53" i="2" s="1"/>
  <c r="AD55" i="2" s="1"/>
  <c r="AD57" i="2" s="1"/>
  <c r="AJ21" i="2"/>
  <c r="N109" i="1"/>
  <c r="J110" i="1"/>
  <c r="H110" i="1"/>
  <c r="AB109" i="1"/>
  <c r="AU109" i="1"/>
  <c r="N110" i="1" l="1"/>
  <c r="J111" i="1"/>
  <c r="H111" i="1"/>
  <c r="AB110" i="1"/>
  <c r="AU110" i="1"/>
  <c r="AA65" i="3"/>
  <c r="AA63" i="3"/>
  <c r="AA64" i="3"/>
  <c r="AA62" i="3"/>
  <c r="J112" i="1" l="1"/>
  <c r="H112" i="1"/>
  <c r="N111" i="1"/>
  <c r="AB111" i="1"/>
  <c r="AU111" i="1"/>
  <c r="AU112" i="1" l="1"/>
  <c r="J113" i="1"/>
  <c r="H113" i="1"/>
  <c r="H114" i="1" s="1"/>
  <c r="N112" i="1"/>
  <c r="AB112" i="1"/>
  <c r="J114" i="1" l="1"/>
  <c r="N113" i="1"/>
  <c r="AU113" i="1"/>
  <c r="AB113" i="1"/>
  <c r="H115" i="1" l="1"/>
  <c r="J115" i="1"/>
  <c r="N114" i="1"/>
  <c r="AU114" i="1"/>
  <c r="AB114" i="1"/>
  <c r="AA67" i="3"/>
  <c r="AA66" i="3"/>
  <c r="N115" i="1" l="1"/>
  <c r="J116" i="1"/>
  <c r="AU115" i="1"/>
  <c r="H116" i="1"/>
  <c r="I23" i="3" s="1"/>
  <c r="I25" i="3" s="1"/>
  <c r="I27" i="3" s="1"/>
  <c r="AB115" i="1"/>
  <c r="N27" i="3" l="1"/>
  <c r="N28" i="3" s="1"/>
  <c r="I34" i="3"/>
  <c r="N116" i="1"/>
  <c r="J117" i="1"/>
  <c r="H117" i="1"/>
  <c r="AB116" i="1"/>
  <c r="AU116" i="1"/>
  <c r="AA71" i="3"/>
  <c r="AA72" i="3"/>
  <c r="AA69" i="3"/>
  <c r="AA70" i="3"/>
  <c r="AA68" i="3"/>
  <c r="AU117" i="1" l="1"/>
  <c r="H118" i="1"/>
  <c r="J118" i="1"/>
  <c r="AB117" i="1"/>
  <c r="N117" i="1"/>
  <c r="H119" i="1" l="1"/>
  <c r="J119" i="1"/>
  <c r="N118" i="1"/>
  <c r="AB118" i="1"/>
  <c r="AU118" i="1"/>
  <c r="H120" i="1" l="1"/>
  <c r="J120" i="1"/>
  <c r="N119" i="1"/>
  <c r="AU119" i="1"/>
  <c r="AB119" i="1"/>
  <c r="N120" i="1" l="1"/>
  <c r="J121" i="1"/>
  <c r="H121" i="1"/>
  <c r="AU120" i="1"/>
  <c r="AB120" i="1"/>
  <c r="J122" i="1" l="1"/>
  <c r="H122" i="1"/>
  <c r="N121" i="1"/>
  <c r="AU121" i="1"/>
  <c r="AB121" i="1"/>
  <c r="AA75" i="3"/>
  <c r="AA76" i="3"/>
  <c r="AA73" i="3"/>
  <c r="AA74" i="3"/>
  <c r="AU122" i="1" l="1"/>
  <c r="J123" i="1"/>
  <c r="H123" i="1"/>
  <c r="N122" i="1"/>
  <c r="AB122" i="1"/>
  <c r="N123" i="1" l="1"/>
  <c r="J124" i="1"/>
  <c r="H124" i="1"/>
  <c r="AU123" i="1"/>
  <c r="AB123" i="1"/>
  <c r="N124" i="1" l="1"/>
  <c r="H125" i="1"/>
  <c r="J125" i="1"/>
  <c r="AU124" i="1"/>
  <c r="AB124" i="1"/>
  <c r="AA78" i="3"/>
  <c r="AA79" i="3"/>
  <c r="AA77" i="3"/>
  <c r="H126" i="1" l="1"/>
  <c r="J126" i="1"/>
  <c r="AU125" i="1"/>
  <c r="N125" i="1"/>
  <c r="AB125" i="1"/>
  <c r="AB126" i="1" l="1"/>
  <c r="J127" i="1"/>
  <c r="H127" i="1"/>
  <c r="N126" i="1"/>
  <c r="AU126" i="1"/>
  <c r="J156" i="1"/>
  <c r="J157" i="1" s="1"/>
  <c r="AU127" i="1" l="1"/>
  <c r="H128" i="1"/>
  <c r="J128" i="1"/>
  <c r="N127" i="1"/>
  <c r="AB127" i="1"/>
  <c r="J129" i="1" l="1"/>
  <c r="H129" i="1"/>
  <c r="AB128" i="1"/>
  <c r="N128" i="1"/>
  <c r="AU128" i="1"/>
  <c r="T14" i="7"/>
  <c r="AA81" i="3"/>
  <c r="AA82" i="3"/>
  <c r="AA80" i="3"/>
  <c r="N129" i="1" l="1"/>
  <c r="AU129" i="1"/>
  <c r="AB129" i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/>
  <c r="I36" i="3"/>
  <c r="W86" i="3" s="1"/>
  <c r="AA86" i="3" s="1"/>
  <c r="I28" i="3"/>
  <c r="L32" i="3"/>
  <c r="L35" i="3"/>
  <c r="AA84" i="3" l="1"/>
  <c r="AA85" i="3"/>
  <c r="AA83" i="3"/>
  <c r="L36" i="3"/>
  <c r="Y86" i="3" s="1"/>
  <c r="Y12" i="3" l="1"/>
</calcChain>
</file>

<file path=xl/sharedStrings.xml><?xml version="1.0" encoding="utf-8"?>
<sst xmlns="http://schemas.openxmlformats.org/spreadsheetml/2006/main" count="282" uniqueCount="160">
  <si>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</si>
  <si>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</si>
  <si>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</si>
  <si>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</si>
  <si>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</si>
  <si>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</si>
  <si>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</si>
  <si>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</si>
  <si>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</si>
  <si>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</si>
  <si>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</si>
  <si>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</si>
  <si>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</si>
  <si>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</si>
  <si>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</si>
  <si>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</si>
  <si>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</si>
  <si>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</si>
  <si>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</si>
  <si>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</si>
  <si>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</si>
  <si>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</si>
  <si>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</si>
  <si>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</si>
  <si>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</si>
  <si>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</si>
  <si>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</si>
  <si>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</si>
  <si>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</si>
  <si>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</si>
  <si>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</si>
  <si>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</si>
  <si>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</si>
  <si>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</si>
  <si>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</si>
  <si>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</si>
  <si>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</si>
  <si>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</si>
  <si>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</si>
  <si>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</si>
  <si>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</si>
  <si>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</si>
  <si>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</si>
  <si>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</si>
  <si>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</si>
  <si>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</si>
  <si>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</si>
  <si>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</si>
  <si>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</si>
  <si>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</si>
  <si>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</si>
  <si>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</si>
  <si>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</si>
  <si>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</si>
  <si>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</si>
  <si>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</si>
  <si>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</si>
  <si>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</si>
  <si>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</si>
  <si>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</si>
  <si>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</si>
  <si>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</si>
  <si>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</si>
  <si>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</si>
  <si>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</si>
  <si>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</si>
  <si>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</si>
  <si>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</si>
  <si>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</si>
  <si>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</si>
  <si>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</si>
  <si>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</si>
  <si>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</si>
  <si>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</si>
  <si>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</si>
  <si>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</si>
  <si>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</si>
  <si>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</si>
  <si>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</si>
  <si>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</si>
  <si>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</si>
  <si>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</si>
  <si>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</si>
  <si>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</si>
  <si>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</si>
  <si>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</si>
  <si>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</si>
  <si>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</si>
  <si>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</si>
  <si>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</si>
  <si>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</si>
  <si>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</si>
  <si>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</si>
  <si>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</si>
  <si>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</si>
  <si>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</si>
  <si>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</si>
  <si>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</si>
  <si>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</si>
  <si>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</si>
  <si>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</si>
  <si>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</si>
  <si>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</si>
  <si>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</si>
  <si>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</si>
  <si>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</si>
  <si>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</si>
  <si>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</si>
  <si>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</si>
  <si>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</si>
  <si>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</si>
  <si>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</si>
  <si>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</si>
  <si>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</si>
  <si>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</si>
  <si>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</si>
  <si>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</si>
  <si>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</si>
  <si>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</si>
  <si>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</si>
  <si>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</si>
  <si>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</si>
  <si>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</si>
  <si>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</si>
  <si>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</si>
  <si>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</si>
  <si>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</si>
  <si>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</si>
  <si>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</si>
  <si>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</si>
  <si>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</si>
  <si>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</si>
  <si>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</si>
  <si>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</si>
  <si>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</si>
  <si>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</si>
  <si>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</si>
  <si>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</si>
  <si>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</si>
  <si>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</si>
  <si>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</si>
  <si>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</si>
  <si>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</si>
  <si>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</si>
  <si>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</si>
  <si>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</si>
  <si>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</si>
  <si>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</si>
  <si>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</si>
  <si>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</si>
  <si>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</si>
  <si>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</si>
  <si>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</si>
  <si>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</si>
  <si>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</si>
  <si>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7/5 -7/12</t>
  </si>
  <si>
    <t>Time Frame</t>
  </si>
  <si>
    <t>US COVID Death Rates</t>
  </si>
  <si>
    <t>6/13 - 7/12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</si>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</sst>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165" fontId="1" fillId="13" borderId="0" xfId="2" applyNumberFormat="1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0" fillId="13" borderId="23" xfId="0" applyFont="1" applyFill="1" applyBorder="1" applyAlignment="1">
      <alignment horizontal="center"/>
    </xf>
    <xf numFmtId="17" fontId="0" fillId="13" borderId="0" xfId="0" applyNumberForma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Table'!$BJ$40:$BJ$124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146</xdr:row>
      <xdr:rowOff>0</xdr:rowOff>
    </xdr:from>
    <xdr:to>
      <xdr:col>53</xdr:col>
      <xdr:colOff>160020</xdr:colOff>
      <xdr:row>146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147</xdr:row>
      <xdr:rowOff>0</xdr:rowOff>
    </xdr:from>
    <xdr:to>
      <xdr:col>53</xdr:col>
      <xdr:colOff>160020</xdr:colOff>
      <xdr:row>147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156</xdr:row>
      <xdr:rowOff>99060</xdr:rowOff>
    </xdr:from>
    <xdr:to>
      <xdr:col>21</xdr:col>
      <xdr:colOff>312420</xdr:colOff>
      <xdr:row>157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156</xdr:row>
      <xdr:rowOff>129540</xdr:rowOff>
    </xdr:from>
    <xdr:to>
      <xdr:col>22</xdr:col>
      <xdr:colOff>68580</xdr:colOff>
      <xdr:row>157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426720</xdr:colOff>
      <xdr:row>13</xdr:row>
      <xdr:rowOff>91440</xdr:rowOff>
    </xdr:from>
    <xdr:to>
      <xdr:col>88</xdr:col>
      <xdr:colOff>518160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91440</xdr:colOff>
      <xdr:row>26</xdr:row>
      <xdr:rowOff>160020</xdr:rowOff>
    </xdr:from>
    <xdr:to>
      <xdr:col>89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160020</xdr:colOff>
      <xdr:row>4</xdr:row>
      <xdr:rowOff>99060</xdr:rowOff>
    </xdr:from>
    <xdr:to>
      <xdr:col>89</xdr:col>
      <xdr:colOff>304800</xdr:colOff>
      <xdr:row>22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111</xdr:row>
      <xdr:rowOff>0</xdr:rowOff>
    </xdr:from>
    <xdr:to>
      <xdr:col>38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111</xdr:row>
      <xdr:rowOff>0</xdr:rowOff>
    </xdr:from>
    <xdr:to>
      <xdr:col>44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111</xdr:row>
      <xdr:rowOff>0</xdr:rowOff>
    </xdr:from>
    <xdr:to>
      <xdr:col>59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111</xdr:row>
      <xdr:rowOff>0</xdr:rowOff>
    </xdr:from>
    <xdr:to>
      <xdr:col>70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112</xdr:row>
      <xdr:rowOff>0</xdr:rowOff>
    </xdr:from>
    <xdr:to>
      <xdr:col>44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113</xdr:row>
      <xdr:rowOff>0</xdr:rowOff>
    </xdr:from>
    <xdr:to>
      <xdr:col>44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112</xdr:row>
      <xdr:rowOff>0</xdr:rowOff>
    </xdr:from>
    <xdr:to>
      <xdr:col>23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112</xdr:row>
      <xdr:rowOff>0</xdr:rowOff>
    </xdr:from>
    <xdr:to>
      <xdr:col>38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112</xdr:row>
      <xdr:rowOff>0</xdr:rowOff>
    </xdr:from>
    <xdr:to>
      <xdr:col>59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112</xdr:row>
      <xdr:rowOff>0</xdr:rowOff>
    </xdr:from>
    <xdr:to>
      <xdr:col>70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114</xdr:row>
      <xdr:rowOff>0</xdr:rowOff>
    </xdr:from>
    <xdr:to>
      <xdr:col>23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114</xdr:row>
      <xdr:rowOff>0</xdr:rowOff>
    </xdr:from>
    <xdr:to>
      <xdr:col>38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114</xdr:row>
      <xdr:rowOff>0</xdr:rowOff>
    </xdr:from>
    <xdr:to>
      <xdr:col>59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113</xdr:row>
      <xdr:rowOff>0</xdr:rowOff>
    </xdr:from>
    <xdr:to>
      <xdr:col>38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113</xdr:row>
      <xdr:rowOff>0</xdr:rowOff>
    </xdr:from>
    <xdr:to>
      <xdr:col>59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113</xdr:row>
      <xdr:rowOff>0</xdr:rowOff>
    </xdr:from>
    <xdr:to>
      <xdr:col>70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114</xdr:row>
      <xdr:rowOff>0</xdr:rowOff>
    </xdr:from>
    <xdr:to>
      <xdr:col>44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114</xdr:row>
      <xdr:rowOff>0</xdr:rowOff>
    </xdr:from>
    <xdr:to>
      <xdr:col>70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115</xdr:row>
      <xdr:rowOff>0</xdr:rowOff>
    </xdr:from>
    <xdr:to>
      <xdr:col>59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115</xdr:row>
      <xdr:rowOff>0</xdr:rowOff>
    </xdr:from>
    <xdr:to>
      <xdr:col>44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115</xdr:row>
      <xdr:rowOff>0</xdr:rowOff>
    </xdr:from>
    <xdr:to>
      <xdr:col>70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115</xdr:row>
      <xdr:rowOff>0</xdr:rowOff>
    </xdr:from>
    <xdr:to>
      <xdr:col>23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115</xdr:row>
      <xdr:rowOff>0</xdr:rowOff>
    </xdr:from>
    <xdr:to>
      <xdr:col>38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116</xdr:row>
      <xdr:rowOff>0</xdr:rowOff>
    </xdr:from>
    <xdr:to>
      <xdr:col>59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116</xdr:row>
      <xdr:rowOff>0</xdr:rowOff>
    </xdr:from>
    <xdr:to>
      <xdr:col>44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116</xdr:row>
      <xdr:rowOff>0</xdr:rowOff>
    </xdr:from>
    <xdr:to>
      <xdr:col>70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116</xdr:row>
      <xdr:rowOff>0</xdr:rowOff>
    </xdr:from>
    <xdr:to>
      <xdr:col>23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116</xdr:row>
      <xdr:rowOff>0</xdr:rowOff>
    </xdr:from>
    <xdr:to>
      <xdr:col>38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117</xdr:row>
      <xdr:rowOff>0</xdr:rowOff>
    </xdr:from>
    <xdr:to>
      <xdr:col>44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117</xdr:row>
      <xdr:rowOff>0</xdr:rowOff>
    </xdr:from>
    <xdr:to>
      <xdr:col>38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117</xdr:row>
      <xdr:rowOff>0</xdr:rowOff>
    </xdr:from>
    <xdr:to>
      <xdr:col>59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117</xdr:row>
      <xdr:rowOff>0</xdr:rowOff>
    </xdr:from>
    <xdr:to>
      <xdr:col>70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118</xdr:row>
      <xdr:rowOff>0</xdr:rowOff>
    </xdr:from>
    <xdr:to>
      <xdr:col>44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118</xdr:row>
      <xdr:rowOff>0</xdr:rowOff>
    </xdr:from>
    <xdr:to>
      <xdr:col>23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118</xdr:row>
      <xdr:rowOff>0</xdr:rowOff>
    </xdr:from>
    <xdr:to>
      <xdr:col>59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118</xdr:row>
      <xdr:rowOff>0</xdr:rowOff>
    </xdr:from>
    <xdr:to>
      <xdr:col>70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118</xdr:row>
      <xdr:rowOff>0</xdr:rowOff>
    </xdr:from>
    <xdr:to>
      <xdr:col>38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119</xdr:row>
      <xdr:rowOff>0</xdr:rowOff>
    </xdr:from>
    <xdr:to>
      <xdr:col>44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119</xdr:row>
      <xdr:rowOff>0</xdr:rowOff>
    </xdr:from>
    <xdr:to>
      <xdr:col>70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119</xdr:row>
      <xdr:rowOff>0</xdr:rowOff>
    </xdr:from>
    <xdr:to>
      <xdr:col>23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119</xdr:row>
      <xdr:rowOff>0</xdr:rowOff>
    </xdr:from>
    <xdr:to>
      <xdr:col>38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120</xdr:row>
      <xdr:rowOff>0</xdr:rowOff>
    </xdr:from>
    <xdr:to>
      <xdr:col>44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120</xdr:row>
      <xdr:rowOff>0</xdr:rowOff>
    </xdr:from>
    <xdr:to>
      <xdr:col>59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120</xdr:row>
      <xdr:rowOff>0</xdr:rowOff>
    </xdr:from>
    <xdr:to>
      <xdr:col>23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120</xdr:row>
      <xdr:rowOff>0</xdr:rowOff>
    </xdr:from>
    <xdr:to>
      <xdr:col>38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120</xdr:row>
      <xdr:rowOff>0</xdr:rowOff>
    </xdr:from>
    <xdr:to>
      <xdr:col>70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121</xdr:row>
      <xdr:rowOff>0</xdr:rowOff>
    </xdr:from>
    <xdr:to>
      <xdr:col>44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121</xdr:row>
      <xdr:rowOff>0</xdr:rowOff>
    </xdr:from>
    <xdr:to>
      <xdr:col>59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121</xdr:row>
      <xdr:rowOff>0</xdr:rowOff>
    </xdr:from>
    <xdr:to>
      <xdr:col>70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121</xdr:row>
      <xdr:rowOff>0</xdr:rowOff>
    </xdr:from>
    <xdr:to>
      <xdr:col>23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121</xdr:row>
      <xdr:rowOff>0</xdr:rowOff>
    </xdr:from>
    <xdr:to>
      <xdr:col>38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122</xdr:row>
      <xdr:rowOff>0</xdr:rowOff>
    </xdr:from>
    <xdr:to>
      <xdr:col>44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122</xdr:row>
      <xdr:rowOff>0</xdr:rowOff>
    </xdr:from>
    <xdr:to>
      <xdr:col>59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122</xdr:row>
      <xdr:rowOff>0</xdr:rowOff>
    </xdr:from>
    <xdr:to>
      <xdr:col>70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122</xdr:row>
      <xdr:rowOff>0</xdr:rowOff>
    </xdr:from>
    <xdr:to>
      <xdr:col>23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122</xdr:row>
      <xdr:rowOff>0</xdr:rowOff>
    </xdr:from>
    <xdr:to>
      <xdr:col>38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123</xdr:row>
      <xdr:rowOff>0</xdr:rowOff>
    </xdr:from>
    <xdr:to>
      <xdr:col>44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123</xdr:row>
      <xdr:rowOff>0</xdr:rowOff>
    </xdr:from>
    <xdr:to>
      <xdr:col>70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123</xdr:row>
      <xdr:rowOff>0</xdr:rowOff>
    </xdr:from>
    <xdr:to>
      <xdr:col>23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123</xdr:row>
      <xdr:rowOff>0</xdr:rowOff>
    </xdr:from>
    <xdr:to>
      <xdr:col>38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123</xdr:row>
      <xdr:rowOff>0</xdr:rowOff>
    </xdr:from>
    <xdr:to>
      <xdr:col>59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124</xdr:row>
      <xdr:rowOff>0</xdr:rowOff>
    </xdr:from>
    <xdr:to>
      <xdr:col>44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124</xdr:row>
      <xdr:rowOff>0</xdr:rowOff>
    </xdr:from>
    <xdr:to>
      <xdr:col>70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124</xdr:row>
      <xdr:rowOff>0</xdr:rowOff>
    </xdr:from>
    <xdr:to>
      <xdr:col>23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124</xdr:row>
      <xdr:rowOff>0</xdr:rowOff>
    </xdr:from>
    <xdr:to>
      <xdr:col>38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124</xdr:row>
      <xdr:rowOff>0</xdr:rowOff>
    </xdr:from>
    <xdr:to>
      <xdr:col>59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125</xdr:row>
      <xdr:rowOff>0</xdr:rowOff>
    </xdr:from>
    <xdr:to>
      <xdr:col>44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125</xdr:row>
      <xdr:rowOff>0</xdr:rowOff>
    </xdr:from>
    <xdr:to>
      <xdr:col>70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125</xdr:row>
      <xdr:rowOff>0</xdr:rowOff>
    </xdr:from>
    <xdr:to>
      <xdr:col>23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125</xdr:row>
      <xdr:rowOff>0</xdr:rowOff>
    </xdr:from>
    <xdr:to>
      <xdr:col>38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125</xdr:row>
      <xdr:rowOff>0</xdr:rowOff>
    </xdr:from>
    <xdr:to>
      <xdr:col>59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126</xdr:row>
      <xdr:rowOff>0</xdr:rowOff>
    </xdr:from>
    <xdr:to>
      <xdr:col>44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126</xdr:row>
      <xdr:rowOff>0</xdr:rowOff>
    </xdr:from>
    <xdr:to>
      <xdr:col>70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126</xdr:row>
      <xdr:rowOff>0</xdr:rowOff>
    </xdr:from>
    <xdr:to>
      <xdr:col>23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126</xdr:row>
      <xdr:rowOff>0</xdr:rowOff>
    </xdr:from>
    <xdr:to>
      <xdr:col>59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127</xdr:row>
      <xdr:rowOff>0</xdr:rowOff>
    </xdr:from>
    <xdr:to>
      <xdr:col>44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127</xdr:row>
      <xdr:rowOff>0</xdr:rowOff>
    </xdr:from>
    <xdr:to>
      <xdr:col>70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126</xdr:row>
      <xdr:rowOff>0</xdr:rowOff>
    </xdr:from>
    <xdr:to>
      <xdr:col>38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127</xdr:row>
      <xdr:rowOff>0</xdr:rowOff>
    </xdr:from>
    <xdr:to>
      <xdr:col>23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127</xdr:row>
      <xdr:rowOff>0</xdr:rowOff>
    </xdr:from>
    <xdr:to>
      <xdr:col>38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127</xdr:row>
      <xdr:rowOff>0</xdr:rowOff>
    </xdr:from>
    <xdr:to>
      <xdr:col>59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128</xdr:row>
      <xdr:rowOff>0</xdr:rowOff>
    </xdr:from>
    <xdr:to>
      <xdr:col>44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128</xdr:row>
      <xdr:rowOff>0</xdr:rowOff>
    </xdr:from>
    <xdr:to>
      <xdr:col>70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128</xdr:row>
      <xdr:rowOff>0</xdr:rowOff>
    </xdr:from>
    <xdr:to>
      <xdr:col>23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128</xdr:row>
      <xdr:rowOff>0</xdr:rowOff>
    </xdr:from>
    <xdr:to>
      <xdr:col>59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128</xdr:row>
      <xdr:rowOff>0</xdr:rowOff>
    </xdr:from>
    <xdr:to>
      <xdr:col>38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129</xdr:row>
      <xdr:rowOff>0</xdr:rowOff>
    </xdr:from>
    <xdr:to>
      <xdr:col>44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129</xdr:row>
      <xdr:rowOff>0</xdr:rowOff>
    </xdr:from>
    <xdr:to>
      <xdr:col>23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129</xdr:row>
      <xdr:rowOff>0</xdr:rowOff>
    </xdr:from>
    <xdr:to>
      <xdr:col>59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129</xdr:row>
      <xdr:rowOff>0</xdr:rowOff>
    </xdr:from>
    <xdr:to>
      <xdr:col>38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129</xdr:row>
      <xdr:rowOff>0</xdr:rowOff>
    </xdr:from>
    <xdr:to>
      <xdr:col>70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130</xdr:row>
      <xdr:rowOff>0</xdr:rowOff>
    </xdr:from>
    <xdr:to>
      <xdr:col>23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130</xdr:row>
      <xdr:rowOff>0</xdr:rowOff>
    </xdr:from>
    <xdr:to>
      <xdr:col>38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130</xdr:row>
      <xdr:rowOff>0</xdr:rowOff>
    </xdr:from>
    <xdr:to>
      <xdr:col>44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130</xdr:row>
      <xdr:rowOff>0</xdr:rowOff>
    </xdr:from>
    <xdr:to>
      <xdr:col>59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130</xdr:row>
      <xdr:rowOff>0</xdr:rowOff>
    </xdr:from>
    <xdr:to>
      <xdr:col>70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217"/>
  <sheetViews>
    <sheetView tabSelected="1" topLeftCell="A109" zoomScaleNormal="100" workbookViewId="0">
      <selection activeCell="BS131" sqref="BS13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9.77734375" hidden="1" customWidth="1" outlineLevel="1"/>
    <col min="33" max="33" width="10.33203125" hidden="1" customWidth="1" outlineLevel="1"/>
    <col min="34" max="34" width="8.109375" hidden="1" customWidth="1" outlineLevel="1"/>
    <col min="35" max="35" width="2.21875" hidden="1" customWidth="1" outlineLevel="1"/>
    <col min="36" max="36" width="3.5546875" customWidth="1" collapsed="1"/>
    <col min="37" max="37" width="9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10.21875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2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7.7773437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54" t="s">
        <v>5</v>
      </c>
      <c r="C1" s="554"/>
      <c r="D1" s="554"/>
    </row>
    <row r="2" spans="2:89" ht="15.6" x14ac:dyDescent="0.3">
      <c r="B2" s="554" t="s">
        <v>6</v>
      </c>
      <c r="C2" s="554"/>
      <c r="D2" s="554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57" t="s">
        <v>13</v>
      </c>
      <c r="C3" s="557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55" t="s">
        <v>11</v>
      </c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11"/>
      <c r="AD4" s="326"/>
      <c r="AE4" s="448"/>
      <c r="AF4" s="448"/>
      <c r="AG4" s="448"/>
      <c r="AH4" s="448"/>
      <c r="AI4" s="12"/>
      <c r="AK4" s="537" t="s">
        <v>14</v>
      </c>
      <c r="AL4" s="538"/>
      <c r="AM4" s="538"/>
      <c r="AN4" s="538"/>
      <c r="AO4" s="538"/>
      <c r="AP4" s="538"/>
      <c r="AQ4" s="538"/>
      <c r="AR4" s="538"/>
      <c r="AS4" s="538"/>
      <c r="AT4" s="538"/>
      <c r="AU4" s="538"/>
      <c r="AV4" s="538"/>
      <c r="AW4" s="538"/>
      <c r="AX4" s="538"/>
      <c r="AY4" s="538"/>
      <c r="AZ4" s="538"/>
      <c r="BA4" s="538"/>
      <c r="BB4" s="538"/>
      <c r="BC4" s="538"/>
      <c r="BD4" s="538"/>
      <c r="BE4" s="538"/>
      <c r="BF4" s="538"/>
      <c r="BG4" s="538"/>
      <c r="BH4" s="538"/>
      <c r="BI4" s="538"/>
      <c r="BJ4" s="538"/>
      <c r="BK4" s="538"/>
      <c r="BL4" s="538"/>
      <c r="BM4" s="538"/>
      <c r="BN4" s="538"/>
      <c r="BO4" s="538"/>
      <c r="BP4" s="538"/>
      <c r="BQ4" s="538"/>
      <c r="BR4" s="538"/>
      <c r="BS4" s="538"/>
      <c r="BT4" s="539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58" t="s">
        <v>12</v>
      </c>
      <c r="G6" s="558"/>
      <c r="H6" s="558"/>
      <c r="I6" s="558"/>
      <c r="J6" s="558"/>
      <c r="K6" s="558"/>
      <c r="L6" s="558"/>
      <c r="M6" s="336"/>
      <c r="N6" s="336"/>
      <c r="O6" s="337"/>
      <c r="P6" s="564" t="s">
        <v>124</v>
      </c>
      <c r="Q6" s="558"/>
      <c r="R6" s="558"/>
      <c r="S6" s="558"/>
      <c r="T6" s="565"/>
      <c r="U6" s="3"/>
      <c r="V6" s="8" t="s">
        <v>7</v>
      </c>
      <c r="W6" s="30"/>
      <c r="X6" s="559">
        <v>1.2500000000000001E-2</v>
      </c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60"/>
      <c r="AJ6" s="3"/>
      <c r="AK6" s="546" t="s">
        <v>27</v>
      </c>
      <c r="AL6" s="547"/>
      <c r="AM6" s="547"/>
      <c r="AN6" s="547"/>
      <c r="AO6" s="547"/>
      <c r="AP6" s="547"/>
      <c r="AQ6" s="547"/>
      <c r="AR6" s="547"/>
      <c r="AS6" s="547"/>
      <c r="AT6" s="547"/>
      <c r="AU6" s="547"/>
      <c r="AV6" s="547"/>
      <c r="AW6" s="547"/>
      <c r="AX6" s="548"/>
      <c r="AY6" s="3"/>
      <c r="AZ6" s="549" t="s">
        <v>7</v>
      </c>
      <c r="BA6" s="541"/>
      <c r="BB6" s="541"/>
      <c r="BC6" s="97"/>
      <c r="BD6" s="540" t="s">
        <v>26</v>
      </c>
      <c r="BE6" s="540"/>
      <c r="BF6" s="540"/>
      <c r="BG6" s="540"/>
      <c r="BH6" s="540"/>
      <c r="BI6" s="540"/>
      <c r="BJ6" s="540"/>
      <c r="BK6" s="540"/>
      <c r="BL6" s="540"/>
      <c r="BM6" s="540"/>
      <c r="BN6" s="540"/>
      <c r="BO6" s="540"/>
      <c r="BP6" s="540"/>
      <c r="BQ6" s="541"/>
      <c r="BR6" s="541"/>
      <c r="BS6" s="541"/>
      <c r="BT6" s="542"/>
      <c r="BU6" s="3"/>
    </row>
    <row r="7" spans="2:89" ht="16.2" x14ac:dyDescent="0.3">
      <c r="D7" s="543" t="s">
        <v>20</v>
      </c>
      <c r="E7" s="544"/>
      <c r="F7" s="544"/>
      <c r="G7" s="544"/>
      <c r="H7" s="544"/>
      <c r="I7" s="544"/>
      <c r="J7" s="544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61" t="s">
        <v>35</v>
      </c>
      <c r="W7" s="562"/>
      <c r="X7" s="562"/>
      <c r="Y7" s="562"/>
      <c r="Z7" s="562"/>
      <c r="AA7" s="562"/>
      <c r="AB7" s="562"/>
      <c r="AC7" s="562"/>
      <c r="AD7" s="562"/>
      <c r="AE7" s="562"/>
      <c r="AF7" s="562"/>
      <c r="AG7" s="562"/>
      <c r="AH7" s="562"/>
      <c r="AI7" s="563"/>
      <c r="AJ7" s="3"/>
      <c r="AK7" s="543" t="s">
        <v>76</v>
      </c>
      <c r="AL7" s="544"/>
      <c r="AM7" s="544"/>
      <c r="AN7" s="544"/>
      <c r="AO7" s="544"/>
      <c r="AP7" s="544"/>
      <c r="AQ7" s="544"/>
      <c r="AR7" s="544"/>
      <c r="AS7" s="544"/>
      <c r="AT7" s="544"/>
      <c r="AU7" s="544"/>
      <c r="AV7" s="544"/>
      <c r="AW7" s="544"/>
      <c r="AX7" s="545"/>
      <c r="AZ7" s="543" t="s">
        <v>25</v>
      </c>
      <c r="BA7" s="544"/>
      <c r="BB7" s="544"/>
      <c r="BC7" s="544"/>
      <c r="BD7" s="544"/>
      <c r="BE7" s="544"/>
      <c r="BF7" s="544"/>
      <c r="BG7" s="544"/>
      <c r="BH7" s="544"/>
      <c r="BI7" s="544"/>
      <c r="BJ7" s="544"/>
      <c r="BK7" s="544"/>
      <c r="BL7" s="544"/>
      <c r="BM7" s="544"/>
      <c r="BN7" s="544"/>
      <c r="BO7" s="544"/>
      <c r="BP7" s="544"/>
      <c r="BQ7" s="544"/>
      <c r="BR7" s="544"/>
      <c r="BS7" s="544"/>
      <c r="BT7" s="545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35" t="s">
        <v>1</v>
      </c>
      <c r="BA8" s="536"/>
      <c r="BB8" s="536"/>
      <c r="BC8" s="64"/>
      <c r="BD8" s="536" t="s">
        <v>24</v>
      </c>
      <c r="BE8" s="536"/>
      <c r="BF8" s="536"/>
      <c r="BG8" s="536"/>
      <c r="BH8" s="550"/>
      <c r="BI8" s="551" t="s">
        <v>124</v>
      </c>
      <c r="BJ8" s="552"/>
      <c r="BK8" s="552"/>
      <c r="BL8" s="553"/>
      <c r="BM8" s="535" t="s">
        <v>24</v>
      </c>
      <c r="BN8" s="536"/>
      <c r="BO8" s="536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+Z23+V24+21+653</f>
        <v>7795</v>
      </c>
      <c r="AA24" s="340" t="s">
        <v>47</v>
      </c>
      <c r="AB24" s="46">
        <f t="shared" si="4"/>
        <v>2.7891981636735116E-2</v>
      </c>
      <c r="AC24" s="33"/>
      <c r="AD24" s="33">
        <f t="shared" si="5"/>
        <v>519.66666666666663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9125</v>
      </c>
      <c r="AA25" s="33"/>
      <c r="AB25" s="46">
        <f t="shared" si="4"/>
        <v>2.9091361220657575E-2</v>
      </c>
      <c r="AC25" s="33"/>
      <c r="AD25" s="33">
        <f t="shared" si="5"/>
        <v>570.3125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10290</v>
      </c>
      <c r="AA26" s="33"/>
      <c r="AB26" s="46">
        <f t="shared" si="4"/>
        <v>3.0355504553325682E-2</v>
      </c>
      <c r="AC26" s="33"/>
      <c r="AD26" s="33">
        <f t="shared" si="5"/>
        <v>605.29411764705878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11545</v>
      </c>
      <c r="AA27" s="33"/>
      <c r="AB27" s="46">
        <f t="shared" si="4"/>
        <v>3.1186435183809525E-2</v>
      </c>
      <c r="AC27" s="33"/>
      <c r="AD27" s="33">
        <f t="shared" si="5"/>
        <v>641.38888888888891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13515</v>
      </c>
      <c r="AA28" s="33"/>
      <c r="AB28" s="46">
        <f t="shared" si="4"/>
        <v>3.3481728117962704E-2</v>
      </c>
      <c r="AC28" s="33"/>
      <c r="AD28" s="33">
        <f t="shared" si="5"/>
        <v>711.31578947368416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15465</v>
      </c>
      <c r="AA29" s="33"/>
      <c r="AB29" s="46">
        <f t="shared" si="4"/>
        <v>3.5503732885203448E-2</v>
      </c>
      <c r="AC29" s="33"/>
      <c r="AD29" s="33">
        <f t="shared" si="5"/>
        <v>773.25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17365</v>
      </c>
      <c r="AA30" s="33"/>
      <c r="AB30" s="46">
        <f t="shared" si="4"/>
        <v>3.7015799660644097E-2</v>
      </c>
      <c r="AC30" s="33"/>
      <c r="AD30" s="33">
        <f t="shared" si="5"/>
        <v>826.90476190476193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19400</v>
      </c>
      <c r="AA31" s="33"/>
      <c r="AB31" s="46">
        <f t="shared" si="4"/>
        <v>3.8578098775841362E-2</v>
      </c>
      <c r="AC31" s="33"/>
      <c r="AD31" s="33">
        <f t="shared" si="5"/>
        <v>881.81818181818187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21230</v>
      </c>
      <c r="AA32" s="33"/>
      <c r="AB32" s="46">
        <f t="shared" si="4"/>
        <v>3.9840188860885868E-2</v>
      </c>
      <c r="AC32" s="33"/>
      <c r="AD32" s="33">
        <f t="shared" si="5"/>
        <v>923.04347826086962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22758</v>
      </c>
      <c r="AA33" s="33"/>
      <c r="AB33" s="46">
        <f t="shared" si="4"/>
        <v>4.0617526325182937E-2</v>
      </c>
      <c r="AC33" s="33"/>
      <c r="AD33" s="33">
        <f t="shared" si="5"/>
        <v>948.25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24293</v>
      </c>
      <c r="AA34" s="33"/>
      <c r="AB34" s="46">
        <f t="shared" si="4"/>
        <v>4.1389168587643389E-2</v>
      </c>
      <c r="AC34" s="33"/>
      <c r="AD34" s="33">
        <f t="shared" si="5"/>
        <v>971.72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32895</v>
      </c>
      <c r="AA35" s="341" t="s">
        <v>68</v>
      </c>
      <c r="AB35" s="46">
        <f t="shared" si="4"/>
        <v>5.1090933941340559E-2</v>
      </c>
      <c r="AC35" s="33"/>
      <c r="AD35" s="33">
        <f t="shared" si="5"/>
        <v>1265.1923076923076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35513</v>
      </c>
      <c r="AA36" s="33"/>
      <c r="AB36" s="46">
        <f t="shared" si="4"/>
        <v>5.2674749404474086E-2</v>
      </c>
      <c r="AC36" s="33"/>
      <c r="AD36" s="33">
        <f t="shared" si="5"/>
        <v>1315.2962962962963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37689</v>
      </c>
      <c r="AA37" s="33"/>
      <c r="AB37" s="46">
        <f t="shared" si="4"/>
        <v>5.3553692233584985E-2</v>
      </c>
      <c r="AC37" s="33"/>
      <c r="AD37" s="33">
        <f t="shared" si="5"/>
        <v>1346.0357142857142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40217</v>
      </c>
      <c r="AA38" s="33"/>
      <c r="AB38" s="46">
        <f t="shared" si="4"/>
        <v>5.4648157559319822E-2</v>
      </c>
      <c r="AC38" s="33"/>
      <c r="AD38" s="33">
        <f t="shared" si="5"/>
        <v>1386.7931034482758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42084</v>
      </c>
      <c r="AA39" s="33"/>
      <c r="AB39" s="46">
        <f t="shared" si="4"/>
        <v>5.5012987216709393E-2</v>
      </c>
      <c r="AC39" s="33"/>
      <c r="AD39" s="33">
        <f t="shared" si="5"/>
        <v>1402.8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43654</v>
      </c>
      <c r="AA40" s="33"/>
      <c r="AB40" s="46">
        <f t="shared" si="4"/>
        <v>5.5176789700265176E-2</v>
      </c>
      <c r="AC40" s="33"/>
      <c r="AD40" s="33">
        <f t="shared" si="5"/>
        <v>1408.1935483870968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45606</v>
      </c>
      <c r="AA41" s="33"/>
      <c r="AB41" s="46">
        <f t="shared" si="4"/>
        <v>5.5663980256533248E-2</v>
      </c>
      <c r="AC41" s="33"/>
      <c r="AD41" s="33">
        <f t="shared" si="5"/>
        <v>1425.1875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48289</v>
      </c>
      <c r="AA42" s="33"/>
      <c r="AB42" s="46">
        <f t="shared" ref="AB42:AB68" si="23">+Z42/H42</f>
        <v>5.711876074917141E-2</v>
      </c>
      <c r="AC42" s="33"/>
      <c r="AD42" s="33">
        <f t="shared" ref="AD42:AD68" si="24">+Z42/BV42</f>
        <v>1463.3030303030303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50647</v>
      </c>
      <c r="AA43" s="33"/>
      <c r="AB43" s="46">
        <f t="shared" si="23"/>
        <v>5.7841036792047731E-2</v>
      </c>
      <c r="AC43" s="33"/>
      <c r="AD43" s="33">
        <f t="shared" si="24"/>
        <v>1489.6176470588234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52987</v>
      </c>
      <c r="AA44" s="33"/>
      <c r="AB44" s="46">
        <f t="shared" si="23"/>
        <v>5.8386334686465591E-2</v>
      </c>
      <c r="AC44" s="33"/>
      <c r="AD44" s="33">
        <f t="shared" si="24"/>
        <v>1513.9142857142858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54944</v>
      </c>
      <c r="AA45" s="33"/>
      <c r="AB45" s="46">
        <f t="shared" si="23"/>
        <v>5.8062661684392065E-2</v>
      </c>
      <c r="AC45" s="33"/>
      <c r="AD45" s="33">
        <f t="shared" si="24"/>
        <v>1526.2222222222222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57009</v>
      </c>
      <c r="AA46" s="33"/>
      <c r="AB46" s="46">
        <f t="shared" si="23"/>
        <v>5.8071298259052856E-2</v>
      </c>
      <c r="AC46" s="33"/>
      <c r="AD46" s="33">
        <f t="shared" si="24"/>
        <v>1540.7837837837837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58165</v>
      </c>
      <c r="AA47" s="33"/>
      <c r="AB47" s="46">
        <f t="shared" si="23"/>
        <v>5.7691010656446634E-2</v>
      </c>
      <c r="AC47" s="33"/>
      <c r="AD47" s="33">
        <f t="shared" si="24"/>
        <v>1530.6578947368421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>
        <f>+P47/7</f>
        <v>31007.142857142859</v>
      </c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59548</v>
      </c>
      <c r="AA48" s="33"/>
      <c r="AB48" s="46">
        <f t="shared" si="23"/>
        <v>5.7734445594970776E-2</v>
      </c>
      <c r="AC48" s="33"/>
      <c r="AD48" s="33">
        <f t="shared" si="24"/>
        <v>1526.8717948717949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62018</v>
      </c>
      <c r="AA49" s="33"/>
      <c r="AB49" s="46">
        <f t="shared" si="23"/>
        <v>5.8683542435284688E-2</v>
      </c>
      <c r="AC49" s="33"/>
      <c r="AD49" s="33">
        <f t="shared" si="24"/>
        <v>1550.45</v>
      </c>
      <c r="AE49" s="50"/>
      <c r="AF49" s="33"/>
      <c r="AG49" s="232">
        <f>+AG51/AG50</f>
        <v>6.194382152455194E-2</v>
      </c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64408</v>
      </c>
      <c r="AA50" s="33"/>
      <c r="AB50" s="46">
        <f t="shared" si="23"/>
        <v>5.9348537203409352E-2</v>
      </c>
      <c r="AC50" s="33"/>
      <c r="AD50" s="33">
        <f t="shared" si="24"/>
        <v>1570.9268292682927</v>
      </c>
      <c r="AE50" s="50"/>
      <c r="AF50" s="33"/>
      <c r="AG50" s="33">
        <f>SUM(D22:D51)</f>
        <v>898992</v>
      </c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66609</v>
      </c>
      <c r="AA51" s="33"/>
      <c r="AB51" s="46">
        <f t="shared" si="23"/>
        <v>5.9681259122338112E-2</v>
      </c>
      <c r="AC51" s="33"/>
      <c r="AD51" s="33">
        <f t="shared" si="24"/>
        <v>1585.9285714285713</v>
      </c>
      <c r="AE51" s="50"/>
      <c r="AF51" s="33"/>
      <c r="AG51" s="33">
        <f>SUM(V22:V51)</f>
        <v>55687</v>
      </c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68506</v>
      </c>
      <c r="AA52" s="33"/>
      <c r="AB52" s="46">
        <f t="shared" si="23"/>
        <v>5.9462574842503078E-2</v>
      </c>
      <c r="AC52" s="33"/>
      <c r="AD52" s="33">
        <f t="shared" si="24"/>
        <v>1593.1627906976744</v>
      </c>
      <c r="AE52" s="50"/>
      <c r="AF52" s="33"/>
      <c r="AG52" s="33">
        <f>+V52</f>
        <v>1897</v>
      </c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4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70197</v>
      </c>
      <c r="AA53" s="33"/>
      <c r="AB53" s="46">
        <f t="shared" si="23"/>
        <v>5.9396867569785843E-2</v>
      </c>
      <c r="AC53" s="33"/>
      <c r="AD53" s="33">
        <f t="shared" si="24"/>
        <v>1595.3863636363637</v>
      </c>
      <c r="AE53" s="50"/>
      <c r="AF53" s="33"/>
      <c r="AG53" s="33">
        <f t="shared" ref="AG53:AG82" si="35">+V53</f>
        <v>1691</v>
      </c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71350</v>
      </c>
      <c r="AA54" s="33"/>
      <c r="AB54" s="46">
        <f t="shared" si="23"/>
        <v>5.9007027914831395E-2</v>
      </c>
      <c r="AC54" s="33"/>
      <c r="AD54" s="33">
        <f t="shared" si="24"/>
        <v>1585.5555555555557</v>
      </c>
      <c r="AE54" s="50"/>
      <c r="AF54" s="33">
        <f>SUM(V48:V54)</f>
        <v>13185</v>
      </c>
      <c r="AG54" s="33">
        <f t="shared" si="35"/>
        <v>1153</v>
      </c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72674</v>
      </c>
      <c r="AA55" s="33"/>
      <c r="AB55" s="46">
        <f t="shared" si="23"/>
        <v>5.8898233312342826E-2</v>
      </c>
      <c r="AC55" s="33"/>
      <c r="AD55" s="33">
        <f t="shared" si="24"/>
        <v>1579.8695652173913</v>
      </c>
      <c r="AE55" s="50"/>
      <c r="AF55" s="33"/>
      <c r="AG55" s="33">
        <f t="shared" si="35"/>
        <v>1324</v>
      </c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75024</v>
      </c>
      <c r="AA56" s="33"/>
      <c r="AB56" s="46">
        <f t="shared" si="23"/>
        <v>5.9604874595710296E-2</v>
      </c>
      <c r="AC56" s="33"/>
      <c r="AD56" s="33">
        <f t="shared" si="24"/>
        <v>1596.2553191489362</v>
      </c>
      <c r="AE56" s="50"/>
      <c r="AF56" s="33"/>
      <c r="AG56" s="33">
        <f t="shared" si="35"/>
        <v>2350</v>
      </c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77552</v>
      </c>
      <c r="AA57" s="33"/>
      <c r="AB57" s="46">
        <f t="shared" si="23"/>
        <v>6.0391792846307434E-2</v>
      </c>
      <c r="AC57" s="33"/>
      <c r="AD57" s="33">
        <f t="shared" si="24"/>
        <v>1615.6666666666667</v>
      </c>
      <c r="AE57" s="50"/>
      <c r="AF57" s="33"/>
      <c r="AG57" s="33">
        <f t="shared" si="35"/>
        <v>2528</v>
      </c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79681</v>
      </c>
      <c r="AA58" s="33"/>
      <c r="AB58" s="46">
        <f t="shared" si="23"/>
        <v>6.0654847949917753E-2</v>
      </c>
      <c r="AC58" s="33"/>
      <c r="AD58" s="33">
        <f t="shared" si="24"/>
        <v>1626.1428571428571</v>
      </c>
      <c r="AE58" s="50"/>
      <c r="AF58" s="33"/>
      <c r="AG58" s="33">
        <f t="shared" si="35"/>
        <v>2129</v>
      </c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81368</v>
      </c>
      <c r="AA59" s="33"/>
      <c r="AB59" s="46">
        <f t="shared" si="23"/>
        <v>6.0593919905632905E-2</v>
      </c>
      <c r="AC59" s="33"/>
      <c r="AD59" s="33">
        <f t="shared" si="24"/>
        <v>1627.36</v>
      </c>
      <c r="AE59" s="50"/>
      <c r="AF59" s="33"/>
      <c r="AG59" s="33">
        <f t="shared" si="35"/>
        <v>1687</v>
      </c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82790</v>
      </c>
      <c r="AA60" s="33"/>
      <c r="AB60" s="46">
        <f t="shared" si="23"/>
        <v>6.0502862905730564E-2</v>
      </c>
      <c r="AC60" s="33"/>
      <c r="AD60" s="33">
        <f t="shared" si="24"/>
        <v>1623.3333333333333</v>
      </c>
      <c r="AE60" s="50"/>
      <c r="AF60" s="33"/>
      <c r="AG60" s="33">
        <f t="shared" si="35"/>
        <v>1422</v>
      </c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83540</v>
      </c>
      <c r="AA61" s="33"/>
      <c r="AB61" s="46">
        <f t="shared" si="23"/>
        <v>6.0157241264094177E-2</v>
      </c>
      <c r="AC61" s="33"/>
      <c r="AD61" s="33">
        <f t="shared" si="24"/>
        <v>1606.5384615384614</v>
      </c>
      <c r="AE61" s="50"/>
      <c r="AF61" s="33">
        <f>SUM(V55:V61)</f>
        <v>12190</v>
      </c>
      <c r="AG61" s="33">
        <f t="shared" si="35"/>
        <v>750</v>
      </c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84600</v>
      </c>
      <c r="AA62" s="33"/>
      <c r="AB62" s="46">
        <f t="shared" si="23"/>
        <v>6.0132632970594714E-2</v>
      </c>
      <c r="AC62" s="33"/>
      <c r="AD62" s="33">
        <f t="shared" si="24"/>
        <v>1596.2264150943397</v>
      </c>
      <c r="AE62" s="50"/>
      <c r="AF62" s="33"/>
      <c r="AG62" s="33">
        <f t="shared" si="35"/>
        <v>1060</v>
      </c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86471</v>
      </c>
      <c r="AA63" s="33"/>
      <c r="AB63" s="46">
        <f t="shared" si="23"/>
        <v>6.0482257717046746E-2</v>
      </c>
      <c r="AC63" s="33"/>
      <c r="AD63" s="33">
        <f t="shared" si="24"/>
        <v>1601.3148148148148</v>
      </c>
      <c r="AE63" s="50"/>
      <c r="AF63" s="33"/>
      <c r="AG63" s="33">
        <f t="shared" si="35"/>
        <v>1871</v>
      </c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88293</v>
      </c>
      <c r="AA64" s="33"/>
      <c r="AB64" s="46">
        <f t="shared" si="23"/>
        <v>6.0832821185555504E-2</v>
      </c>
      <c r="AC64" s="33"/>
      <c r="AD64" s="33">
        <f t="shared" si="24"/>
        <v>1605.3272727272727</v>
      </c>
      <c r="AE64" s="50"/>
      <c r="AF64" s="33"/>
      <c r="AG64" s="33">
        <f t="shared" si="35"/>
        <v>1822</v>
      </c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8">+Z64+V65</f>
        <v>90046</v>
      </c>
      <c r="AA65" s="33"/>
      <c r="AB65" s="46">
        <f t="shared" si="23"/>
        <v>6.0897481417158499E-2</v>
      </c>
      <c r="AC65" s="33"/>
      <c r="AD65" s="33">
        <f t="shared" si="24"/>
        <v>1607.9642857142858</v>
      </c>
      <c r="AE65" s="50"/>
      <c r="AF65" s="33"/>
      <c r="AG65" s="33">
        <f t="shared" si="35"/>
        <v>1753</v>
      </c>
      <c r="AH65" s="33"/>
      <c r="AI65" s="50"/>
      <c r="AJ65" s="1"/>
      <c r="AK65" s="23">
        <f t="shared" ref="AK65:AK96" si="39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40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1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2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8"/>
        <v>91648</v>
      </c>
      <c r="AA66" s="33"/>
      <c r="AB66" s="46">
        <f t="shared" si="23"/>
        <v>6.0881886562579507E-2</v>
      </c>
      <c r="AC66" s="33"/>
      <c r="AD66" s="33">
        <f t="shared" si="24"/>
        <v>1607.859649122807</v>
      </c>
      <c r="AE66" s="50"/>
      <c r="AF66" s="33"/>
      <c r="AG66" s="33">
        <f t="shared" si="35"/>
        <v>1602</v>
      </c>
      <c r="AH66" s="33"/>
      <c r="AI66" s="50"/>
      <c r="AJ66" s="1"/>
      <c r="AK66" s="23">
        <f t="shared" si="39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40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1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2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8"/>
        <v>92866</v>
      </c>
      <c r="AA67" s="33"/>
      <c r="AB67" s="46">
        <f t="shared" si="23"/>
        <v>6.0743222427099432E-2</v>
      </c>
      <c r="AC67" s="33"/>
      <c r="AD67" s="33">
        <f t="shared" si="24"/>
        <v>1601.1379310344828</v>
      </c>
      <c r="AE67" s="50"/>
      <c r="AF67" s="33"/>
      <c r="AG67" s="33">
        <f t="shared" si="35"/>
        <v>1218</v>
      </c>
      <c r="AH67" s="232"/>
      <c r="AI67" s="50"/>
      <c r="AJ67" s="1"/>
      <c r="AK67" s="23">
        <f t="shared" si="39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40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1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2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8"/>
        <v>93731</v>
      </c>
      <c r="AA68" s="33"/>
      <c r="AB68" s="46">
        <f t="shared" si="23"/>
        <v>6.0521592024381426E-2</v>
      </c>
      <c r="AC68" s="33"/>
      <c r="AD68" s="33">
        <f t="shared" si="24"/>
        <v>1588.6610169491526</v>
      </c>
      <c r="AE68" s="50"/>
      <c r="AF68" s="33">
        <f>SUM(V62:V68)</f>
        <v>10191</v>
      </c>
      <c r="AG68" s="33">
        <f t="shared" si="35"/>
        <v>865</v>
      </c>
      <c r="AH68" s="232">
        <f>+(AF68-AF61)/AF61</f>
        <v>-0.16398687448728466</v>
      </c>
      <c r="AI68" s="50"/>
      <c r="AJ68" s="392"/>
      <c r="AK68" s="23">
        <f t="shared" si="39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40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1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2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>
        <f t="shared" ref="N69:N96" si="43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8"/>
        <v>94734</v>
      </c>
      <c r="AA69" s="33"/>
      <c r="AB69" s="46">
        <f t="shared" ref="AB69:AB96" si="44">+Z69/H69</f>
        <v>6.0288287141629808E-2</v>
      </c>
      <c r="AC69" s="33"/>
      <c r="AD69" s="33">
        <f t="shared" ref="AD69:AD96" si="45">+Z69/BV69</f>
        <v>1578.9</v>
      </c>
      <c r="AE69" s="50"/>
      <c r="AF69" s="33"/>
      <c r="AG69" s="33">
        <f t="shared" si="35"/>
        <v>1003</v>
      </c>
      <c r="AH69" s="232"/>
      <c r="AI69" s="50"/>
      <c r="AJ69" s="10"/>
      <c r="AK69" s="23">
        <f t="shared" si="39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40"/>
        <v>2.8851955460479403E-2</v>
      </c>
      <c r="AR69" s="25"/>
      <c r="AS69" s="25"/>
      <c r="AT69" s="24"/>
      <c r="AU69" s="342">
        <f t="shared" ref="AU69:AU96" si="46">+AO69/H69</f>
        <v>0.22680052184427404</v>
      </c>
      <c r="AV69" s="342"/>
      <c r="AW69" s="24">
        <f t="shared" ref="AW69:AW96" si="47">+AO69/BV69</f>
        <v>5939.7166666666662</v>
      </c>
      <c r="AX69" s="352"/>
      <c r="AY69" s="10"/>
      <c r="AZ69" s="66">
        <f t="shared" si="41"/>
        <v>425164</v>
      </c>
      <c r="BA69" s="67"/>
      <c r="BB69" s="67">
        <v>12300744</v>
      </c>
      <c r="BC69" s="67"/>
      <c r="BD69" s="67">
        <f t="shared" ref="BD69:BD96" si="48">+D69</f>
        <v>22630</v>
      </c>
      <c r="BE69" s="67"/>
      <c r="BF69" s="157">
        <f t="shared" si="42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9">+BB69/BV69</f>
        <v>205012.4</v>
      </c>
      <c r="BN69" s="67"/>
      <c r="BO69" s="67">
        <f t="shared" ref="BO69:BO96" si="50">+BO68+BD69</f>
        <v>1297972</v>
      </c>
      <c r="BP69" s="67"/>
      <c r="BQ69" s="74">
        <f t="shared" ref="BQ69:BQ96" si="51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>
        <f t="shared" si="43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8"/>
        <v>96286</v>
      </c>
      <c r="AA70" s="33"/>
      <c r="AB70" s="46">
        <f t="shared" si="44"/>
        <v>6.0494873523456012E-2</v>
      </c>
      <c r="AC70" s="33"/>
      <c r="AD70" s="33">
        <f t="shared" si="45"/>
        <v>1578.4590163934427</v>
      </c>
      <c r="AE70" s="50"/>
      <c r="AF70" s="33"/>
      <c r="AG70" s="33">
        <f t="shared" si="35"/>
        <v>1552</v>
      </c>
      <c r="AH70" s="232"/>
      <c r="AI70" s="50"/>
      <c r="AJ70" s="10"/>
      <c r="AK70" s="23">
        <f t="shared" si="39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40"/>
        <v>1.346023800237385E-2</v>
      </c>
      <c r="AR70" s="25"/>
      <c r="AS70" s="25"/>
      <c r="AT70" s="24"/>
      <c r="AU70" s="342">
        <f t="shared" si="46"/>
        <v>0.22692331615397712</v>
      </c>
      <c r="AV70" s="342"/>
      <c r="AW70" s="24">
        <f t="shared" si="47"/>
        <v>5920.9836065573772</v>
      </c>
      <c r="AX70" s="352"/>
      <c r="AY70" s="10"/>
      <c r="AZ70" s="66">
        <f t="shared" si="41"/>
        <v>344729</v>
      </c>
      <c r="BA70" s="67"/>
      <c r="BB70" s="67">
        <v>12645473</v>
      </c>
      <c r="BC70" s="67"/>
      <c r="BD70" s="67">
        <f t="shared" si="48"/>
        <v>20289</v>
      </c>
      <c r="BE70" s="67"/>
      <c r="BF70" s="157">
        <f t="shared" si="42"/>
        <v>5.8854926623521667E-2</v>
      </c>
      <c r="BG70" s="67"/>
      <c r="BH70" s="184"/>
      <c r="BI70" s="67"/>
      <c r="BJ70" s="67"/>
      <c r="BK70" s="67"/>
      <c r="BL70" s="157"/>
      <c r="BM70" s="66">
        <f t="shared" si="49"/>
        <v>207302.83606557376</v>
      </c>
      <c r="BN70" s="67"/>
      <c r="BO70" s="67">
        <f t="shared" si="50"/>
        <v>1318261</v>
      </c>
      <c r="BP70" s="67"/>
      <c r="BQ70" s="74">
        <f t="shared" si="51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>
        <f t="shared" si="43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8"/>
        <v>97689</v>
      </c>
      <c r="AA71" s="33"/>
      <c r="AB71" s="46">
        <f t="shared" si="44"/>
        <v>6.0534311079769906E-2</v>
      </c>
      <c r="AC71" s="33"/>
      <c r="AD71" s="33">
        <f t="shared" si="45"/>
        <v>1575.6290322580646</v>
      </c>
      <c r="AE71" s="50"/>
      <c r="AF71" s="33"/>
      <c r="AG71" s="33">
        <f t="shared" si="35"/>
        <v>1403</v>
      </c>
      <c r="AH71" s="232"/>
      <c r="AI71" s="50"/>
      <c r="AJ71" s="10"/>
      <c r="AK71" s="23">
        <f t="shared" si="39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40"/>
        <v>2.4630378204773245E-2</v>
      </c>
      <c r="AR71" s="25"/>
      <c r="AS71" s="25"/>
      <c r="AT71" s="24"/>
      <c r="AU71" s="342">
        <f t="shared" si="46"/>
        <v>0.2293226024133416</v>
      </c>
      <c r="AV71" s="342"/>
      <c r="AW71" s="24">
        <f t="shared" si="47"/>
        <v>5968.9677419354839</v>
      </c>
      <c r="AX71" s="352"/>
      <c r="AY71" s="10"/>
      <c r="AZ71" s="66">
        <f t="shared" si="41"/>
        <v>323101</v>
      </c>
      <c r="BA71" s="67"/>
      <c r="BB71" s="67">
        <v>12968574</v>
      </c>
      <c r="BC71" s="67"/>
      <c r="BD71" s="67">
        <f t="shared" si="48"/>
        <v>22140</v>
      </c>
      <c r="BE71" s="67"/>
      <c r="BF71" s="157">
        <f t="shared" si="42"/>
        <v>6.8523464798932843E-2</v>
      </c>
      <c r="BG71" s="67"/>
      <c r="BH71" s="184"/>
      <c r="BI71" s="67"/>
      <c r="BJ71" s="67"/>
      <c r="BK71" s="67"/>
      <c r="BL71" s="157"/>
      <c r="BM71" s="66">
        <f t="shared" si="49"/>
        <v>209170.54838709679</v>
      </c>
      <c r="BN71" s="67"/>
      <c r="BO71" s="67">
        <f t="shared" si="50"/>
        <v>1340401</v>
      </c>
      <c r="BP71" s="67"/>
      <c r="BQ71" s="74">
        <f t="shared" si="51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>
        <f t="shared" si="43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8"/>
        <v>99107</v>
      </c>
      <c r="AA72" s="33"/>
      <c r="AB72" s="46">
        <f t="shared" si="44"/>
        <v>6.0359181804118749E-2</v>
      </c>
      <c r="AC72" s="33"/>
      <c r="AD72" s="33">
        <f t="shared" si="45"/>
        <v>1573.1269841269841</v>
      </c>
      <c r="AE72" s="50"/>
      <c r="AF72" s="33"/>
      <c r="AG72" s="33">
        <f t="shared" si="35"/>
        <v>1418</v>
      </c>
      <c r="AH72" s="232"/>
      <c r="AI72" s="50"/>
      <c r="AJ72" s="10"/>
      <c r="AK72" s="23">
        <f t="shared" si="39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40"/>
        <v>3.2677071736616263E-2</v>
      </c>
      <c r="AR72" s="25"/>
      <c r="AS72" s="25"/>
      <c r="AT72" s="24"/>
      <c r="AU72" s="342">
        <f t="shared" si="46"/>
        <v>0.23275256188663021</v>
      </c>
      <c r="AV72" s="342"/>
      <c r="AW72" s="24">
        <f t="shared" si="47"/>
        <v>6066.1746031746034</v>
      </c>
      <c r="AX72" s="352"/>
      <c r="AY72" s="10"/>
      <c r="AZ72" s="66">
        <f t="shared" si="41"/>
        <v>470540</v>
      </c>
      <c r="BA72" s="67"/>
      <c r="BB72" s="67">
        <v>13439114</v>
      </c>
      <c r="BC72" s="67"/>
      <c r="BD72" s="67">
        <f t="shared" si="48"/>
        <v>28175</v>
      </c>
      <c r="BE72" s="67"/>
      <c r="BF72" s="157">
        <f t="shared" si="42"/>
        <v>5.9878012496280872E-2</v>
      </c>
      <c r="BG72" s="67"/>
      <c r="BH72" s="184"/>
      <c r="BI72" s="67"/>
      <c r="BJ72" s="67"/>
      <c r="BK72" s="67"/>
      <c r="BL72" s="157"/>
      <c r="BM72" s="66">
        <f t="shared" si="49"/>
        <v>213319.26984126985</v>
      </c>
      <c r="BN72" s="67"/>
      <c r="BO72" s="67">
        <f t="shared" si="50"/>
        <v>1368576</v>
      </c>
      <c r="BP72" s="67"/>
      <c r="BQ72" s="74">
        <f t="shared" si="51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>
        <f t="shared" si="43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8"/>
        <v>100400</v>
      </c>
      <c r="AA73" s="33"/>
      <c r="AB73" s="46">
        <f t="shared" si="44"/>
        <v>6.0265697293325877E-2</v>
      </c>
      <c r="AC73" s="33"/>
      <c r="AD73" s="33">
        <f t="shared" si="45"/>
        <v>1568.75</v>
      </c>
      <c r="AE73" s="50"/>
      <c r="AF73" s="33"/>
      <c r="AG73" s="33">
        <f t="shared" si="35"/>
        <v>1293</v>
      </c>
      <c r="AH73" s="232"/>
      <c r="AI73" s="50"/>
      <c r="AJ73" s="10"/>
      <c r="AK73" s="23">
        <f t="shared" si="39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40"/>
        <v>0.13456873791437821</v>
      </c>
      <c r="AR73" s="25"/>
      <c r="AS73" s="25"/>
      <c r="AT73" s="24"/>
      <c r="AU73" s="342">
        <f t="shared" si="46"/>
        <v>0.26026917877783085</v>
      </c>
      <c r="AV73" s="342"/>
      <c r="AW73" s="24">
        <f t="shared" si="47"/>
        <v>6774.953125</v>
      </c>
      <c r="AX73" s="352"/>
      <c r="AY73" s="10"/>
      <c r="AZ73" s="66">
        <f t="shared" si="41"/>
        <v>470791</v>
      </c>
      <c r="BA73" s="67"/>
      <c r="BB73" s="67">
        <v>13909905</v>
      </c>
      <c r="BC73" s="67"/>
      <c r="BD73" s="67">
        <f t="shared" si="48"/>
        <v>24002</v>
      </c>
      <c r="BE73" s="67"/>
      <c r="BF73" s="157">
        <f t="shared" si="42"/>
        <v>5.0982283008808582E-2</v>
      </c>
      <c r="BG73" s="67"/>
      <c r="BH73" s="184"/>
      <c r="BI73" s="67"/>
      <c r="BJ73" s="67"/>
      <c r="BK73" s="67"/>
      <c r="BL73" s="157"/>
      <c r="BM73" s="66">
        <f t="shared" si="49"/>
        <v>217342.265625</v>
      </c>
      <c r="BN73" s="67"/>
      <c r="BO73" s="67">
        <f t="shared" si="50"/>
        <v>1392578</v>
      </c>
      <c r="BP73" s="67"/>
      <c r="BQ73" s="74">
        <f t="shared" si="51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>
        <f t="shared" si="43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8"/>
        <v>101436</v>
      </c>
      <c r="AA74" s="33"/>
      <c r="AB74" s="46">
        <f t="shared" si="44"/>
        <v>6.0096546919101074E-2</v>
      </c>
      <c r="AC74" s="33"/>
      <c r="AD74" s="33">
        <f t="shared" si="45"/>
        <v>1560.5538461538461</v>
      </c>
      <c r="AE74" s="50"/>
      <c r="AF74" s="33"/>
      <c r="AG74" s="33">
        <f t="shared" si="35"/>
        <v>1036</v>
      </c>
      <c r="AH74" s="232"/>
      <c r="AI74" s="50"/>
      <c r="AJ74" s="10"/>
      <c r="AK74" s="23">
        <f t="shared" si="39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40"/>
        <v>3.0712850873045709E-2</v>
      </c>
      <c r="AR74" s="25"/>
      <c r="AS74" s="25"/>
      <c r="AT74" s="24"/>
      <c r="AU74" s="342">
        <f t="shared" si="46"/>
        <v>0.26477767429515298</v>
      </c>
      <c r="AV74" s="342"/>
      <c r="AW74" s="24">
        <f t="shared" si="47"/>
        <v>6875.6</v>
      </c>
      <c r="AX74" s="352"/>
      <c r="AY74" s="10"/>
      <c r="AZ74" s="66">
        <f t="shared" si="41"/>
        <v>448064</v>
      </c>
      <c r="BA74" s="67"/>
      <c r="BB74" s="67">
        <v>14357969</v>
      </c>
      <c r="BC74" s="67"/>
      <c r="BD74" s="67">
        <f t="shared" si="48"/>
        <v>21928</v>
      </c>
      <c r="BE74" s="67"/>
      <c r="BF74" s="157">
        <f t="shared" si="42"/>
        <v>4.8939437223253821E-2</v>
      </c>
      <c r="BG74" s="67"/>
      <c r="BH74" s="184"/>
      <c r="BI74" s="67"/>
      <c r="BJ74" s="67"/>
      <c r="BK74" s="67"/>
      <c r="BL74" s="157"/>
      <c r="BM74" s="66">
        <f t="shared" si="49"/>
        <v>220891.83076923076</v>
      </c>
      <c r="BN74" s="67"/>
      <c r="BO74" s="67">
        <f t="shared" si="50"/>
        <v>1414506</v>
      </c>
      <c r="BP74" s="67"/>
      <c r="BQ74" s="74">
        <f t="shared" si="51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>
        <f t="shared" si="43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8"/>
        <v>102053</v>
      </c>
      <c r="AA75" s="33"/>
      <c r="AB75" s="46">
        <f t="shared" si="44"/>
        <v>5.9767776364398777E-2</v>
      </c>
      <c r="AC75" s="33"/>
      <c r="AD75" s="33">
        <f t="shared" si="45"/>
        <v>1546.2575757575758</v>
      </c>
      <c r="AE75" s="50"/>
      <c r="AF75" s="33">
        <f>SUM(V69:V75)</f>
        <v>8322</v>
      </c>
      <c r="AG75" s="33">
        <f t="shared" si="35"/>
        <v>617</v>
      </c>
      <c r="AH75" s="232">
        <f>+(AF75-AF68)/AF68</f>
        <v>-0.1833971151015602</v>
      </c>
      <c r="AI75" s="50"/>
      <c r="AJ75" s="392"/>
      <c r="AK75" s="23">
        <f t="shared" si="39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40"/>
        <v>1.0713470600607723E-2</v>
      </c>
      <c r="AR75" s="25"/>
      <c r="AS75" s="25"/>
      <c r="AT75" s="24"/>
      <c r="AU75" s="342">
        <f t="shared" si="46"/>
        <v>0.26454121014915444</v>
      </c>
      <c r="AV75" s="342"/>
      <c r="AW75" s="24">
        <f t="shared" si="47"/>
        <v>6843.969696969697</v>
      </c>
      <c r="AX75" s="352"/>
      <c r="AY75" s="392"/>
      <c r="AZ75" s="66">
        <f t="shared" si="41"/>
        <v>391787</v>
      </c>
      <c r="BA75" s="67"/>
      <c r="BB75" s="67">
        <v>14749756</v>
      </c>
      <c r="BC75" s="67"/>
      <c r="BD75" s="67">
        <f t="shared" si="48"/>
        <v>19608</v>
      </c>
      <c r="BE75" s="67"/>
      <c r="BF75" s="157">
        <f t="shared" si="42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9"/>
        <v>223481.15151515152</v>
      </c>
      <c r="BN75" s="67"/>
      <c r="BO75" s="67">
        <f t="shared" si="50"/>
        <v>1434114</v>
      </c>
      <c r="BP75" s="67"/>
      <c r="BQ75" s="74">
        <f t="shared" si="51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>
        <f t="shared" si="43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8"/>
        <v>102558</v>
      </c>
      <c r="AA76" s="33"/>
      <c r="AB76" s="46">
        <f t="shared" si="44"/>
        <v>5.937536545856438E-2</v>
      </c>
      <c r="AC76" s="33"/>
      <c r="AD76" s="33">
        <f t="shared" si="45"/>
        <v>1530.7164179104477</v>
      </c>
      <c r="AE76" s="50"/>
      <c r="AF76" s="33"/>
      <c r="AG76" s="33">
        <f t="shared" si="35"/>
        <v>505</v>
      </c>
      <c r="AH76" s="232"/>
      <c r="AI76" s="50"/>
      <c r="AJ76" s="10"/>
      <c r="AK76" s="23">
        <f t="shared" si="39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40"/>
        <v>2.8709193229164362E-2</v>
      </c>
      <c r="AR76" s="25"/>
      <c r="AS76" s="25"/>
      <c r="AT76" s="24"/>
      <c r="AU76" s="342">
        <f t="shared" si="46"/>
        <v>0.26901802948215753</v>
      </c>
      <c r="AV76" s="342"/>
      <c r="AW76" s="24">
        <f t="shared" si="47"/>
        <v>6935.373134328358</v>
      </c>
      <c r="AX76" s="352"/>
      <c r="AY76" s="10"/>
      <c r="AZ76" s="66">
        <f t="shared" si="41"/>
        <v>437891</v>
      </c>
      <c r="BA76" s="67"/>
      <c r="BB76" s="67">
        <v>15187647</v>
      </c>
      <c r="BC76" s="67"/>
      <c r="BD76" s="67">
        <f t="shared" si="48"/>
        <v>19790</v>
      </c>
      <c r="BE76" s="67"/>
      <c r="BF76" s="157">
        <f t="shared" si="42"/>
        <v>4.5193895284442932E-2</v>
      </c>
      <c r="BG76" s="67"/>
      <c r="BH76" s="184"/>
      <c r="BI76" s="67"/>
      <c r="BJ76" s="67"/>
      <c r="BK76" s="67"/>
      <c r="BL76" s="157"/>
      <c r="BM76" s="66">
        <f t="shared" si="49"/>
        <v>226681.29850746269</v>
      </c>
      <c r="BN76" s="67"/>
      <c r="BO76" s="67">
        <f t="shared" si="50"/>
        <v>1453904</v>
      </c>
      <c r="BP76" s="67"/>
      <c r="BQ76" s="74">
        <f t="shared" si="51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4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>
        <f t="shared" si="43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8"/>
        <v>103332</v>
      </c>
      <c r="AA77" s="33"/>
      <c r="AB77" s="46">
        <f t="shared" si="44"/>
        <v>5.917152308893079E-2</v>
      </c>
      <c r="AC77" s="33"/>
      <c r="AD77" s="33">
        <f t="shared" si="45"/>
        <v>1519.5882352941176</v>
      </c>
      <c r="AE77" s="50"/>
      <c r="AF77" s="33"/>
      <c r="AG77" s="33">
        <f t="shared" si="35"/>
        <v>774</v>
      </c>
      <c r="AH77" s="232"/>
      <c r="AI77" s="50"/>
      <c r="AJ77" s="10"/>
      <c r="AK77" s="23">
        <f t="shared" si="39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40"/>
        <v>3.2924441001140593E-2</v>
      </c>
      <c r="AR77" s="25"/>
      <c r="AS77" s="25"/>
      <c r="AT77" s="24"/>
      <c r="AU77" s="342">
        <f t="shared" si="46"/>
        <v>0.27484706349892601</v>
      </c>
      <c r="AV77" s="342"/>
      <c r="AW77" s="24">
        <f t="shared" si="47"/>
        <v>7058.3676470588234</v>
      </c>
      <c r="AX77" s="352"/>
      <c r="AY77" s="10"/>
      <c r="AZ77" s="66">
        <f t="shared" si="41"/>
        <v>344512</v>
      </c>
      <c r="BA77" s="67"/>
      <c r="BB77" s="67">
        <v>15532159</v>
      </c>
      <c r="BC77" s="67"/>
      <c r="BD77" s="67">
        <f t="shared" si="48"/>
        <v>19031</v>
      </c>
      <c r="BE77" s="67"/>
      <c r="BF77" s="157">
        <f t="shared" si="42"/>
        <v>5.5240456065391047E-2</v>
      </c>
      <c r="BG77" s="67"/>
      <c r="BH77" s="184"/>
      <c r="BI77" s="67"/>
      <c r="BJ77" s="67"/>
      <c r="BK77" s="67"/>
      <c r="BL77" s="157"/>
      <c r="BM77" s="66">
        <f t="shared" si="49"/>
        <v>228414.10294117648</v>
      </c>
      <c r="BN77" s="67"/>
      <c r="BO77" s="67">
        <f t="shared" si="50"/>
        <v>1472935</v>
      </c>
      <c r="BP77" s="67"/>
      <c r="BQ77" s="74">
        <f t="shared" si="51"/>
        <v>9.4831310959410081E-2</v>
      </c>
      <c r="BR77" s="67"/>
      <c r="BS77" s="86"/>
      <c r="BT77" s="184"/>
      <c r="BU77" s="1"/>
      <c r="BV77">
        <f t="shared" ref="BV77:BV141" si="53">+BV76+1</f>
        <v>68</v>
      </c>
    </row>
    <row r="78" spans="2:74" x14ac:dyDescent="0.3">
      <c r="B78" s="172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>
        <f t="shared" si="43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8"/>
        <v>104860</v>
      </c>
      <c r="AA78" s="33"/>
      <c r="AB78" s="46">
        <f t="shared" si="44"/>
        <v>5.9348255859692257E-2</v>
      </c>
      <c r="AC78" s="33"/>
      <c r="AD78" s="33">
        <f t="shared" si="45"/>
        <v>1519.7101449275362</v>
      </c>
      <c r="AE78" s="50"/>
      <c r="AF78" s="33"/>
      <c r="AG78" s="33">
        <f t="shared" si="35"/>
        <v>1528</v>
      </c>
      <c r="AH78" s="232"/>
      <c r="AI78" s="50"/>
      <c r="AJ78" s="10"/>
      <c r="AK78" s="23">
        <f t="shared" si="39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40"/>
        <v>2.1170117236738208E-2</v>
      </c>
      <c r="AR78" s="25"/>
      <c r="AS78" s="25"/>
      <c r="AT78" s="24"/>
      <c r="AU78" s="342">
        <f t="shared" si="46"/>
        <v>0.27740187530527338</v>
      </c>
      <c r="AV78" s="342"/>
      <c r="AW78" s="24">
        <f t="shared" si="47"/>
        <v>7103.333333333333</v>
      </c>
      <c r="AX78" s="352"/>
      <c r="AY78" s="10"/>
      <c r="AZ78" s="66">
        <f t="shared" si="41"/>
        <v>343314</v>
      </c>
      <c r="BA78" s="67"/>
      <c r="BB78" s="67">
        <v>15875473</v>
      </c>
      <c r="BC78" s="67"/>
      <c r="BD78" s="67">
        <f t="shared" si="48"/>
        <v>20546</v>
      </c>
      <c r="BE78" s="67"/>
      <c r="BF78" s="157">
        <f t="shared" si="42"/>
        <v>5.9846088420512998E-2</v>
      </c>
      <c r="BG78" s="67"/>
      <c r="BH78" s="184"/>
      <c r="BI78" s="67"/>
      <c r="BJ78" s="67"/>
      <c r="BK78" s="67"/>
      <c r="BL78" s="157"/>
      <c r="BM78" s="66">
        <f t="shared" si="49"/>
        <v>230079.31884057971</v>
      </c>
      <c r="BN78" s="67"/>
      <c r="BO78" s="67">
        <f t="shared" si="50"/>
        <v>1493481</v>
      </c>
      <c r="BP78" s="67"/>
      <c r="BQ78" s="74">
        <f t="shared" si="51"/>
        <v>9.4074740324272543E-2</v>
      </c>
      <c r="BR78" s="67"/>
      <c r="BS78" s="86"/>
      <c r="BT78" s="184"/>
      <c r="BU78" s="1"/>
      <c r="BV78">
        <f t="shared" si="53"/>
        <v>69</v>
      </c>
    </row>
    <row r="79" spans="2:74" x14ac:dyDescent="0.3">
      <c r="B79" s="172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>
        <f t="shared" si="43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8"/>
        <v>106083</v>
      </c>
      <c r="AA79" s="33"/>
      <c r="AB79" s="46">
        <f t="shared" si="44"/>
        <v>5.9280241540035666E-2</v>
      </c>
      <c r="AC79" s="33"/>
      <c r="AD79" s="33">
        <f t="shared" si="45"/>
        <v>1515.4714285714285</v>
      </c>
      <c r="AE79" s="50"/>
      <c r="AF79" s="33"/>
      <c r="AG79" s="33">
        <f t="shared" si="35"/>
        <v>1223</v>
      </c>
      <c r="AH79" s="232"/>
      <c r="AI79" s="50"/>
      <c r="AJ79" s="10"/>
      <c r="AK79" s="23">
        <f t="shared" si="39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40"/>
        <v>1.7536163874890334E-2</v>
      </c>
      <c r="AR79" s="25"/>
      <c r="AS79" s="25"/>
      <c r="AT79" s="24"/>
      <c r="AU79" s="342">
        <f t="shared" si="46"/>
        <v>0.2786925187075619</v>
      </c>
      <c r="AV79" s="342"/>
      <c r="AW79" s="24">
        <f t="shared" si="47"/>
        <v>7124.6428571428569</v>
      </c>
      <c r="AX79" s="352"/>
      <c r="AY79" s="10"/>
      <c r="AZ79" s="66">
        <f t="shared" si="41"/>
        <v>455839</v>
      </c>
      <c r="BA79" s="67"/>
      <c r="BB79" s="67">
        <v>16331312</v>
      </c>
      <c r="BC79" s="67"/>
      <c r="BD79" s="67">
        <f t="shared" si="48"/>
        <v>22658</v>
      </c>
      <c r="BE79" s="67"/>
      <c r="BF79" s="157">
        <f t="shared" si="42"/>
        <v>4.9706146249004581E-2</v>
      </c>
      <c r="BG79" s="67"/>
      <c r="BH79" s="184"/>
      <c r="BI79" s="67"/>
      <c r="BJ79" s="67"/>
      <c r="BK79" s="67"/>
      <c r="BL79" s="157"/>
      <c r="BM79" s="66">
        <f t="shared" si="49"/>
        <v>233304.45714285714</v>
      </c>
      <c r="BN79" s="67"/>
      <c r="BO79" s="67">
        <f t="shared" si="50"/>
        <v>1516139</v>
      </c>
      <c r="BP79" s="67"/>
      <c r="BQ79" s="74">
        <f t="shared" si="51"/>
        <v>9.2836325703654424E-2</v>
      </c>
      <c r="BR79" s="67"/>
      <c r="BS79" s="86"/>
      <c r="BT79" s="184"/>
      <c r="BU79" s="1"/>
      <c r="BV79">
        <f t="shared" si="53"/>
        <v>70</v>
      </c>
    </row>
    <row r="80" spans="2:74" x14ac:dyDescent="0.3">
      <c r="B80" s="172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>
        <f t="shared" si="43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8"/>
        <v>107295</v>
      </c>
      <c r="AA80" s="33"/>
      <c r="AB80" s="46">
        <f t="shared" si="44"/>
        <v>5.912918979866482E-2</v>
      </c>
      <c r="AC80" s="33"/>
      <c r="AD80" s="33">
        <f t="shared" si="45"/>
        <v>1511.1971830985915</v>
      </c>
      <c r="AE80" s="50"/>
      <c r="AF80" s="33"/>
      <c r="AG80" s="33">
        <f t="shared" si="35"/>
        <v>1212</v>
      </c>
      <c r="AH80" s="232"/>
      <c r="AI80" s="50"/>
      <c r="AJ80" s="10"/>
      <c r="AK80" s="23">
        <f t="shared" si="39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40"/>
        <v>4.1794576169231538E-2</v>
      </c>
      <c r="AR80" s="25"/>
      <c r="AS80" s="25"/>
      <c r="AT80" s="24"/>
      <c r="AU80" s="342">
        <f t="shared" si="46"/>
        <v>0.28632922330493016</v>
      </c>
      <c r="AV80" s="342"/>
      <c r="AW80" s="24">
        <f t="shared" si="47"/>
        <v>7317.8732394366198</v>
      </c>
      <c r="AX80" s="352"/>
      <c r="AY80" s="10"/>
      <c r="AZ80" s="66">
        <f t="shared" si="41"/>
        <v>479466</v>
      </c>
      <c r="BA80" s="67"/>
      <c r="BB80" s="67">
        <v>16810778</v>
      </c>
      <c r="BC80" s="67"/>
      <c r="BD80" s="67">
        <f t="shared" si="48"/>
        <v>25069</v>
      </c>
      <c r="BE80" s="67"/>
      <c r="BF80" s="157">
        <f t="shared" si="42"/>
        <v>5.2285250674708947E-2</v>
      </c>
      <c r="BG80" s="67"/>
      <c r="BH80" s="184"/>
      <c r="BI80" s="67"/>
      <c r="BJ80" s="67"/>
      <c r="BK80" s="67"/>
      <c r="BL80" s="157"/>
      <c r="BM80" s="66">
        <f t="shared" si="49"/>
        <v>236771.52112676058</v>
      </c>
      <c r="BN80" s="67"/>
      <c r="BO80" s="67">
        <f t="shared" si="50"/>
        <v>1541208</v>
      </c>
      <c r="BP80" s="67"/>
      <c r="BQ80" s="74">
        <f t="shared" si="51"/>
        <v>9.1679754500356855E-2</v>
      </c>
      <c r="BR80" s="67"/>
      <c r="BS80" s="86"/>
      <c r="BT80" s="184"/>
      <c r="BU80" s="1"/>
      <c r="BV80">
        <f t="shared" si="53"/>
        <v>71</v>
      </c>
    </row>
    <row r="81" spans="2:74" x14ac:dyDescent="0.3">
      <c r="B81" s="476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>
        <f t="shared" si="43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8"/>
        <v>108310</v>
      </c>
      <c r="AA81" s="33"/>
      <c r="AB81" s="46">
        <f t="shared" si="44"/>
        <v>5.8932158643999921E-2</v>
      </c>
      <c r="AC81" s="33"/>
      <c r="AD81" s="33">
        <f t="shared" si="45"/>
        <v>1504.3055555555557</v>
      </c>
      <c r="AE81" s="50"/>
      <c r="AF81" s="33"/>
      <c r="AG81" s="33">
        <f t="shared" si="35"/>
        <v>1015</v>
      </c>
      <c r="AH81" s="232"/>
      <c r="AI81" s="50"/>
      <c r="AJ81" s="10"/>
      <c r="AK81" s="23">
        <f t="shared" si="39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40"/>
        <v>3.0157688391724679E-2</v>
      </c>
      <c r="AR81" s="25"/>
      <c r="AS81" s="25"/>
      <c r="AT81" s="24"/>
      <c r="AU81" s="342">
        <f t="shared" si="46"/>
        <v>0.2912263939460551</v>
      </c>
      <c r="AV81" s="342"/>
      <c r="AW81" s="24">
        <f t="shared" si="47"/>
        <v>7433.8611111111113</v>
      </c>
      <c r="AX81" s="352"/>
      <c r="AY81" s="504"/>
      <c r="AZ81" s="66">
        <f t="shared" si="41"/>
        <v>460063</v>
      </c>
      <c r="BA81" s="67"/>
      <c r="BB81" s="67">
        <v>17270841</v>
      </c>
      <c r="BC81" s="67"/>
      <c r="BD81" s="67">
        <f t="shared" si="48"/>
        <v>23290</v>
      </c>
      <c r="BE81" s="67"/>
      <c r="BF81" s="157">
        <f t="shared" si="42"/>
        <v>5.0623501563916248E-2</v>
      </c>
      <c r="BG81" s="67"/>
      <c r="BH81" s="184"/>
      <c r="BI81" s="67"/>
      <c r="BJ81" s="67"/>
      <c r="BK81" s="67"/>
      <c r="BL81" s="157"/>
      <c r="BM81" s="66">
        <f t="shared" si="49"/>
        <v>239872.79166666666</v>
      </c>
      <c r="BN81" s="67"/>
      <c r="BO81" s="67">
        <f t="shared" si="50"/>
        <v>1564498</v>
      </c>
      <c r="BP81" s="67"/>
      <c r="BQ81" s="74">
        <f t="shared" si="51"/>
        <v>9.0586092478067509E-2</v>
      </c>
      <c r="BR81" s="67"/>
      <c r="BS81" s="86"/>
      <c r="BT81" s="184"/>
      <c r="BU81" s="1"/>
      <c r="BV81">
        <f t="shared" si="53"/>
        <v>72</v>
      </c>
    </row>
    <row r="82" spans="2:74" x14ac:dyDescent="0.3">
      <c r="B82" s="391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>
        <f t="shared" si="43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8"/>
        <v>108948</v>
      </c>
      <c r="AA82" s="33"/>
      <c r="AB82" s="46">
        <f t="shared" si="44"/>
        <v>5.8630112806515464E-2</v>
      </c>
      <c r="AC82" s="33"/>
      <c r="AD82" s="33">
        <f t="shared" si="45"/>
        <v>1492.4383561643835</v>
      </c>
      <c r="AE82" s="50"/>
      <c r="AF82" s="33">
        <f>SUM(V76:V82)</f>
        <v>6895</v>
      </c>
      <c r="AG82" s="33">
        <f t="shared" si="35"/>
        <v>638</v>
      </c>
      <c r="AH82" s="232">
        <f>+(AF82-AF75)/AF75</f>
        <v>-0.17147320355683729</v>
      </c>
      <c r="AI82" s="50"/>
      <c r="AJ82" s="392"/>
      <c r="AK82" s="23">
        <f t="shared" si="39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40"/>
        <v>0.12074815315803437</v>
      </c>
      <c r="AR82" s="25"/>
      <c r="AS82" s="25"/>
      <c r="AT82" s="24"/>
      <c r="AU82" s="342">
        <f t="shared" si="46"/>
        <v>0.32281703086707431</v>
      </c>
      <c r="AV82" s="342"/>
      <c r="AW82" s="24">
        <f t="shared" si="47"/>
        <v>8217.3561643835619</v>
      </c>
      <c r="AX82" s="352"/>
      <c r="AY82" s="392"/>
      <c r="AZ82" s="66">
        <f t="shared" si="41"/>
        <v>401726</v>
      </c>
      <c r="BA82" s="67"/>
      <c r="BB82" s="67">
        <v>17672567</v>
      </c>
      <c r="BC82" s="67"/>
      <c r="BD82" s="67">
        <f t="shared" si="48"/>
        <v>20350</v>
      </c>
      <c r="BE82" s="67"/>
      <c r="BF82" s="157">
        <f t="shared" si="42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9"/>
        <v>242089.95890410958</v>
      </c>
      <c r="BN82" s="67"/>
      <c r="BO82" s="67">
        <f t="shared" si="50"/>
        <v>1584848</v>
      </c>
      <c r="BP82" s="67"/>
      <c r="BQ82" s="74">
        <f t="shared" si="51"/>
        <v>8.9678426456100011E-2</v>
      </c>
      <c r="BR82" s="67"/>
      <c r="BS82" s="86"/>
      <c r="BT82" s="184"/>
      <c r="BU82" s="1"/>
      <c r="BV82">
        <f t="shared" si="53"/>
        <v>73</v>
      </c>
    </row>
    <row r="83" spans="2:74" x14ac:dyDescent="0.3">
      <c r="B83" s="172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>
        <f t="shared" si="43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8"/>
        <v>109678</v>
      </c>
      <c r="AA83" s="33"/>
      <c r="AB83" s="46">
        <f t="shared" si="44"/>
        <v>5.8327603105544149E-2</v>
      </c>
      <c r="AC83" s="33"/>
      <c r="AD83" s="33">
        <f t="shared" si="45"/>
        <v>1482.1351351351352</v>
      </c>
      <c r="AE83" s="50"/>
      <c r="AF83" s="33">
        <f>SUM(D52:D82)</f>
        <v>742147</v>
      </c>
      <c r="AG83" s="33"/>
      <c r="AH83" s="232"/>
      <c r="AI83" s="50"/>
      <c r="AJ83" s="10"/>
      <c r="AK83" s="23">
        <f t="shared" si="39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40"/>
        <v>2.5774046580325307E-2</v>
      </c>
      <c r="AR83" s="25"/>
      <c r="AS83" s="25"/>
      <c r="AT83" s="24"/>
      <c r="AU83" s="342">
        <f t="shared" si="46"/>
        <v>0.32723615824256708</v>
      </c>
      <c r="AV83" s="342"/>
      <c r="AW83" s="24">
        <f t="shared" si="47"/>
        <v>8315.2432432432433</v>
      </c>
      <c r="AX83" s="352"/>
      <c r="AY83" s="10"/>
      <c r="AZ83" s="66">
        <f t="shared" si="41"/>
        <v>477486</v>
      </c>
      <c r="BA83" s="67"/>
      <c r="BB83" s="67">
        <v>18150053</v>
      </c>
      <c r="BC83" s="67"/>
      <c r="BD83" s="67">
        <f t="shared" si="48"/>
        <v>22153</v>
      </c>
      <c r="BE83" s="67"/>
      <c r="BF83" s="157">
        <f t="shared" si="42"/>
        <v>4.6395077552011998E-2</v>
      </c>
      <c r="BG83" s="67"/>
      <c r="BH83" s="184"/>
      <c r="BI83" s="67"/>
      <c r="BJ83" s="67"/>
      <c r="BK83" s="67"/>
      <c r="BL83" s="157"/>
      <c r="BM83" s="66">
        <f t="shared" si="49"/>
        <v>245270.98648648648</v>
      </c>
      <c r="BN83" s="67"/>
      <c r="BO83" s="67">
        <f t="shared" si="50"/>
        <v>1607001</v>
      </c>
      <c r="BP83" s="67"/>
      <c r="BQ83" s="74">
        <f t="shared" si="51"/>
        <v>8.8539741454198503E-2</v>
      </c>
      <c r="BR83" s="67"/>
      <c r="BS83" s="86"/>
      <c r="BT83" s="184"/>
      <c r="BU83" s="1"/>
      <c r="BV83">
        <f t="shared" si="53"/>
        <v>74</v>
      </c>
    </row>
    <row r="84" spans="2:74" x14ac:dyDescent="0.3">
      <c r="B84" s="172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>
        <f t="shared" si="43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8"/>
        <v>110812</v>
      </c>
      <c r="AA84" s="33"/>
      <c r="AB84" s="46">
        <f t="shared" si="44"/>
        <v>5.8252784449662795E-2</v>
      </c>
      <c r="AC84" s="33"/>
      <c r="AD84" s="33">
        <f t="shared" si="45"/>
        <v>1477.4933333333333</v>
      </c>
      <c r="AE84" s="50"/>
      <c r="AF84" s="33">
        <f>SUM(AG52:AG82)</f>
        <v>42339</v>
      </c>
      <c r="AG84" s="33"/>
      <c r="AH84" s="232"/>
      <c r="AI84" s="50"/>
      <c r="AJ84" s="10"/>
      <c r="AK84" s="23">
        <f t="shared" si="39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40"/>
        <v>4.9320037443444799E-2</v>
      </c>
      <c r="AR84" s="25"/>
      <c r="AS84" s="25"/>
      <c r="AT84" s="24"/>
      <c r="AU84" s="342">
        <f t="shared" si="46"/>
        <v>0.33942555727105794</v>
      </c>
      <c r="AV84" s="342"/>
      <c r="AW84" s="24">
        <f t="shared" si="47"/>
        <v>8609.0133333333342</v>
      </c>
      <c r="AX84" s="352"/>
      <c r="AY84" s="10"/>
      <c r="AZ84" s="66">
        <f t="shared" si="41"/>
        <v>453121</v>
      </c>
      <c r="BA84" s="67"/>
      <c r="BB84" s="67">
        <v>18603174</v>
      </c>
      <c r="BC84" s="67"/>
      <c r="BD84" s="67">
        <f t="shared" si="48"/>
        <v>21882</v>
      </c>
      <c r="BE84" s="67"/>
      <c r="BF84" s="157">
        <f t="shared" si="42"/>
        <v>4.8291736644295896E-2</v>
      </c>
      <c r="BG84" s="67"/>
      <c r="BH84" s="184"/>
      <c r="BI84" s="67"/>
      <c r="BJ84" s="67"/>
      <c r="BK84" s="67"/>
      <c r="BL84" s="157"/>
      <c r="BM84" s="66">
        <f t="shared" si="49"/>
        <v>248042.32</v>
      </c>
      <c r="BN84" s="67"/>
      <c r="BO84" s="67">
        <f t="shared" si="50"/>
        <v>1628883</v>
      </c>
      <c r="BP84" s="67"/>
      <c r="BQ84" s="74">
        <f t="shared" si="51"/>
        <v>8.7559413248513393E-2</v>
      </c>
      <c r="BR84" s="67"/>
      <c r="BS84" s="86"/>
      <c r="BT84" s="184"/>
      <c r="BU84" s="1"/>
      <c r="BV84">
        <f t="shared" si="53"/>
        <v>75</v>
      </c>
    </row>
    <row r="85" spans="2:74" x14ac:dyDescent="0.3">
      <c r="B85" s="172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>
        <f t="shared" si="43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8"/>
        <v>111895</v>
      </c>
      <c r="AA85" s="33"/>
      <c r="AB85" s="46">
        <f t="shared" si="44"/>
        <v>5.819259958842108E-2</v>
      </c>
      <c r="AC85" s="33"/>
      <c r="AD85" s="33">
        <f t="shared" si="45"/>
        <v>1472.3026315789473</v>
      </c>
      <c r="AE85" s="50"/>
      <c r="AF85" s="232">
        <f>+AF84/AF83</f>
        <v>5.7049344671608188E-2</v>
      </c>
      <c r="AG85" s="33"/>
      <c r="AH85" s="232"/>
      <c r="AI85" s="50"/>
      <c r="AJ85" s="10"/>
      <c r="AK85" s="23">
        <f t="shared" si="39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40"/>
        <v>6.6587576431522938E-2</v>
      </c>
      <c r="AR85" s="25"/>
      <c r="AS85" s="25"/>
      <c r="AT85" s="24"/>
      <c r="AU85" s="342">
        <f t="shared" si="46"/>
        <v>0.35815271065336202</v>
      </c>
      <c r="AV85" s="342"/>
      <c r="AW85" s="24">
        <f t="shared" si="47"/>
        <v>9061.4473684210534</v>
      </c>
      <c r="AX85" s="352"/>
      <c r="AY85" s="10"/>
      <c r="AZ85" s="66">
        <f t="shared" si="41"/>
        <v>493497</v>
      </c>
      <c r="BA85" s="67"/>
      <c r="BB85" s="67">
        <v>19096671</v>
      </c>
      <c r="BC85" s="67"/>
      <c r="BD85" s="67">
        <f t="shared" si="48"/>
        <v>20578</v>
      </c>
      <c r="BE85" s="67"/>
      <c r="BF85" s="157">
        <f t="shared" si="42"/>
        <v>4.1698328459950113E-2</v>
      </c>
      <c r="BG85" s="67"/>
      <c r="BH85" s="184"/>
      <c r="BI85" s="67"/>
      <c r="BJ85" s="67"/>
      <c r="BK85" s="67"/>
      <c r="BL85" s="157"/>
      <c r="BM85" s="66">
        <f t="shared" si="49"/>
        <v>251271.98684210525</v>
      </c>
      <c r="BN85" s="67"/>
      <c r="BO85" s="67">
        <f t="shared" si="50"/>
        <v>1649461</v>
      </c>
      <c r="BP85" s="67"/>
      <c r="BQ85" s="74">
        <f t="shared" si="51"/>
        <v>8.6374269106903503E-2</v>
      </c>
      <c r="BR85" s="67"/>
      <c r="BS85" s="86"/>
      <c r="BT85" s="184"/>
      <c r="BU85" s="1"/>
      <c r="BV85">
        <f t="shared" si="53"/>
        <v>76</v>
      </c>
    </row>
    <row r="86" spans="2:74" x14ac:dyDescent="0.3">
      <c r="B86" s="172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>
        <f t="shared" si="43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8"/>
        <v>112926</v>
      </c>
      <c r="AA86" s="33"/>
      <c r="AB86" s="46">
        <f t="shared" si="44"/>
        <v>5.8056446252057088E-2</v>
      </c>
      <c r="AC86" s="33"/>
      <c r="AD86" s="33">
        <f t="shared" si="45"/>
        <v>1466.5714285714287</v>
      </c>
      <c r="AE86" s="50"/>
      <c r="AF86" s="33"/>
      <c r="AG86" s="33"/>
      <c r="AH86" s="232"/>
      <c r="AI86" s="50"/>
      <c r="AJ86" s="10"/>
      <c r="AK86" s="23">
        <f t="shared" si="39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40"/>
        <v>3.4242815862459523E-2</v>
      </c>
      <c r="AR86" s="25"/>
      <c r="AS86" s="25"/>
      <c r="AT86" s="24"/>
      <c r="AU86" s="342">
        <f t="shared" si="46"/>
        <v>0.36617625662752745</v>
      </c>
      <c r="AV86" s="342"/>
      <c r="AW86" s="24">
        <f t="shared" si="47"/>
        <v>9250.0259740259735</v>
      </c>
      <c r="AX86" s="352"/>
      <c r="AY86" s="10"/>
      <c r="AZ86" s="66">
        <f t="shared" si="41"/>
        <v>471398</v>
      </c>
      <c r="BA86" s="67"/>
      <c r="BB86" s="67">
        <v>19568069</v>
      </c>
      <c r="BC86" s="67"/>
      <c r="BD86" s="67">
        <f t="shared" si="48"/>
        <v>22268</v>
      </c>
      <c r="BE86" s="67"/>
      <c r="BF86" s="157">
        <f t="shared" si="42"/>
        <v>4.7238214841810955E-2</v>
      </c>
      <c r="BG86" s="67"/>
      <c r="BH86" s="184"/>
      <c r="BI86" s="67"/>
      <c r="BJ86" s="67"/>
      <c r="BK86" s="67"/>
      <c r="BL86" s="157"/>
      <c r="BM86" s="66">
        <f t="shared" si="49"/>
        <v>254130.76623376625</v>
      </c>
      <c r="BN86" s="67"/>
      <c r="BO86" s="67">
        <f t="shared" si="50"/>
        <v>1671729</v>
      </c>
      <c r="BP86" s="67"/>
      <c r="BQ86" s="74">
        <f t="shared" si="51"/>
        <v>8.5431475124091188E-2</v>
      </c>
      <c r="BR86" s="67"/>
      <c r="BS86" s="86"/>
      <c r="BT86" s="184"/>
      <c r="BU86" s="1"/>
      <c r="BV86">
        <f t="shared" si="53"/>
        <v>77</v>
      </c>
    </row>
    <row r="87" spans="2:74" x14ac:dyDescent="0.3">
      <c r="B87" s="172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>
        <f t="shared" si="43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8"/>
        <v>113901</v>
      </c>
      <c r="AA87" s="33"/>
      <c r="AB87" s="46">
        <f t="shared" si="44"/>
        <v>5.7803095660999747E-2</v>
      </c>
      <c r="AC87" s="33"/>
      <c r="AD87" s="33">
        <f t="shared" si="45"/>
        <v>1460.2692307692307</v>
      </c>
      <c r="AE87" s="50"/>
      <c r="AF87" s="33"/>
      <c r="AG87" s="33"/>
      <c r="AH87" s="232"/>
      <c r="AI87" s="50"/>
      <c r="AJ87" s="10"/>
      <c r="AK87" s="23">
        <f t="shared" si="39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40"/>
        <v>3.7057109000746928E-2</v>
      </c>
      <c r="AR87" s="25"/>
      <c r="AS87" s="25"/>
      <c r="AT87" s="24"/>
      <c r="AU87" s="342">
        <f t="shared" si="46"/>
        <v>0.37485206800304494</v>
      </c>
      <c r="AV87" s="342"/>
      <c r="AW87" s="24">
        <f t="shared" si="47"/>
        <v>9469.8205128205136</v>
      </c>
      <c r="AX87" s="352"/>
      <c r="AY87" s="10"/>
      <c r="AZ87" s="66">
        <f t="shared" si="41"/>
        <v>699286</v>
      </c>
      <c r="BA87" s="67"/>
      <c r="BB87" s="67">
        <v>20267355</v>
      </c>
      <c r="BC87" s="67"/>
      <c r="BD87" s="67">
        <f t="shared" si="48"/>
        <v>25393</v>
      </c>
      <c r="BE87" s="67"/>
      <c r="BF87" s="157">
        <f t="shared" si="42"/>
        <v>3.631275329407424E-2</v>
      </c>
      <c r="BG87" s="67"/>
      <c r="BH87" s="184"/>
      <c r="BI87" s="67"/>
      <c r="BJ87" s="67"/>
      <c r="BK87" s="67"/>
      <c r="BL87" s="157"/>
      <c r="BM87" s="66">
        <f t="shared" si="49"/>
        <v>259837.88461538462</v>
      </c>
      <c r="BN87" s="67"/>
      <c r="BO87" s="67">
        <f t="shared" si="50"/>
        <v>1697122</v>
      </c>
      <c r="BP87" s="67"/>
      <c r="BQ87" s="74">
        <f t="shared" si="51"/>
        <v>8.3736728349604578E-2</v>
      </c>
      <c r="BR87" s="67"/>
      <c r="BS87" s="86"/>
      <c r="BT87" s="184"/>
      <c r="BU87" s="1"/>
      <c r="BV87">
        <f t="shared" si="53"/>
        <v>78</v>
      </c>
    </row>
    <row r="88" spans="2:74" x14ac:dyDescent="0.3">
      <c r="B88" s="476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>
        <f t="shared" si="43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8"/>
        <v>114607</v>
      </c>
      <c r="AA88" s="33"/>
      <c r="AB88" s="46">
        <f t="shared" si="44"/>
        <v>5.7495073585185838E-2</v>
      </c>
      <c r="AC88" s="33"/>
      <c r="AD88" s="33">
        <f t="shared" si="45"/>
        <v>1450.7215189873418</v>
      </c>
      <c r="AE88" s="50"/>
      <c r="AF88" s="33"/>
      <c r="AG88" s="33"/>
      <c r="AH88" s="232"/>
      <c r="AI88" s="50"/>
      <c r="AJ88" s="10"/>
      <c r="AK88" s="23">
        <f t="shared" si="39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40"/>
        <v>1.7666107986775804E-2</v>
      </c>
      <c r="AR88" s="25"/>
      <c r="AS88" s="25"/>
      <c r="AT88" s="24"/>
      <c r="AU88" s="342">
        <f t="shared" si="46"/>
        <v>0.37710401056319659</v>
      </c>
      <c r="AV88" s="342"/>
      <c r="AW88" s="24">
        <f t="shared" si="47"/>
        <v>9515.1265822784808</v>
      </c>
      <c r="AX88" s="352"/>
      <c r="AY88" s="10"/>
      <c r="AZ88" s="66">
        <f t="shared" si="41"/>
        <v>551073</v>
      </c>
      <c r="BA88" s="67"/>
      <c r="BB88" s="67">
        <v>20818428</v>
      </c>
      <c r="BC88" s="67"/>
      <c r="BD88" s="67">
        <f t="shared" si="48"/>
        <v>22836</v>
      </c>
      <c r="BE88" s="67"/>
      <c r="BF88" s="157">
        <f t="shared" si="42"/>
        <v>4.1439155973890938E-2</v>
      </c>
      <c r="BG88" s="67"/>
      <c r="BH88" s="184"/>
      <c r="BI88" s="67"/>
      <c r="BJ88" s="67"/>
      <c r="BK88" s="67"/>
      <c r="BL88" s="157"/>
      <c r="BM88" s="66">
        <f t="shared" si="49"/>
        <v>263524.40506329114</v>
      </c>
      <c r="BN88" s="67"/>
      <c r="BO88" s="67">
        <f t="shared" si="50"/>
        <v>1719958</v>
      </c>
      <c r="BP88" s="67"/>
      <c r="BQ88" s="74">
        <f t="shared" si="51"/>
        <v>8.2617092894814156E-2</v>
      </c>
      <c r="BR88" s="67"/>
      <c r="BS88" s="86"/>
      <c r="BT88" s="184"/>
      <c r="BU88" s="1"/>
      <c r="BV88">
        <f t="shared" si="53"/>
        <v>79</v>
      </c>
    </row>
    <row r="89" spans="2:74" x14ac:dyDescent="0.3">
      <c r="B89" s="391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>
        <f t="shared" si="43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8"/>
        <v>115149</v>
      </c>
      <c r="AA89" s="33"/>
      <c r="AB89" s="46">
        <f t="shared" si="44"/>
        <v>5.7239335073477254E-2</v>
      </c>
      <c r="AC89" s="33"/>
      <c r="AD89" s="33">
        <f t="shared" si="45"/>
        <v>1439.3625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9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40"/>
        <v>1.3320562196103473E-2</v>
      </c>
      <c r="AR89" s="25"/>
      <c r="AS89" s="25"/>
      <c r="AT89" s="24"/>
      <c r="AU89" s="342">
        <f t="shared" si="46"/>
        <v>0.37863689168076331</v>
      </c>
      <c r="AV89" s="342"/>
      <c r="AW89" s="24">
        <f t="shared" si="47"/>
        <v>9521.35</v>
      </c>
      <c r="AX89" s="352"/>
      <c r="AY89" s="392"/>
      <c r="AZ89" s="66">
        <f t="shared" si="41"/>
        <v>473249</v>
      </c>
      <c r="BA89" s="67"/>
      <c r="BB89" s="67">
        <v>21291677</v>
      </c>
      <c r="BC89" s="67"/>
      <c r="BD89" s="67">
        <f t="shared" si="48"/>
        <v>18375</v>
      </c>
      <c r="BE89" s="67"/>
      <c r="BF89" s="157">
        <f t="shared" si="42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9"/>
        <v>266145.96250000002</v>
      </c>
      <c r="BN89" s="67"/>
      <c r="BO89" s="67">
        <f t="shared" si="50"/>
        <v>1738333</v>
      </c>
      <c r="BP89" s="67"/>
      <c r="BQ89" s="74">
        <f t="shared" si="51"/>
        <v>8.1643780337265118E-2</v>
      </c>
      <c r="BR89" s="67"/>
      <c r="BS89" s="86"/>
      <c r="BT89" s="184"/>
      <c r="BU89" s="1"/>
      <c r="BV89">
        <f t="shared" si="53"/>
        <v>80</v>
      </c>
    </row>
    <row r="90" spans="2:74" x14ac:dyDescent="0.3">
      <c r="B90" s="172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>
        <f t="shared" si="43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8"/>
        <v>115735</v>
      </c>
      <c r="AA90" s="33"/>
      <c r="AB90" s="46">
        <f t="shared" si="44"/>
        <v>5.6991119066554068E-2</v>
      </c>
      <c r="AC90" s="33"/>
      <c r="AD90" s="33">
        <f t="shared" si="45"/>
        <v>1428.8271604938273</v>
      </c>
      <c r="AE90" s="50"/>
      <c r="AF90" s="33"/>
      <c r="AG90" s="33"/>
      <c r="AH90" s="232"/>
      <c r="AI90" s="50"/>
      <c r="AJ90" s="10"/>
      <c r="AK90" s="23">
        <f t="shared" si="39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40"/>
        <v>1.545474118691152E-2</v>
      </c>
      <c r="AR90" s="25"/>
      <c r="AS90" s="25"/>
      <c r="AT90" s="24"/>
      <c r="AU90" s="342">
        <f t="shared" si="46"/>
        <v>0.38088297209658478</v>
      </c>
      <c r="AV90" s="342"/>
      <c r="AW90" s="24">
        <f t="shared" si="47"/>
        <v>9549.1358024691363</v>
      </c>
      <c r="AX90" s="352"/>
      <c r="AY90" s="10"/>
      <c r="AZ90" s="66">
        <f t="shared" si="41"/>
        <v>433387</v>
      </c>
      <c r="BA90" s="67"/>
      <c r="BB90" s="67">
        <v>21725064</v>
      </c>
      <c r="BC90" s="67"/>
      <c r="BD90" s="67">
        <f t="shared" si="48"/>
        <v>19044</v>
      </c>
      <c r="BE90" s="67"/>
      <c r="BF90" s="157">
        <f t="shared" si="42"/>
        <v>4.3942250229010098E-2</v>
      </c>
      <c r="BG90" s="67"/>
      <c r="BH90" s="184"/>
      <c r="BI90" s="67"/>
      <c r="BJ90" s="67"/>
      <c r="BK90" s="67"/>
      <c r="BL90" s="157"/>
      <c r="BM90" s="66">
        <f t="shared" si="49"/>
        <v>268210.66666666669</v>
      </c>
      <c r="BN90" s="67"/>
      <c r="BO90" s="67">
        <f t="shared" si="50"/>
        <v>1757377</v>
      </c>
      <c r="BP90" s="67"/>
      <c r="BQ90" s="74">
        <f t="shared" si="51"/>
        <v>8.0891683449125854E-2</v>
      </c>
      <c r="BR90" s="67"/>
      <c r="BS90" s="86"/>
      <c r="BT90" s="184"/>
      <c r="BU90" s="1"/>
      <c r="BV90">
        <f t="shared" si="53"/>
        <v>81</v>
      </c>
    </row>
    <row r="91" spans="2:74" x14ac:dyDescent="0.3">
      <c r="B91" s="172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>
        <f t="shared" si="43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8"/>
        <v>116828</v>
      </c>
      <c r="AA91" s="33"/>
      <c r="AB91" s="46">
        <f t="shared" si="44"/>
        <v>5.6994522909673134E-2</v>
      </c>
      <c r="AC91" s="33"/>
      <c r="AD91" s="33">
        <f t="shared" si="45"/>
        <v>1424.7317073170732</v>
      </c>
      <c r="AE91" s="50"/>
      <c r="AF91" s="33"/>
      <c r="AG91" s="33"/>
      <c r="AH91" s="232"/>
      <c r="AI91" s="50"/>
      <c r="AJ91" s="10"/>
      <c r="AK91" s="23">
        <f t="shared" si="39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40"/>
        <v>1.988674561721053E-2</v>
      </c>
      <c r="AR91" s="25"/>
      <c r="AS91" s="25"/>
      <c r="AT91" s="24"/>
      <c r="AU91" s="342">
        <f t="shared" si="46"/>
        <v>0.38484621265082486</v>
      </c>
      <c r="AV91" s="342"/>
      <c r="AW91" s="24">
        <f t="shared" si="47"/>
        <v>9620.2682926829275</v>
      </c>
      <c r="AX91" s="352"/>
      <c r="AY91" s="10"/>
      <c r="AZ91" s="66">
        <f t="shared" si="41"/>
        <v>415612</v>
      </c>
      <c r="BA91" s="67"/>
      <c r="BB91" s="67">
        <v>22140676</v>
      </c>
      <c r="BC91" s="67"/>
      <c r="BD91" s="67">
        <f t="shared" si="48"/>
        <v>19056</v>
      </c>
      <c r="BE91" s="67"/>
      <c r="BF91" s="157">
        <f t="shared" si="42"/>
        <v>4.5850456675938137E-2</v>
      </c>
      <c r="BG91" s="67"/>
      <c r="BH91" s="184"/>
      <c r="BI91" s="67"/>
      <c r="BJ91" s="67"/>
      <c r="BK91" s="67"/>
      <c r="BL91" s="157"/>
      <c r="BM91" s="66">
        <f t="shared" si="49"/>
        <v>270008.24390243902</v>
      </c>
      <c r="BN91" s="67"/>
      <c r="BO91" s="67">
        <f t="shared" si="50"/>
        <v>1776433</v>
      </c>
      <c r="BP91" s="67"/>
      <c r="BQ91" s="74">
        <f t="shared" si="51"/>
        <v>8.0233909750542398E-2</v>
      </c>
      <c r="BR91" s="67"/>
      <c r="BS91" s="86"/>
      <c r="BT91" s="184"/>
      <c r="BU91" s="1"/>
      <c r="BV91">
        <f t="shared" si="53"/>
        <v>82</v>
      </c>
    </row>
    <row r="92" spans="2:74" x14ac:dyDescent="0.3">
      <c r="B92" s="172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>
        <f t="shared" si="43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8"/>
        <v>117810</v>
      </c>
      <c r="AA92" s="33"/>
      <c r="AB92" s="46">
        <f t="shared" si="44"/>
        <v>5.6894820644402301E-2</v>
      </c>
      <c r="AC92" s="33"/>
      <c r="AD92" s="33">
        <f t="shared" si="45"/>
        <v>1419.3975903614457</v>
      </c>
      <c r="AE92" s="50"/>
      <c r="AF92" s="33"/>
      <c r="AG92" s="33"/>
      <c r="AH92" s="232"/>
      <c r="AI92" s="50"/>
      <c r="AJ92" s="10"/>
      <c r="AK92" s="23">
        <f t="shared" si="39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40"/>
        <v>2.4886482046289467E-2</v>
      </c>
      <c r="AR92" s="25"/>
      <c r="AS92" s="25"/>
      <c r="AT92" s="24"/>
      <c r="AU92" s="342">
        <f t="shared" si="46"/>
        <v>0.39045175385854675</v>
      </c>
      <c r="AV92" s="342"/>
      <c r="AW92" s="24">
        <f t="shared" si="47"/>
        <v>9740.8915662650597</v>
      </c>
      <c r="AX92" s="352"/>
      <c r="AY92" s="10"/>
      <c r="AZ92" s="66">
        <f t="shared" si="41"/>
        <v>485082</v>
      </c>
      <c r="BA92" s="67"/>
      <c r="BB92" s="67">
        <v>22625758</v>
      </c>
      <c r="BC92" s="67"/>
      <c r="BD92" s="67">
        <f t="shared" si="48"/>
        <v>20852</v>
      </c>
      <c r="BE92" s="67"/>
      <c r="BF92" s="157">
        <f t="shared" si="42"/>
        <v>4.298654660449161E-2</v>
      </c>
      <c r="BG92" s="67"/>
      <c r="BH92" s="184"/>
      <c r="BI92" s="67"/>
      <c r="BJ92" s="67"/>
      <c r="BK92" s="67"/>
      <c r="BL92" s="157"/>
      <c r="BM92" s="66">
        <f t="shared" si="49"/>
        <v>272599.49397590361</v>
      </c>
      <c r="BN92" s="67"/>
      <c r="BO92" s="67">
        <f t="shared" si="50"/>
        <v>1797285</v>
      </c>
      <c r="BP92" s="67"/>
      <c r="BQ92" s="74">
        <f t="shared" si="51"/>
        <v>7.9435349746072595E-2</v>
      </c>
      <c r="BR92" s="67"/>
      <c r="BS92" s="86"/>
      <c r="BT92" s="184"/>
      <c r="BU92" s="1"/>
      <c r="BV92">
        <f t="shared" si="53"/>
        <v>83</v>
      </c>
    </row>
    <row r="93" spans="2:74" x14ac:dyDescent="0.3">
      <c r="B93" s="172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>
        <f t="shared" si="43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8"/>
        <v>118714</v>
      </c>
      <c r="AA93" s="33"/>
      <c r="AB93" s="46">
        <f t="shared" si="44"/>
        <v>5.669345637912418E-2</v>
      </c>
      <c r="AC93" s="33"/>
      <c r="AD93" s="33">
        <f t="shared" si="45"/>
        <v>1413.2619047619048</v>
      </c>
      <c r="AE93" s="50"/>
      <c r="AF93" s="33"/>
      <c r="AG93" s="33"/>
      <c r="AH93" s="232"/>
      <c r="AI93" s="50"/>
      <c r="AJ93" s="10"/>
      <c r="AK93" s="23">
        <f t="shared" si="39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40"/>
        <v>6.5937409554059773E-3</v>
      </c>
      <c r="AR93" s="25"/>
      <c r="AS93" s="25"/>
      <c r="AT93" s="24"/>
      <c r="AU93" s="342">
        <f t="shared" si="46"/>
        <v>0.38865299912176099</v>
      </c>
      <c r="AV93" s="342"/>
      <c r="AW93" s="24">
        <f t="shared" si="47"/>
        <v>9688.3928571428569</v>
      </c>
      <c r="AX93" s="352"/>
      <c r="AY93" s="10"/>
      <c r="AZ93" s="66">
        <f t="shared" si="41"/>
        <v>447712</v>
      </c>
      <c r="BA93" s="67"/>
      <c r="BB93" s="67">
        <v>23073470</v>
      </c>
      <c r="BC93" s="67"/>
      <c r="BD93" s="67">
        <f t="shared" si="48"/>
        <v>23300</v>
      </c>
      <c r="BE93" s="67"/>
      <c r="BF93" s="157">
        <f t="shared" si="42"/>
        <v>5.2042384389964974E-2</v>
      </c>
      <c r="BG93" s="67"/>
      <c r="BH93" s="184"/>
      <c r="BI93" s="67"/>
      <c r="BJ93" s="67"/>
      <c r="BK93" s="67"/>
      <c r="BL93" s="157"/>
      <c r="BM93" s="66">
        <f t="shared" si="49"/>
        <v>274684.16666666669</v>
      </c>
      <c r="BN93" s="67"/>
      <c r="BO93" s="67">
        <f t="shared" si="50"/>
        <v>1820585</v>
      </c>
      <c r="BP93" s="67"/>
      <c r="BQ93" s="74">
        <f t="shared" si="51"/>
        <v>7.8903823308761098E-2</v>
      </c>
      <c r="BR93" s="67"/>
      <c r="BS93" s="86"/>
      <c r="BT93" s="184"/>
      <c r="BU93" s="1"/>
      <c r="BV93">
        <f t="shared" si="53"/>
        <v>84</v>
      </c>
    </row>
    <row r="94" spans="2:74" x14ac:dyDescent="0.3">
      <c r="B94" s="172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>
        <f t="shared" si="43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8"/>
        <v>119505</v>
      </c>
      <c r="AA94" s="33"/>
      <c r="AB94" s="46">
        <f t="shared" si="44"/>
        <v>5.6338818320334307E-2</v>
      </c>
      <c r="AC94" s="33"/>
      <c r="AD94" s="33">
        <f t="shared" si="45"/>
        <v>1405.9411764705883</v>
      </c>
      <c r="AE94" s="50"/>
      <c r="AF94" s="33"/>
      <c r="AG94" s="33"/>
      <c r="AH94" s="232"/>
      <c r="AI94" s="50"/>
      <c r="AJ94" s="10"/>
      <c r="AK94" s="23">
        <f t="shared" si="39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40"/>
        <v>3.4539366571437351E-2</v>
      </c>
      <c r="AR94" s="25"/>
      <c r="AS94" s="25"/>
      <c r="AT94" s="24"/>
      <c r="AU94" s="342">
        <f t="shared" si="46"/>
        <v>0.39691700484257847</v>
      </c>
      <c r="AV94" s="342"/>
      <c r="AW94" s="24">
        <f t="shared" si="47"/>
        <v>9905.105882352942</v>
      </c>
      <c r="AX94" s="352"/>
      <c r="AY94" s="10"/>
      <c r="AZ94" s="66">
        <f t="shared" si="41"/>
        <v>718721</v>
      </c>
      <c r="BA94" s="67"/>
      <c r="BB94" s="67">
        <v>23792191</v>
      </c>
      <c r="BC94" s="67"/>
      <c r="BD94" s="67">
        <f t="shared" si="48"/>
        <v>27221</v>
      </c>
      <c r="BE94" s="67"/>
      <c r="BF94" s="157">
        <f t="shared" si="42"/>
        <v>3.7874223794768763E-2</v>
      </c>
      <c r="BG94" s="67"/>
      <c r="BH94" s="184"/>
      <c r="BI94" s="67"/>
      <c r="BJ94" s="67"/>
      <c r="BK94" s="67"/>
      <c r="BL94" s="157"/>
      <c r="BM94" s="66">
        <f t="shared" si="49"/>
        <v>279908.12941176473</v>
      </c>
      <c r="BN94" s="67"/>
      <c r="BO94" s="67">
        <f t="shared" si="50"/>
        <v>1847806</v>
      </c>
      <c r="BP94" s="67"/>
      <c r="BQ94" s="74">
        <f t="shared" si="51"/>
        <v>7.7664389967279604E-2</v>
      </c>
      <c r="BR94" s="67"/>
      <c r="BS94" s="86"/>
      <c r="BT94" s="184"/>
      <c r="BU94" s="1"/>
      <c r="BV94">
        <f t="shared" si="53"/>
        <v>85</v>
      </c>
    </row>
    <row r="95" spans="2:74" x14ac:dyDescent="0.3">
      <c r="B95" s="476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>
        <f t="shared" si="43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8"/>
        <v>120207</v>
      </c>
      <c r="AA95" s="33"/>
      <c r="AB95" s="46">
        <f t="shared" si="44"/>
        <v>5.6001762881285971E-2</v>
      </c>
      <c r="AC95" s="33"/>
      <c r="AD95" s="33">
        <f t="shared" si="45"/>
        <v>1397.7558139534883</v>
      </c>
      <c r="AE95" s="50"/>
      <c r="AF95" s="33"/>
      <c r="AG95" s="33"/>
      <c r="AH95" s="232"/>
      <c r="AI95" s="50"/>
      <c r="AJ95" s="10"/>
      <c r="AK95" s="23">
        <f t="shared" si="39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40"/>
        <v>2.1353217710651903E-2</v>
      </c>
      <c r="AR95" s="25"/>
      <c r="AS95" s="25"/>
      <c r="AT95" s="24"/>
      <c r="AU95" s="342">
        <f t="shared" si="46"/>
        <v>0.40061384048160575</v>
      </c>
      <c r="AV95" s="342"/>
      <c r="AW95" s="24">
        <f t="shared" si="47"/>
        <v>9998.9767441860458</v>
      </c>
      <c r="AX95" s="352"/>
      <c r="AY95" s="10"/>
      <c r="AZ95" s="66">
        <f t="shared" si="41"/>
        <v>500980</v>
      </c>
      <c r="BA95" s="67"/>
      <c r="BB95" s="67">
        <v>24293171</v>
      </c>
      <c r="BC95" s="67"/>
      <c r="BD95" s="67">
        <f t="shared" si="48"/>
        <v>25302</v>
      </c>
      <c r="BE95" s="67"/>
      <c r="BF95" s="157">
        <f t="shared" si="42"/>
        <v>5.0505010180047105E-2</v>
      </c>
      <c r="BG95" s="67"/>
      <c r="BH95" s="184"/>
      <c r="BI95" s="67"/>
      <c r="BJ95" s="67"/>
      <c r="BK95" s="67"/>
      <c r="BL95" s="157"/>
      <c r="BM95" s="66">
        <f t="shared" si="49"/>
        <v>282478.73255813954</v>
      </c>
      <c r="BN95" s="67"/>
      <c r="BO95" s="67">
        <f t="shared" si="50"/>
        <v>1873108</v>
      </c>
      <c r="BP95" s="67"/>
      <c r="BQ95" s="74">
        <f t="shared" si="51"/>
        <v>7.7104302274906805E-2</v>
      </c>
      <c r="BR95" s="67"/>
      <c r="BS95" s="86"/>
      <c r="BT95" s="184"/>
      <c r="BU95" s="1"/>
      <c r="BV95">
        <f t="shared" si="53"/>
        <v>86</v>
      </c>
    </row>
    <row r="96" spans="2:74" x14ac:dyDescent="0.3">
      <c r="B96" s="391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>
        <f t="shared" si="43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8"/>
        <v>120538</v>
      </c>
      <c r="AA96" s="33"/>
      <c r="AB96" s="46">
        <f t="shared" si="44"/>
        <v>5.5637459669788461E-2</v>
      </c>
      <c r="AC96" s="33"/>
      <c r="AD96" s="33">
        <f t="shared" si="45"/>
        <v>1385.4942528735633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9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40"/>
        <v>9.2300142340146427E-3</v>
      </c>
      <c r="AR96" s="25"/>
      <c r="AS96" s="25"/>
      <c r="AT96" s="24"/>
      <c r="AU96" s="342">
        <f t="shared" si="46"/>
        <v>0.40057835485047244</v>
      </c>
      <c r="AV96" s="342"/>
      <c r="AW96" s="24">
        <f t="shared" si="47"/>
        <v>9975.2758620689656</v>
      </c>
      <c r="AX96" s="352"/>
      <c r="AY96" s="392"/>
      <c r="AZ96" s="66">
        <f t="shared" si="41"/>
        <v>497760</v>
      </c>
      <c r="BA96" s="67"/>
      <c r="BB96" s="67">
        <v>24790931</v>
      </c>
      <c r="BC96" s="67"/>
      <c r="BD96" s="67">
        <f t="shared" si="48"/>
        <v>20004</v>
      </c>
      <c r="BE96" s="67"/>
      <c r="BF96" s="157">
        <f t="shared" si="42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9"/>
        <v>284953.22988505749</v>
      </c>
      <c r="BN96" s="67"/>
      <c r="BO96" s="67">
        <f t="shared" si="50"/>
        <v>1893112</v>
      </c>
      <c r="BP96" s="67"/>
      <c r="BQ96" s="74">
        <f t="shared" si="51"/>
        <v>7.636308616243577E-2</v>
      </c>
      <c r="BR96" s="67"/>
      <c r="BS96" s="86"/>
      <c r="BT96" s="184"/>
      <c r="BU96" s="1"/>
      <c r="BV96">
        <f t="shared" si="53"/>
        <v>87</v>
      </c>
    </row>
    <row r="97" spans="2:74" x14ac:dyDescent="0.3">
      <c r="B97" s="172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>
        <f t="shared" ref="N97:N108" si="56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7">+Z96+V97</f>
        <v>120963</v>
      </c>
      <c r="AA97" s="33"/>
      <c r="AB97" s="46">
        <f t="shared" ref="AB97:AB108" si="58">+Z97/H97</f>
        <v>5.5304652681130134E-2</v>
      </c>
      <c r="AC97" s="33"/>
      <c r="AD97" s="33">
        <f t="shared" ref="AD97:AD108" si="59">+Z97/BV97</f>
        <v>1374.5795454545455</v>
      </c>
      <c r="AE97" s="50"/>
      <c r="AF97" s="33"/>
      <c r="AG97" s="33"/>
      <c r="AH97" s="232"/>
      <c r="AI97" s="50"/>
      <c r="AJ97" s="10"/>
      <c r="AK97" s="23">
        <f t="shared" ref="AK97:AK108" si="60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1">+AK97/AO96</f>
        <v>2.5369620751997179E-2</v>
      </c>
      <c r="AR97" s="25"/>
      <c r="AS97" s="25"/>
      <c r="AT97" s="24"/>
      <c r="AU97" s="342">
        <f t="shared" ref="AU97:AU108" si="62">+AO97/H97</f>
        <v>0.40684945035049186</v>
      </c>
      <c r="AV97" s="342"/>
      <c r="AW97" s="24">
        <f t="shared" ref="AW97:AW108" si="63">+AO97/BV97</f>
        <v>10112.113636363636</v>
      </c>
      <c r="AX97" s="352"/>
      <c r="AY97" s="10"/>
      <c r="AZ97" s="66">
        <f t="shared" ref="AZ97:AZ108" si="64">+BB97-BB96</f>
        <v>468146</v>
      </c>
      <c r="BA97" s="67"/>
      <c r="BB97" s="67">
        <v>25259077</v>
      </c>
      <c r="BC97" s="67"/>
      <c r="BD97" s="67">
        <f t="shared" ref="BD97:BD108" si="65">+D97</f>
        <v>20722</v>
      </c>
      <c r="BE97" s="67"/>
      <c r="BF97" s="157">
        <f t="shared" ref="BF97:BF108" si="66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7">+BB97/BV97</f>
        <v>287034.96590909088</v>
      </c>
      <c r="BN97" s="67"/>
      <c r="BO97" s="67">
        <f t="shared" ref="BO97:BO108" si="68">+BO96+BD97</f>
        <v>1913834</v>
      </c>
      <c r="BP97" s="67"/>
      <c r="BQ97" s="74">
        <f t="shared" ref="BQ97:BQ108" si="69">+BO97/BB97</f>
        <v>7.5768168409320741E-2</v>
      </c>
      <c r="BR97" s="67"/>
      <c r="BS97" s="86"/>
      <c r="BT97" s="184"/>
      <c r="BU97" s="1"/>
      <c r="BV97">
        <f t="shared" si="53"/>
        <v>88</v>
      </c>
    </row>
    <row r="98" spans="2:74" x14ac:dyDescent="0.3">
      <c r="B98" s="172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>
        <f t="shared" si="56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7"/>
        <v>121809</v>
      </c>
      <c r="AA98" s="33"/>
      <c r="AB98" s="46">
        <f t="shared" si="58"/>
        <v>5.5054765953177077E-2</v>
      </c>
      <c r="AC98" s="33"/>
      <c r="AD98" s="33">
        <f t="shared" si="59"/>
        <v>1368.6404494382023</v>
      </c>
      <c r="AE98" s="50"/>
      <c r="AF98" s="33"/>
      <c r="AG98" s="33"/>
      <c r="AH98" s="232"/>
      <c r="AI98" s="50"/>
      <c r="AJ98" s="10"/>
      <c r="AK98" s="23">
        <f t="shared" si="60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1"/>
        <v>1.4805599944261271E-2</v>
      </c>
      <c r="AR98" s="25"/>
      <c r="AS98" s="25"/>
      <c r="AT98" s="24"/>
      <c r="AU98" s="342">
        <f t="shared" si="62"/>
        <v>0.40815301743814481</v>
      </c>
      <c r="AV98" s="342"/>
      <c r="AW98" s="24">
        <f t="shared" si="63"/>
        <v>10146.528089887641</v>
      </c>
      <c r="AX98" s="352"/>
      <c r="AY98" s="10"/>
      <c r="AZ98" s="66">
        <f t="shared" si="64"/>
        <v>470291</v>
      </c>
      <c r="BA98" s="67"/>
      <c r="BB98" s="67">
        <v>25729368</v>
      </c>
      <c r="BC98" s="67"/>
      <c r="BD98" s="67">
        <f t="shared" si="65"/>
        <v>25294</v>
      </c>
      <c r="BE98" s="67"/>
      <c r="BF98" s="157">
        <f t="shared" si="66"/>
        <v>5.3783721142866864E-2</v>
      </c>
      <c r="BG98" s="67"/>
      <c r="BH98" s="184"/>
      <c r="BI98" s="67"/>
      <c r="BJ98" s="67"/>
      <c r="BK98" s="67"/>
      <c r="BL98" s="157"/>
      <c r="BM98" s="66">
        <f t="shared" si="67"/>
        <v>289094.02247191011</v>
      </c>
      <c r="BN98" s="67"/>
      <c r="BO98" s="67">
        <f t="shared" si="68"/>
        <v>1939128</v>
      </c>
      <c r="BP98" s="67"/>
      <c r="BQ98" s="74">
        <f t="shared" si="69"/>
        <v>7.5366328469475038E-2</v>
      </c>
      <c r="BR98" s="67"/>
      <c r="BS98" s="86"/>
      <c r="BT98" s="184"/>
      <c r="BU98" s="1"/>
      <c r="BV98">
        <f t="shared" si="53"/>
        <v>89</v>
      </c>
    </row>
    <row r="99" spans="2:74" x14ac:dyDescent="0.3">
      <c r="B99" s="172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>
        <f t="shared" si="56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7"/>
        <v>122618</v>
      </c>
      <c r="AA99" s="33"/>
      <c r="AB99" s="46">
        <f t="shared" si="58"/>
        <v>5.4774975352645902E-2</v>
      </c>
      <c r="AC99" s="33"/>
      <c r="AD99" s="33">
        <f t="shared" si="59"/>
        <v>1362.4222222222222</v>
      </c>
      <c r="AE99" s="50"/>
      <c r="AF99" s="33"/>
      <c r="AG99" s="33"/>
      <c r="AH99" s="232"/>
      <c r="AI99" s="50"/>
      <c r="AJ99" s="10"/>
      <c r="AK99" s="23">
        <f t="shared" si="60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1"/>
        <v>1.7446605414372107E-2</v>
      </c>
      <c r="AR99" s="25"/>
      <c r="AS99" s="25"/>
      <c r="AT99" s="24"/>
      <c r="AU99" s="342">
        <f t="shared" si="62"/>
        <v>0.41043752348031809</v>
      </c>
      <c r="AV99" s="342"/>
      <c r="AW99" s="24">
        <f t="shared" si="63"/>
        <v>10208.844444444445</v>
      </c>
      <c r="AX99" s="352"/>
      <c r="AY99" s="10"/>
      <c r="AZ99" s="66">
        <f t="shared" si="64"/>
        <v>514443</v>
      </c>
      <c r="BA99" s="67"/>
      <c r="BB99" s="67">
        <v>26243811</v>
      </c>
      <c r="BC99" s="67"/>
      <c r="BD99" s="67">
        <f t="shared" si="65"/>
        <v>26071</v>
      </c>
      <c r="BE99" s="67"/>
      <c r="BF99" s="157">
        <f t="shared" si="66"/>
        <v>5.0678112055174238E-2</v>
      </c>
      <c r="BG99" s="67"/>
      <c r="BH99" s="184"/>
      <c r="BI99" s="67"/>
      <c r="BJ99" s="67"/>
      <c r="BK99" s="67"/>
      <c r="BL99" s="157"/>
      <c r="BM99" s="66">
        <f t="shared" si="67"/>
        <v>291597.90000000002</v>
      </c>
      <c r="BN99" s="67"/>
      <c r="BO99" s="67">
        <f t="shared" si="68"/>
        <v>1965199</v>
      </c>
      <c r="BP99" s="67"/>
      <c r="BQ99" s="74">
        <f t="shared" si="69"/>
        <v>7.4882378934980134E-2</v>
      </c>
      <c r="BR99" s="67"/>
      <c r="BS99" s="86"/>
      <c r="BT99" s="184"/>
      <c r="BU99" s="1"/>
      <c r="BV99">
        <f t="shared" si="53"/>
        <v>90</v>
      </c>
    </row>
    <row r="100" spans="2:74" x14ac:dyDescent="0.3">
      <c r="B100" s="172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>
        <f t="shared" si="56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7"/>
        <v>123365</v>
      </c>
      <c r="AA100" s="33"/>
      <c r="AB100" s="46">
        <f t="shared" si="58"/>
        <v>5.4429713465822427E-2</v>
      </c>
      <c r="AC100" s="33"/>
      <c r="AD100" s="33">
        <f t="shared" si="59"/>
        <v>1355.6593406593406</v>
      </c>
      <c r="AE100" s="50"/>
      <c r="AF100" s="33"/>
      <c r="AG100" s="33"/>
      <c r="AH100" s="232"/>
      <c r="AI100" s="50"/>
      <c r="AJ100" s="10"/>
      <c r="AK100" s="23">
        <f t="shared" si="60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1"/>
        <v>1.3276069987244177E-2</v>
      </c>
      <c r="AR100" s="25"/>
      <c r="AS100" s="25"/>
      <c r="AT100" s="24"/>
      <c r="AU100" s="342">
        <f t="shared" si="62"/>
        <v>0.41076266897742381</v>
      </c>
      <c r="AV100" s="342"/>
      <c r="AW100" s="24">
        <f t="shared" si="63"/>
        <v>10230.703296703297</v>
      </c>
      <c r="AX100" s="352"/>
      <c r="AY100" s="10"/>
      <c r="AZ100" s="66">
        <f t="shared" si="64"/>
        <v>479368</v>
      </c>
      <c r="BA100" s="67"/>
      <c r="BB100" s="67">
        <v>26723179</v>
      </c>
      <c r="BC100" s="67"/>
      <c r="BD100" s="67">
        <f t="shared" si="65"/>
        <v>27924</v>
      </c>
      <c r="BE100" s="67"/>
      <c r="BF100" s="157">
        <f t="shared" si="66"/>
        <v>5.825169806912435E-2</v>
      </c>
      <c r="BG100" s="67"/>
      <c r="BH100" s="184"/>
      <c r="BI100" s="67"/>
      <c r="BJ100" s="67"/>
      <c r="BK100" s="67"/>
      <c r="BL100" s="157"/>
      <c r="BM100" s="66">
        <f t="shared" si="67"/>
        <v>293661.30769230769</v>
      </c>
      <c r="BN100" s="67"/>
      <c r="BO100" s="67">
        <f t="shared" si="68"/>
        <v>1993123</v>
      </c>
      <c r="BP100" s="67"/>
      <c r="BQ100" s="74">
        <f t="shared" si="69"/>
        <v>7.4584053042491688E-2</v>
      </c>
      <c r="BR100" s="67"/>
      <c r="BS100" s="86"/>
      <c r="BT100" s="184"/>
      <c r="BU100" s="1"/>
      <c r="BV100">
        <f t="shared" si="53"/>
        <v>91</v>
      </c>
    </row>
    <row r="101" spans="2:74" x14ac:dyDescent="0.3">
      <c r="B101" s="172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>
        <f t="shared" si="56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7"/>
        <v>124084</v>
      </c>
      <c r="AA101" s="33"/>
      <c r="AB101" s="46">
        <f t="shared" si="58"/>
        <v>5.3948626980400344E-2</v>
      </c>
      <c r="AC101" s="33"/>
      <c r="AD101" s="33">
        <f t="shared" si="59"/>
        <v>1348.7391304347825</v>
      </c>
      <c r="AE101" s="50"/>
      <c r="AF101" s="33"/>
      <c r="AG101" s="33"/>
      <c r="AH101" s="232"/>
      <c r="AI101" s="50"/>
      <c r="AJ101" s="10"/>
      <c r="AK101" s="23">
        <f t="shared" si="60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1"/>
        <v>2.6924985553075528E-2</v>
      </c>
      <c r="AR101" s="25"/>
      <c r="AS101" s="25"/>
      <c r="AT101" s="24"/>
      <c r="AU101" s="342">
        <f t="shared" si="62"/>
        <v>0.41567146658318987</v>
      </c>
      <c r="AV101" s="342"/>
      <c r="AW101" s="24">
        <f t="shared" si="63"/>
        <v>10391.967391304348</v>
      </c>
      <c r="AX101" s="352"/>
      <c r="AY101" s="10"/>
      <c r="AZ101" s="66">
        <f t="shared" si="64"/>
        <v>614206</v>
      </c>
      <c r="BA101" s="67"/>
      <c r="BB101" s="67">
        <v>27337385</v>
      </c>
      <c r="BC101" s="67"/>
      <c r="BD101" s="67">
        <f t="shared" si="65"/>
        <v>33539</v>
      </c>
      <c r="BE101" s="67"/>
      <c r="BF101" s="157">
        <f t="shared" si="66"/>
        <v>5.460545810363298E-2</v>
      </c>
      <c r="BG101" s="67"/>
      <c r="BH101" s="184"/>
      <c r="BI101" s="67"/>
      <c r="BJ101" s="67"/>
      <c r="BK101" s="67"/>
      <c r="BL101" s="157"/>
      <c r="BM101" s="66">
        <f t="shared" si="67"/>
        <v>297145.48913043475</v>
      </c>
      <c r="BN101" s="67"/>
      <c r="BO101" s="67">
        <f t="shared" si="68"/>
        <v>2026662</v>
      </c>
      <c r="BP101" s="67"/>
      <c r="BQ101" s="74">
        <f t="shared" si="69"/>
        <v>7.4135181547174314E-2</v>
      </c>
      <c r="BR101" s="67"/>
      <c r="BS101" s="86"/>
      <c r="BT101" s="184"/>
      <c r="BU101" s="1"/>
      <c r="BV101">
        <f t="shared" si="53"/>
        <v>92</v>
      </c>
    </row>
    <row r="102" spans="2:74" x14ac:dyDescent="0.3">
      <c r="B102" s="477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>
        <f t="shared" si="56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7"/>
        <v>124657</v>
      </c>
      <c r="AA102" s="33"/>
      <c r="AB102" s="46">
        <f t="shared" si="58"/>
        <v>5.3423405894801441E-2</v>
      </c>
      <c r="AC102" s="33"/>
      <c r="AD102" s="33">
        <f t="shared" si="59"/>
        <v>1340.3978494623657</v>
      </c>
      <c r="AE102" s="50"/>
      <c r="AF102" s="33"/>
      <c r="AG102" s="33"/>
      <c r="AH102" s="232"/>
      <c r="AI102" s="50"/>
      <c r="AJ102" s="10"/>
      <c r="AK102" s="23">
        <f t="shared" si="60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1"/>
        <v>1.7655777194133009E-2</v>
      </c>
      <c r="AR102" s="25"/>
      <c r="AS102" s="25"/>
      <c r="AT102" s="24"/>
      <c r="AU102" s="342">
        <f t="shared" si="62"/>
        <v>0.41696673235112358</v>
      </c>
      <c r="AV102" s="342"/>
      <c r="AW102" s="24">
        <f t="shared" si="63"/>
        <v>10461.731182795698</v>
      </c>
      <c r="AX102" s="352"/>
      <c r="AY102" s="10"/>
      <c r="AZ102" s="66">
        <f t="shared" si="64"/>
        <v>638478</v>
      </c>
      <c r="BA102" s="67"/>
      <c r="BB102" s="67">
        <v>27975863</v>
      </c>
      <c r="BC102" s="67"/>
      <c r="BD102" s="67">
        <f t="shared" si="65"/>
        <v>33338</v>
      </c>
      <c r="BE102" s="67"/>
      <c r="BF102" s="157">
        <f t="shared" si="66"/>
        <v>5.2214798317248207E-2</v>
      </c>
      <c r="BG102" s="67"/>
      <c r="BH102" s="184"/>
      <c r="BI102" s="67"/>
      <c r="BJ102" s="67"/>
      <c r="BK102" s="67"/>
      <c r="BL102" s="157"/>
      <c r="BM102" s="66">
        <f t="shared" si="67"/>
        <v>300815.73118279572</v>
      </c>
      <c r="BN102" s="67"/>
      <c r="BO102" s="67">
        <f t="shared" si="68"/>
        <v>2060000</v>
      </c>
      <c r="BP102" s="67"/>
      <c r="BQ102" s="74">
        <f t="shared" si="69"/>
        <v>7.3634904488916034E-2</v>
      </c>
      <c r="BR102" s="67"/>
      <c r="BS102" s="86"/>
      <c r="BT102" s="184"/>
      <c r="BU102" s="1"/>
      <c r="BV102">
        <f t="shared" si="53"/>
        <v>93</v>
      </c>
    </row>
    <row r="103" spans="2:74" x14ac:dyDescent="0.3">
      <c r="B103" s="391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 t="shared" si="56"/>
        <v>25100.606382978724</v>
      </c>
      <c r="O103" s="41"/>
      <c r="P103" s="17">
        <f>SUM(D97:D103)</f>
        <v>192967</v>
      </c>
      <c r="Q103" s="16"/>
      <c r="R103" s="60">
        <f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7"/>
        <v>124924</v>
      </c>
      <c r="AA103" s="33"/>
      <c r="AB103" s="46">
        <f t="shared" si="58"/>
        <v>5.2946080390530531E-2</v>
      </c>
      <c r="AC103" s="33"/>
      <c r="AD103" s="33">
        <f t="shared" si="59"/>
        <v>1328.9787234042553</v>
      </c>
      <c r="AE103" s="50"/>
      <c r="AF103" s="33">
        <f>SUM(V97:V103)</f>
        <v>4386</v>
      </c>
      <c r="AG103" s="33"/>
      <c r="AH103" s="232">
        <f>+(AF103-AF96)/AF96</f>
        <v>-0.18611987381703471</v>
      </c>
      <c r="AI103" s="50"/>
      <c r="AJ103" s="392"/>
      <c r="AK103" s="23">
        <f t="shared" si="60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1"/>
        <v>7.620194852514181E-3</v>
      </c>
      <c r="AR103" s="25"/>
      <c r="AS103" s="25"/>
      <c r="AT103" s="24"/>
      <c r="AU103" s="342">
        <f t="shared" si="62"/>
        <v>0.41550026128893214</v>
      </c>
      <c r="AV103" s="342"/>
      <c r="AW103" s="24">
        <f t="shared" si="63"/>
        <v>10429.308510638299</v>
      </c>
      <c r="AX103" s="352"/>
      <c r="AY103" s="392"/>
      <c r="AZ103" s="66">
        <f t="shared" si="64"/>
        <v>516127</v>
      </c>
      <c r="BA103" s="67"/>
      <c r="BB103" s="67">
        <v>28491990</v>
      </c>
      <c r="BC103" s="67"/>
      <c r="BD103" s="67">
        <f t="shared" si="65"/>
        <v>26079</v>
      </c>
      <c r="BE103" s="67"/>
      <c r="BF103" s="157">
        <f t="shared" si="66"/>
        <v>5.0528261455029477E-2</v>
      </c>
      <c r="BG103" s="67"/>
      <c r="BH103" s="184"/>
      <c r="BI103" s="67"/>
      <c r="BJ103" s="67">
        <f>SUM(AZ97:AZ103)</f>
        <v>3701059</v>
      </c>
      <c r="BK103" s="67"/>
      <c r="BL103" s="157">
        <f>+P103/BJ103</f>
        <v>5.2138320410455491E-2</v>
      </c>
      <c r="BM103" s="66">
        <f t="shared" si="67"/>
        <v>303106.27659574465</v>
      </c>
      <c r="BN103" s="67"/>
      <c r="BO103" s="67">
        <f t="shared" si="68"/>
        <v>2086079</v>
      </c>
      <c r="BP103" s="67"/>
      <c r="BQ103" s="479">
        <f t="shared" si="69"/>
        <v>7.3216332028756145E-2</v>
      </c>
      <c r="BR103" s="67"/>
      <c r="BS103" s="86"/>
      <c r="BT103" s="184"/>
      <c r="BU103" s="1"/>
      <c r="BV103">
        <f t="shared" si="53"/>
        <v>94</v>
      </c>
    </row>
    <row r="104" spans="2:74" x14ac:dyDescent="0.3">
      <c r="B104" s="172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>
        <f t="shared" si="56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7"/>
        <v>125287</v>
      </c>
      <c r="AA104" s="33"/>
      <c r="AB104" s="46">
        <f t="shared" si="58"/>
        <v>5.2400444508946854E-2</v>
      </c>
      <c r="AC104" s="33"/>
      <c r="AD104" s="33">
        <f t="shared" si="59"/>
        <v>1318.8105263157895</v>
      </c>
      <c r="AE104" s="50"/>
      <c r="AF104" s="33"/>
      <c r="AG104" s="33"/>
      <c r="AH104" s="232"/>
      <c r="AI104" s="50"/>
      <c r="AJ104" s="10"/>
      <c r="AK104" s="23">
        <f t="shared" si="60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1"/>
        <v>2.3026352698767284E-2</v>
      </c>
      <c r="AR104" s="25"/>
      <c r="AS104" s="25"/>
      <c r="AT104" s="24"/>
      <c r="AU104" s="342">
        <f t="shared" si="62"/>
        <v>0.41946830406118396</v>
      </c>
      <c r="AV104" s="342"/>
      <c r="AW104" s="24">
        <f t="shared" si="63"/>
        <v>10557.147368421052</v>
      </c>
      <c r="AX104" s="352"/>
      <c r="AY104" s="10"/>
      <c r="AZ104" s="66">
        <f t="shared" si="64"/>
        <v>521192</v>
      </c>
      <c r="BA104" s="67"/>
      <c r="BB104" s="67">
        <v>29013182</v>
      </c>
      <c r="BC104" s="67"/>
      <c r="BD104" s="67">
        <f t="shared" si="65"/>
        <v>31496</v>
      </c>
      <c r="BE104" s="67"/>
      <c r="BF104" s="157">
        <f t="shared" si="66"/>
        <v>6.0430704999309276E-2</v>
      </c>
      <c r="BG104" s="67"/>
      <c r="BH104" s="184"/>
      <c r="BI104" s="67"/>
      <c r="BJ104" s="67"/>
      <c r="BK104" s="67"/>
      <c r="BL104" s="157"/>
      <c r="BM104" s="66">
        <f t="shared" si="67"/>
        <v>305401.91578947369</v>
      </c>
      <c r="BN104" s="67"/>
      <c r="BO104" s="67">
        <f t="shared" si="68"/>
        <v>2117575</v>
      </c>
      <c r="BP104" s="67"/>
      <c r="BQ104" s="479">
        <f t="shared" si="69"/>
        <v>7.2986651377983977E-2</v>
      </c>
      <c r="BR104" s="67"/>
      <c r="BS104" s="86"/>
      <c r="BT104" s="184"/>
      <c r="BU104" s="1"/>
      <c r="BV104">
        <f t="shared" si="53"/>
        <v>95</v>
      </c>
    </row>
    <row r="105" spans="2:74" x14ac:dyDescent="0.3">
      <c r="B105" s="172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>
        <f t="shared" si="56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7"/>
        <v>126158</v>
      </c>
      <c r="AA105" s="33"/>
      <c r="AB105" s="46">
        <f t="shared" si="58"/>
        <v>5.1981239320623769E-2</v>
      </c>
      <c r="AC105" s="33"/>
      <c r="AD105" s="33">
        <f t="shared" si="59"/>
        <v>1314.1458333333333</v>
      </c>
      <c r="AE105" s="50"/>
      <c r="AF105" s="33"/>
      <c r="AG105" s="33"/>
      <c r="AH105" s="232"/>
      <c r="AI105" s="50"/>
      <c r="AJ105" s="10"/>
      <c r="AK105" s="23">
        <f t="shared" si="60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1"/>
        <v>1.7401032376170196E-2</v>
      </c>
      <c r="AR105" s="25"/>
      <c r="AS105" s="25"/>
      <c r="AT105" s="24"/>
      <c r="AU105" s="342">
        <f t="shared" si="62"/>
        <v>0.42043048367299263</v>
      </c>
      <c r="AV105" s="342"/>
      <c r="AW105" s="24">
        <f t="shared" si="63"/>
        <v>10628.96875</v>
      </c>
      <c r="AX105" s="352"/>
      <c r="AY105" s="10"/>
      <c r="AZ105" s="66">
        <f t="shared" si="64"/>
        <v>539508</v>
      </c>
      <c r="BA105" s="67"/>
      <c r="BB105" s="67">
        <v>29552690</v>
      </c>
      <c r="BC105" s="67"/>
      <c r="BD105" s="67">
        <f t="shared" si="65"/>
        <v>36038</v>
      </c>
      <c r="BE105" s="67"/>
      <c r="BF105" s="157">
        <f t="shared" si="66"/>
        <v>6.6797897343505566E-2</v>
      </c>
      <c r="BG105" s="67"/>
      <c r="BH105" s="184"/>
      <c r="BI105" s="67"/>
      <c r="BJ105" s="67"/>
      <c r="BK105" s="67"/>
      <c r="BL105" s="157"/>
      <c r="BM105" s="66">
        <f t="shared" si="67"/>
        <v>307840.52083333331</v>
      </c>
      <c r="BN105" s="67"/>
      <c r="BO105" s="67">
        <f t="shared" si="68"/>
        <v>2153613</v>
      </c>
      <c r="BP105" s="67"/>
      <c r="BQ105" s="479">
        <f t="shared" si="69"/>
        <v>7.2873670721683881E-2</v>
      </c>
      <c r="BR105" s="67"/>
      <c r="BS105" s="86"/>
      <c r="BT105" s="184"/>
      <c r="BU105" s="1"/>
      <c r="BV105">
        <f t="shared" si="53"/>
        <v>96</v>
      </c>
    </row>
    <row r="106" spans="2:74" x14ac:dyDescent="0.3">
      <c r="B106" s="172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>
        <f t="shared" si="56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7"/>
        <v>126977</v>
      </c>
      <c r="AA106" s="33"/>
      <c r="AB106" s="46">
        <f t="shared" si="58"/>
        <v>5.1503547290240176E-2</v>
      </c>
      <c r="AC106" s="33"/>
      <c r="AD106" s="33">
        <f t="shared" si="59"/>
        <v>1309.0412371134021</v>
      </c>
      <c r="AE106" s="50"/>
      <c r="AF106" s="33"/>
      <c r="AG106" s="33"/>
      <c r="AH106" s="232"/>
      <c r="AI106" s="50"/>
      <c r="AJ106" s="10"/>
      <c r="AK106" s="23">
        <f t="shared" si="60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1"/>
        <v>1.9820047609667369E-2</v>
      </c>
      <c r="AR106" s="25"/>
      <c r="AS106" s="25"/>
      <c r="AT106" s="24"/>
      <c r="AU106" s="342">
        <f t="shared" si="62"/>
        <v>0.42208312393551883</v>
      </c>
      <c r="AV106" s="342"/>
      <c r="AW106" s="24">
        <f t="shared" si="63"/>
        <v>10727.886597938144</v>
      </c>
      <c r="AX106" s="352"/>
      <c r="AY106" s="10"/>
      <c r="AZ106" s="66">
        <f t="shared" si="64"/>
        <v>507174</v>
      </c>
      <c r="BA106" s="67"/>
      <c r="BB106" s="67">
        <f>30059864</f>
        <v>30059864</v>
      </c>
      <c r="BC106" s="67"/>
      <c r="BD106" s="67">
        <f t="shared" si="65"/>
        <v>38412</v>
      </c>
      <c r="BE106" s="67"/>
      <c r="BF106" s="157">
        <f t="shared" si="66"/>
        <v>7.5737320919447765E-2</v>
      </c>
      <c r="BG106" s="67"/>
      <c r="BH106" s="184"/>
      <c r="BI106" s="67"/>
      <c r="BJ106" s="67"/>
      <c r="BK106" s="67"/>
      <c r="BL106" s="157"/>
      <c r="BM106" s="66">
        <f t="shared" si="67"/>
        <v>309895.50515463919</v>
      </c>
      <c r="BN106" s="67"/>
      <c r="BO106" s="67">
        <f t="shared" si="68"/>
        <v>2192025</v>
      </c>
      <c r="BP106" s="67"/>
      <c r="BQ106" s="479">
        <f t="shared" si="69"/>
        <v>7.2921986606459696E-2</v>
      </c>
      <c r="BR106" s="67"/>
      <c r="BS106" s="86"/>
      <c r="BT106" s="184"/>
      <c r="BU106" s="1"/>
      <c r="BV106">
        <f t="shared" si="53"/>
        <v>97</v>
      </c>
    </row>
    <row r="107" spans="2:74" x14ac:dyDescent="0.3">
      <c r="B107" s="172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>
        <f t="shared" si="56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7"/>
        <v>127630</v>
      </c>
      <c r="AA107" s="33"/>
      <c r="AB107" s="46">
        <f t="shared" si="58"/>
        <v>5.0937594163508758E-2</v>
      </c>
      <c r="AC107" s="33"/>
      <c r="AD107" s="33">
        <f t="shared" si="59"/>
        <v>1302.3469387755101</v>
      </c>
      <c r="AE107" s="50"/>
      <c r="AF107" s="33"/>
      <c r="AG107" s="33"/>
      <c r="AH107" s="232"/>
      <c r="AI107" s="50"/>
      <c r="AJ107" s="10"/>
      <c r="AK107" s="23">
        <f t="shared" si="60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1"/>
        <v>1.1231927580590138E-2</v>
      </c>
      <c r="AR107" s="25"/>
      <c r="AS107" s="25"/>
      <c r="AT107" s="24"/>
      <c r="AU107" s="342">
        <f t="shared" si="62"/>
        <v>0.41997393853405252</v>
      </c>
      <c r="AV107" s="342"/>
      <c r="AW107" s="24">
        <f t="shared" si="63"/>
        <v>10737.683673469388</v>
      </c>
      <c r="AX107" s="352"/>
      <c r="AY107" s="10"/>
      <c r="AZ107" s="66">
        <f t="shared" si="64"/>
        <v>672688</v>
      </c>
      <c r="BA107" s="67"/>
      <c r="BB107" s="67">
        <v>30732552</v>
      </c>
      <c r="BC107" s="67"/>
      <c r="BD107" s="67">
        <f t="shared" si="65"/>
        <v>40212</v>
      </c>
      <c r="BE107" s="67"/>
      <c r="BF107" s="157">
        <f t="shared" si="66"/>
        <v>5.9778084342221059E-2</v>
      </c>
      <c r="BG107" s="67"/>
      <c r="BH107" s="184"/>
      <c r="BI107" s="67"/>
      <c r="BJ107" s="67"/>
      <c r="BK107" s="67"/>
      <c r="BL107" s="157"/>
      <c r="BM107" s="66">
        <f t="shared" si="67"/>
        <v>313597.46938775509</v>
      </c>
      <c r="BN107" s="67"/>
      <c r="BO107" s="67">
        <f t="shared" si="68"/>
        <v>2232237</v>
      </c>
      <c r="BP107" s="67"/>
      <c r="BQ107" s="479">
        <f t="shared" si="69"/>
        <v>7.2634286928075484E-2</v>
      </c>
      <c r="BR107" s="67"/>
      <c r="BS107" s="86"/>
      <c r="BT107" s="184"/>
      <c r="BU107" s="1"/>
      <c r="BV107">
        <f t="shared" si="53"/>
        <v>98</v>
      </c>
    </row>
    <row r="108" spans="2:74" x14ac:dyDescent="0.3">
      <c r="B108" s="172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>
        <f t="shared" si="56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7"/>
        <v>128293</v>
      </c>
      <c r="AA108" s="33"/>
      <c r="AB108" s="46">
        <f t="shared" si="58"/>
        <v>5.0252726643154055E-2</v>
      </c>
      <c r="AC108" s="33"/>
      <c r="AD108" s="33">
        <f t="shared" si="59"/>
        <v>1295.8888888888889</v>
      </c>
      <c r="AE108" s="50"/>
      <c r="AF108" s="33"/>
      <c r="AG108" s="33"/>
      <c r="AH108" s="232"/>
      <c r="AI108" s="50"/>
      <c r="AJ108" s="10"/>
      <c r="AK108" s="23">
        <f t="shared" si="60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1"/>
        <v>1.55945159760637E-2</v>
      </c>
      <c r="AR108" s="25"/>
      <c r="AS108" s="25"/>
      <c r="AT108" s="24"/>
      <c r="AU108" s="342">
        <f t="shared" si="62"/>
        <v>0.41861395182682348</v>
      </c>
      <c r="AV108" s="342"/>
      <c r="AW108" s="24">
        <f t="shared" si="63"/>
        <v>10794.979797979799</v>
      </c>
      <c r="AX108" s="352"/>
      <c r="AY108" s="10"/>
      <c r="AZ108" s="66">
        <f t="shared" si="64"/>
        <v>619948</v>
      </c>
      <c r="BA108" s="67"/>
      <c r="BB108" s="67">
        <v>31352500</v>
      </c>
      <c r="BC108" s="67"/>
      <c r="BD108" s="67">
        <f t="shared" si="65"/>
        <v>47341</v>
      </c>
      <c r="BE108" s="67"/>
      <c r="BF108" s="157">
        <f t="shared" si="66"/>
        <v>7.6362856239555577E-2</v>
      </c>
      <c r="BG108" s="67"/>
      <c r="BH108" s="184"/>
      <c r="BI108" s="67"/>
      <c r="BJ108" s="67"/>
      <c r="BK108" s="67"/>
      <c r="BL108" s="157"/>
      <c r="BM108" s="66">
        <f t="shared" si="67"/>
        <v>316691.91919191921</v>
      </c>
      <c r="BN108" s="67"/>
      <c r="BO108" s="67">
        <f t="shared" si="68"/>
        <v>2279578</v>
      </c>
      <c r="BP108" s="67"/>
      <c r="BQ108" s="479">
        <f t="shared" si="69"/>
        <v>7.2708013715014758E-2</v>
      </c>
      <c r="BR108" s="67"/>
      <c r="BS108" s="86"/>
      <c r="BT108" s="184"/>
      <c r="BU108" s="1"/>
      <c r="BV108">
        <f t="shared" si="53"/>
        <v>99</v>
      </c>
    </row>
    <row r="109" spans="2:74" x14ac:dyDescent="0.3">
      <c r="B109" s="172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>
        <f t="shared" ref="N109:N126" si="71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:Z126" si="72">+Z108+V109</f>
        <v>128805</v>
      </c>
      <c r="AA109" s="33"/>
      <c r="AB109" s="46">
        <f t="shared" ref="AB109:AB126" si="73">+Z109/H109</f>
        <v>4.9606456599694128E-2</v>
      </c>
      <c r="AC109" s="33"/>
      <c r="AD109" s="33">
        <f t="shared" ref="AD109:AD126" si="74">+Z109/BV109</f>
        <v>1288.05</v>
      </c>
      <c r="AE109" s="50"/>
      <c r="AF109" s="33"/>
      <c r="AG109" s="33"/>
      <c r="AH109" s="232"/>
      <c r="AI109" s="50"/>
      <c r="AJ109" s="10"/>
      <c r="AK109" s="23">
        <f t="shared" ref="AK109:AK126" si="75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5">
        <f t="shared" ref="AQ109:AQ126" si="76">+AK109/AO108</f>
        <v>1.1915377799070462E-2</v>
      </c>
      <c r="AR109" s="25"/>
      <c r="AS109" s="25"/>
      <c r="AT109" s="24"/>
      <c r="AU109" s="342">
        <f t="shared" ref="AU109:AU126" si="77">+AO109/H109</f>
        <v>0.41649204305580856</v>
      </c>
      <c r="AV109" s="342"/>
      <c r="AW109" s="24">
        <f t="shared" ref="AW109:AW126" si="78">+AO109/BV109</f>
        <v>10814.37</v>
      </c>
      <c r="AX109" s="352"/>
      <c r="AY109" s="10"/>
      <c r="AZ109" s="66">
        <f t="shared" ref="AZ109:AZ126" si="79">+BB109-BB108</f>
        <v>645524</v>
      </c>
      <c r="BA109" s="67"/>
      <c r="BB109" s="67">
        <v>31998024</v>
      </c>
      <c r="BC109" s="67"/>
      <c r="BD109" s="67">
        <f t="shared" ref="BD109:BD126" si="80">+D109</f>
        <v>43581</v>
      </c>
      <c r="BE109" s="67"/>
      <c r="BF109" s="157">
        <f t="shared" ref="BF109:BF126" si="81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:BM126" si="82">+BB109/BV109</f>
        <v>319980.24</v>
      </c>
      <c r="BN109" s="67"/>
      <c r="BO109" s="67">
        <f t="shared" ref="BO109:BO126" si="83">+BO108+BD109</f>
        <v>2323159</v>
      </c>
      <c r="BP109" s="67"/>
      <c r="BQ109" s="479">
        <f t="shared" ref="BQ109:BQ126" si="84">+BO109/BB109</f>
        <v>7.2603201997723354E-2</v>
      </c>
      <c r="BR109" s="67"/>
      <c r="BS109" s="86"/>
      <c r="BT109" s="184"/>
      <c r="BU109" s="1"/>
      <c r="BV109">
        <f t="shared" si="53"/>
        <v>100</v>
      </c>
    </row>
    <row r="110" spans="2:74" x14ac:dyDescent="0.3">
      <c r="B110" s="391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 t="shared" si="71"/>
        <v>26109.673267326732</v>
      </c>
      <c r="O110" s="41"/>
      <c r="P110" s="17">
        <f>SUM(D104:D110)</f>
        <v>277620</v>
      </c>
      <c r="Q110" s="16"/>
      <c r="R110" s="60">
        <f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si="72"/>
        <v>129090</v>
      </c>
      <c r="AA110" s="33"/>
      <c r="AB110" s="46">
        <f t="shared" si="73"/>
        <v>4.8951926697627712E-2</v>
      </c>
      <c r="AC110" s="33"/>
      <c r="AD110" s="33">
        <f t="shared" si="74"/>
        <v>1278.1188118811881</v>
      </c>
      <c r="AE110" s="50"/>
      <c r="AF110" s="33">
        <f>SUM(V104:V110)</f>
        <v>4166</v>
      </c>
      <c r="AG110" s="33"/>
      <c r="AH110" s="232">
        <f>+(AF110-AF103)/AF103</f>
        <v>-5.0159598723210214E-2</v>
      </c>
      <c r="AI110" s="50"/>
      <c r="AJ110" s="392"/>
      <c r="AK110" s="23">
        <f t="shared" si="75"/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5">
        <f t="shared" si="76"/>
        <v>1.1113916020997988E-2</v>
      </c>
      <c r="AR110" s="25"/>
      <c r="AS110" s="25"/>
      <c r="AT110" s="24"/>
      <c r="AU110" s="342">
        <f t="shared" si="77"/>
        <v>0.41464697466171824</v>
      </c>
      <c r="AV110" s="342"/>
      <c r="AW110" s="24">
        <f t="shared" si="78"/>
        <v>10826.29702970297</v>
      </c>
      <c r="AX110" s="352"/>
      <c r="AY110" s="392"/>
      <c r="AZ110" s="66">
        <f t="shared" si="79"/>
        <v>594344</v>
      </c>
      <c r="BA110" s="67"/>
      <c r="BB110" s="67">
        <f>32592368</f>
        <v>32592368</v>
      </c>
      <c r="BC110" s="67"/>
      <c r="BD110" s="67">
        <f t="shared" si="80"/>
        <v>40540</v>
      </c>
      <c r="BE110" s="67"/>
      <c r="BF110" s="157">
        <f t="shared" si="81"/>
        <v>6.8209656360626175E-2</v>
      </c>
      <c r="BG110" s="67"/>
      <c r="BH110" s="184"/>
      <c r="BI110" s="67"/>
      <c r="BJ110" s="67">
        <f>SUM(AZ104:AZ110)</f>
        <v>4100378</v>
      </c>
      <c r="BK110" s="67"/>
      <c r="BL110" s="157">
        <f>+P110/BJ110</f>
        <v>6.7705952963360932E-2</v>
      </c>
      <c r="BM110" s="66">
        <f t="shared" si="82"/>
        <v>322696.71287128713</v>
      </c>
      <c r="BN110" s="67"/>
      <c r="BO110" s="67">
        <f t="shared" si="83"/>
        <v>2363699</v>
      </c>
      <c r="BP110" s="67"/>
      <c r="BQ110" s="479">
        <f t="shared" si="84"/>
        <v>7.2523082704515365E-2</v>
      </c>
      <c r="BR110" s="67"/>
      <c r="BS110" s="86"/>
      <c r="BT110" s="184"/>
      <c r="BU110" s="1"/>
      <c r="BV110">
        <f t="shared" si="53"/>
        <v>101</v>
      </c>
    </row>
    <row r="111" spans="2:74" x14ac:dyDescent="0.3">
      <c r="B111" s="172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>
        <f t="shared" si="71"/>
        <v>26292.264705882353</v>
      </c>
      <c r="O111" s="41"/>
      <c r="P111" s="17"/>
      <c r="Q111" s="16"/>
      <c r="R111" s="60"/>
      <c r="S111" s="16"/>
      <c r="T111" s="41"/>
      <c r="U111" s="10"/>
      <c r="V111" s="34">
        <v>346</v>
      </c>
      <c r="W111" s="33"/>
      <c r="X111" s="33"/>
      <c r="Y111" s="33"/>
      <c r="Z111" s="33">
        <f t="shared" si="72"/>
        <v>129436</v>
      </c>
      <c r="AA111" s="33"/>
      <c r="AB111" s="46">
        <f t="shared" si="73"/>
        <v>4.8264400436868964E-2</v>
      </c>
      <c r="AC111" s="33"/>
      <c r="AD111" s="33">
        <f t="shared" si="74"/>
        <v>1268.9803921568628</v>
      </c>
      <c r="AE111" s="50"/>
      <c r="AF111" s="33"/>
      <c r="AG111" s="33"/>
      <c r="AH111" s="232"/>
      <c r="AI111" s="50"/>
      <c r="AJ111" s="10"/>
      <c r="AK111" s="23">
        <f t="shared" si="75"/>
        <v>23721</v>
      </c>
      <c r="AL111" s="24"/>
      <c r="AM111" s="24"/>
      <c r="AN111" s="24">
        <v>178263</v>
      </c>
      <c r="AO111" s="24">
        <v>1117177</v>
      </c>
      <c r="AP111" s="24"/>
      <c r="AQ111" s="505">
        <f t="shared" si="76"/>
        <v>2.1693602668968848E-2</v>
      </c>
      <c r="AR111" s="25"/>
      <c r="AS111" s="25"/>
      <c r="AT111" s="24"/>
      <c r="AU111" s="342">
        <f t="shared" si="77"/>
        <v>0.41657559015158041</v>
      </c>
      <c r="AV111" s="342"/>
      <c r="AW111" s="24">
        <f t="shared" si="78"/>
        <v>10952.715686274511</v>
      </c>
      <c r="AX111" s="352"/>
      <c r="AY111" s="10"/>
      <c r="AZ111" s="66">
        <f t="shared" si="79"/>
        <v>597145</v>
      </c>
      <c r="BA111" s="67"/>
      <c r="BB111" s="67">
        <v>33189513</v>
      </c>
      <c r="BC111" s="67"/>
      <c r="BD111" s="67">
        <f t="shared" si="80"/>
        <v>44734</v>
      </c>
      <c r="BE111" s="67"/>
      <c r="BF111" s="157">
        <f t="shared" si="81"/>
        <v>7.4913128302171159E-2</v>
      </c>
      <c r="BG111" s="67"/>
      <c r="BH111" s="184"/>
      <c r="BI111" s="67"/>
      <c r="BJ111" s="67"/>
      <c r="BK111" s="67"/>
      <c r="BL111" s="157"/>
      <c r="BM111" s="66">
        <f t="shared" si="82"/>
        <v>325387.3823529412</v>
      </c>
      <c r="BN111" s="67"/>
      <c r="BO111" s="67">
        <f t="shared" si="83"/>
        <v>2408433</v>
      </c>
      <c r="BP111" s="67"/>
      <c r="BQ111" s="479">
        <f t="shared" si="84"/>
        <v>7.2566084353211213E-2</v>
      </c>
      <c r="BR111" s="67"/>
      <c r="BS111" s="86"/>
      <c r="BT111" s="184"/>
      <c r="BU111" s="1"/>
      <c r="BV111">
        <f t="shared" si="53"/>
        <v>102</v>
      </c>
    </row>
    <row r="112" spans="2:74" x14ac:dyDescent="0.3">
      <c r="B112" s="172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>
        <f t="shared" si="71"/>
        <v>26484.009708737864</v>
      </c>
      <c r="O112" s="41"/>
      <c r="P112" s="17"/>
      <c r="Q112" s="16"/>
      <c r="R112" s="60"/>
      <c r="S112" s="16"/>
      <c r="T112" s="41"/>
      <c r="U112" s="10"/>
      <c r="V112" s="34">
        <v>764</v>
      </c>
      <c r="W112" s="33"/>
      <c r="X112" s="33"/>
      <c r="Y112" s="33"/>
      <c r="Z112" s="33">
        <f t="shared" si="72"/>
        <v>130200</v>
      </c>
      <c r="AA112" s="33"/>
      <c r="AB112" s="46">
        <f t="shared" si="73"/>
        <v>4.7729844680046908E-2</v>
      </c>
      <c r="AC112" s="33"/>
      <c r="AD112" s="33">
        <f t="shared" si="74"/>
        <v>1264.0776699029127</v>
      </c>
      <c r="AE112" s="50"/>
      <c r="AF112" s="33"/>
      <c r="AG112" s="33"/>
      <c r="AH112" s="232"/>
      <c r="AI112" s="50"/>
      <c r="AJ112" s="10"/>
      <c r="AK112" s="23">
        <f t="shared" si="75"/>
        <v>26157</v>
      </c>
      <c r="AL112" s="24"/>
      <c r="AM112" s="24"/>
      <c r="AN112" s="24">
        <v>178263</v>
      </c>
      <c r="AO112" s="24">
        <v>1143334</v>
      </c>
      <c r="AP112" s="24"/>
      <c r="AQ112" s="505">
        <f t="shared" si="76"/>
        <v>2.3413478795213293E-2</v>
      </c>
      <c r="AR112" s="25"/>
      <c r="AS112" s="25"/>
      <c r="AT112" s="24"/>
      <c r="AU112" s="342">
        <f t="shared" si="77"/>
        <v>0.41913328907386138</v>
      </c>
      <c r="AV112" s="342"/>
      <c r="AW112" s="24">
        <f t="shared" si="78"/>
        <v>11100.330097087379</v>
      </c>
      <c r="AX112" s="352"/>
      <c r="AY112" s="10"/>
      <c r="AZ112" s="66">
        <f t="shared" si="79"/>
        <v>1008514</v>
      </c>
      <c r="BA112" s="67"/>
      <c r="BB112" s="67">
        <v>34198027</v>
      </c>
      <c r="BC112" s="67"/>
      <c r="BD112" s="67">
        <f t="shared" si="80"/>
        <v>46042</v>
      </c>
      <c r="BE112" s="67"/>
      <c r="BF112" s="157">
        <f t="shared" si="81"/>
        <v>4.5653307737919355E-2</v>
      </c>
      <c r="BG112" s="67"/>
      <c r="BH112" s="184"/>
      <c r="BI112" s="67"/>
      <c r="BJ112" s="67"/>
      <c r="BK112" s="67"/>
      <c r="BL112" s="157"/>
      <c r="BM112" s="66">
        <f t="shared" si="82"/>
        <v>332019.67961165047</v>
      </c>
      <c r="BN112" s="67"/>
      <c r="BO112" s="67">
        <f t="shared" si="83"/>
        <v>2454475</v>
      </c>
      <c r="BP112" s="67"/>
      <c r="BQ112" s="479">
        <f t="shared" si="84"/>
        <v>7.1772415408643306E-2</v>
      </c>
      <c r="BR112" s="67"/>
      <c r="BS112" s="86"/>
      <c r="BT112" s="184"/>
      <c r="BU112" s="1"/>
      <c r="BV112">
        <f t="shared" si="53"/>
        <v>103</v>
      </c>
    </row>
    <row r="113" spans="2:74" x14ac:dyDescent="0.3">
      <c r="B113" s="172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>
        <f t="shared" si="71"/>
        <v>26720.673076923078</v>
      </c>
      <c r="O113" s="41"/>
      <c r="P113" s="17"/>
      <c r="Q113" s="16"/>
      <c r="R113" s="60"/>
      <c r="S113" s="16"/>
      <c r="T113" s="41"/>
      <c r="U113" s="10"/>
      <c r="V113" s="34">
        <v>676</v>
      </c>
      <c r="W113" s="33"/>
      <c r="X113" s="33"/>
      <c r="Y113" s="33"/>
      <c r="Z113" s="33">
        <f t="shared" si="72"/>
        <v>130876</v>
      </c>
      <c r="AA113" s="33"/>
      <c r="AB113" s="46">
        <f t="shared" si="73"/>
        <v>4.7095485705032476E-2</v>
      </c>
      <c r="AC113" s="33"/>
      <c r="AD113" s="33">
        <f t="shared" si="74"/>
        <v>1258.4230769230769</v>
      </c>
      <c r="AE113" s="50"/>
      <c r="AF113" s="33"/>
      <c r="AG113" s="33">
        <f>SUM(D83:D112)</f>
        <v>869627</v>
      </c>
      <c r="AH113" s="232"/>
      <c r="AI113" s="50"/>
      <c r="AJ113" s="10"/>
      <c r="AK113" s="23">
        <f t="shared" si="75"/>
        <v>20966</v>
      </c>
      <c r="AL113" s="24"/>
      <c r="AM113" s="24"/>
      <c r="AN113" s="24">
        <v>178263</v>
      </c>
      <c r="AO113" s="24">
        <v>1164300</v>
      </c>
      <c r="AP113" s="24"/>
      <c r="AQ113" s="505">
        <f t="shared" si="76"/>
        <v>1.8337598636968724E-2</v>
      </c>
      <c r="AR113" s="25"/>
      <c r="AS113" s="25"/>
      <c r="AT113" s="24"/>
      <c r="AU113" s="342">
        <f t="shared" si="77"/>
        <v>0.41897119415606615</v>
      </c>
      <c r="AV113" s="342"/>
      <c r="AW113" s="24">
        <f t="shared" si="78"/>
        <v>11195.192307692309</v>
      </c>
      <c r="AX113" s="352"/>
      <c r="AY113" s="10"/>
      <c r="AZ113" s="66">
        <f t="shared" si="79"/>
        <v>657615</v>
      </c>
      <c r="BA113" s="67"/>
      <c r="BB113" s="67">
        <v>34855642</v>
      </c>
      <c r="BC113" s="67"/>
      <c r="BD113" s="67">
        <f t="shared" si="80"/>
        <v>51097</v>
      </c>
      <c r="BE113" s="67"/>
      <c r="BF113" s="157">
        <f t="shared" si="81"/>
        <v>7.7700478243349066E-2</v>
      </c>
      <c r="BG113" s="67"/>
      <c r="BH113" s="184"/>
      <c r="BI113" s="67"/>
      <c r="BJ113" s="67"/>
      <c r="BK113" s="67"/>
      <c r="BL113" s="157"/>
      <c r="BM113" s="66">
        <f t="shared" si="82"/>
        <v>335150.40384615387</v>
      </c>
      <c r="BN113" s="67"/>
      <c r="BO113" s="67">
        <f t="shared" si="83"/>
        <v>2505572</v>
      </c>
      <c r="BP113" s="67"/>
      <c r="BQ113" s="479">
        <f t="shared" si="84"/>
        <v>7.1884259082073423E-2</v>
      </c>
      <c r="BR113" s="67"/>
      <c r="BS113" s="86"/>
      <c r="BT113" s="184"/>
      <c r="BU113" s="1"/>
      <c r="BV113">
        <f t="shared" si="53"/>
        <v>104</v>
      </c>
    </row>
    <row r="114" spans="2:74" x14ac:dyDescent="0.3">
      <c r="B114" s="172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</f>
        <v>2840966</v>
      </c>
      <c r="I114" s="506" t="s">
        <v>150</v>
      </c>
      <c r="J114" s="38">
        <f t="shared" si="70"/>
        <v>2.1545907626981414E-2</v>
      </c>
      <c r="K114" s="16"/>
      <c r="L114" s="16"/>
      <c r="M114" s="16"/>
      <c r="N114" s="16">
        <f t="shared" si="71"/>
        <v>27056.819047619047</v>
      </c>
      <c r="O114" s="41"/>
      <c r="P114" s="17"/>
      <c r="Q114" s="16"/>
      <c r="R114" s="60"/>
      <c r="S114" s="16"/>
      <c r="T114" s="41"/>
      <c r="U114" s="10"/>
      <c r="V114" s="34">
        <v>604</v>
      </c>
      <c r="W114" s="33"/>
      <c r="X114" s="33"/>
      <c r="Y114" s="33"/>
      <c r="Z114" s="33">
        <f t="shared" si="72"/>
        <v>131480</v>
      </c>
      <c r="AA114" s="33"/>
      <c r="AB114" s="46">
        <f t="shared" si="73"/>
        <v>4.6280032918380579E-2</v>
      </c>
      <c r="AC114" s="33"/>
      <c r="AD114" s="33">
        <f t="shared" si="74"/>
        <v>1252.1904761904761</v>
      </c>
      <c r="AE114" s="50"/>
      <c r="AF114" s="33"/>
      <c r="AG114" s="33">
        <f>SUM(V83:V112)</f>
        <v>21252</v>
      </c>
      <c r="AH114" s="232"/>
      <c r="AI114" s="50"/>
      <c r="AJ114" s="10"/>
      <c r="AK114" s="23">
        <f t="shared" si="75"/>
        <v>20879</v>
      </c>
      <c r="AL114" s="24"/>
      <c r="AM114" s="24"/>
      <c r="AN114" s="24">
        <v>178263</v>
      </c>
      <c r="AO114" s="24">
        <v>1185179</v>
      </c>
      <c r="AP114" s="24"/>
      <c r="AQ114" s="505">
        <f t="shared" si="76"/>
        <v>1.7932663402903032E-2</v>
      </c>
      <c r="AR114" s="25"/>
      <c r="AS114" s="25"/>
      <c r="AT114" s="24"/>
      <c r="AU114" s="342">
        <f t="shared" si="77"/>
        <v>0.417174651157388</v>
      </c>
      <c r="AV114" s="342"/>
      <c r="AW114" s="24">
        <f t="shared" si="78"/>
        <v>11287.419047619047</v>
      </c>
      <c r="AX114" s="352"/>
      <c r="AY114" s="10"/>
      <c r="AZ114" s="66">
        <f t="shared" si="79"/>
        <v>682358</v>
      </c>
      <c r="BA114" s="67"/>
      <c r="BB114" s="67">
        <v>35538000</v>
      </c>
      <c r="BC114" s="67"/>
      <c r="BD114" s="67">
        <f t="shared" si="80"/>
        <v>59875</v>
      </c>
      <c r="BE114" s="67"/>
      <c r="BF114" s="157">
        <f t="shared" si="81"/>
        <v>8.7747194288042341E-2</v>
      </c>
      <c r="BG114" s="67"/>
      <c r="BH114" s="184"/>
      <c r="BI114" s="67"/>
      <c r="BJ114" s="67"/>
      <c r="BK114" s="67"/>
      <c r="BL114" s="157"/>
      <c r="BM114" s="66">
        <f t="shared" si="82"/>
        <v>338457.14285714284</v>
      </c>
      <c r="BN114" s="67"/>
      <c r="BO114" s="67">
        <f t="shared" si="83"/>
        <v>2565447</v>
      </c>
      <c r="BP114" s="67"/>
      <c r="BQ114" s="479">
        <f t="shared" si="84"/>
        <v>7.2188840114806682E-2</v>
      </c>
      <c r="BR114" s="67"/>
      <c r="BS114" s="86"/>
      <c r="BT114" s="184"/>
      <c r="BU114" s="1"/>
      <c r="BV114">
        <f t="shared" si="53"/>
        <v>105</v>
      </c>
    </row>
    <row r="115" spans="2:74" x14ac:dyDescent="0.3">
      <c r="B115" s="172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5">+H114+D115</f>
        <v>2899057</v>
      </c>
      <c r="I115" s="506" t="s">
        <v>150</v>
      </c>
      <c r="J115" s="38">
        <f t="shared" si="70"/>
        <v>2.0447622393228219E-2</v>
      </c>
      <c r="K115" s="16"/>
      <c r="L115" s="16"/>
      <c r="M115" s="16"/>
      <c r="N115" s="16">
        <f t="shared" si="71"/>
        <v>27349.594339622643</v>
      </c>
      <c r="O115" s="41"/>
      <c r="P115" s="17"/>
      <c r="Q115" s="16"/>
      <c r="R115" s="60"/>
      <c r="S115" s="16"/>
      <c r="T115" s="41"/>
      <c r="U115" s="10"/>
      <c r="V115" s="34">
        <v>616</v>
      </c>
      <c r="W115" s="33"/>
      <c r="X115" s="33"/>
      <c r="Y115" s="33"/>
      <c r="Z115" s="33">
        <f t="shared" si="72"/>
        <v>132096</v>
      </c>
      <c r="AA115" s="33"/>
      <c r="AB115" s="46">
        <f t="shared" si="73"/>
        <v>4.5565161361090865E-2</v>
      </c>
      <c r="AC115" s="33"/>
      <c r="AD115" s="33">
        <f t="shared" si="74"/>
        <v>1246.1886792452831</v>
      </c>
      <c r="AE115" s="50"/>
      <c r="AF115" s="33"/>
      <c r="AG115" s="232">
        <f>+AG114/AG113</f>
        <v>2.4438063675575852E-2</v>
      </c>
      <c r="AH115" s="232"/>
      <c r="AI115" s="50"/>
      <c r="AJ115" s="10"/>
      <c r="AK115" s="23">
        <f t="shared" si="75"/>
        <v>50309</v>
      </c>
      <c r="AL115" s="24"/>
      <c r="AM115" s="24"/>
      <c r="AN115" s="24">
        <v>178263</v>
      </c>
      <c r="AO115" s="24">
        <v>1235488</v>
      </c>
      <c r="AP115" s="24"/>
      <c r="AQ115" s="505">
        <f t="shared" si="76"/>
        <v>4.2448440277797699E-2</v>
      </c>
      <c r="AR115" s="25"/>
      <c r="AS115" s="25"/>
      <c r="AT115" s="24"/>
      <c r="AU115" s="342">
        <f t="shared" si="77"/>
        <v>0.42616892320502842</v>
      </c>
      <c r="AV115" s="342"/>
      <c r="AW115" s="24">
        <f t="shared" si="78"/>
        <v>11655.547169811322</v>
      </c>
      <c r="AX115" s="352"/>
      <c r="AY115" s="10"/>
      <c r="AZ115" s="66">
        <f t="shared" si="79"/>
        <v>759195</v>
      </c>
      <c r="BA115" s="67"/>
      <c r="BB115" s="67">
        <v>36297195</v>
      </c>
      <c r="BC115" s="67"/>
      <c r="BD115" s="67">
        <f t="shared" si="80"/>
        <v>58091</v>
      </c>
      <c r="BE115" s="67"/>
      <c r="BF115" s="157">
        <f t="shared" si="81"/>
        <v>7.6516573475852709E-2</v>
      </c>
      <c r="BG115" s="67"/>
      <c r="BH115" s="184"/>
      <c r="BI115" s="67"/>
      <c r="BJ115" s="67"/>
      <c r="BK115" s="67"/>
      <c r="BL115" s="157"/>
      <c r="BM115" s="66">
        <f t="shared" si="82"/>
        <v>342426.36792452831</v>
      </c>
      <c r="BN115" s="67"/>
      <c r="BO115" s="67">
        <f t="shared" si="83"/>
        <v>2623538</v>
      </c>
      <c r="BP115" s="67"/>
      <c r="BQ115" s="479">
        <f t="shared" si="84"/>
        <v>7.2279359327903983E-2</v>
      </c>
      <c r="BR115" s="67"/>
      <c r="BS115" s="86"/>
      <c r="BT115" s="184"/>
      <c r="BU115" s="1"/>
      <c r="BV115">
        <f t="shared" si="53"/>
        <v>106</v>
      </c>
    </row>
    <row r="116" spans="2:74" x14ac:dyDescent="0.3">
      <c r="B116" s="172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 t="shared" si="85"/>
        <v>2945641</v>
      </c>
      <c r="I116" s="506" t="s">
        <v>150</v>
      </c>
      <c r="J116" s="38">
        <f t="shared" si="70"/>
        <v>1.6068673365166673E-2</v>
      </c>
      <c r="K116" s="16"/>
      <c r="L116" s="16"/>
      <c r="M116" s="16"/>
      <c r="N116" s="16">
        <f t="shared" si="71"/>
        <v>27529.355140186915</v>
      </c>
      <c r="O116" s="41"/>
      <c r="P116" s="17"/>
      <c r="Q116" s="16"/>
      <c r="R116" s="60"/>
      <c r="S116" s="16"/>
      <c r="T116" s="41"/>
      <c r="U116" s="10"/>
      <c r="V116" s="34">
        <v>254</v>
      </c>
      <c r="W116" s="33"/>
      <c r="X116" s="33"/>
      <c r="Y116" s="33"/>
      <c r="Z116" s="33">
        <f t="shared" si="72"/>
        <v>132350</v>
      </c>
      <c r="AA116" s="33"/>
      <c r="AB116" s="46">
        <f t="shared" si="73"/>
        <v>4.4930797744871152E-2</v>
      </c>
      <c r="AC116" s="33"/>
      <c r="AD116" s="33">
        <f t="shared" si="74"/>
        <v>1236.9158878504672</v>
      </c>
      <c r="AE116" s="50"/>
      <c r="AF116" s="33"/>
      <c r="AG116" s="33"/>
      <c r="AH116" s="232"/>
      <c r="AI116" s="50"/>
      <c r="AJ116" s="10"/>
      <c r="AK116" s="23">
        <f t="shared" si="75"/>
        <v>24917</v>
      </c>
      <c r="AL116" s="24"/>
      <c r="AM116" s="24"/>
      <c r="AN116" s="24">
        <v>178263</v>
      </c>
      <c r="AO116" s="24">
        <v>1260405</v>
      </c>
      <c r="AP116" s="24"/>
      <c r="AQ116" s="505">
        <f t="shared" si="76"/>
        <v>2.0167739387189517E-2</v>
      </c>
      <c r="AR116" s="25"/>
      <c r="AS116" s="25"/>
      <c r="AT116" s="24"/>
      <c r="AU116" s="342">
        <f t="shared" si="77"/>
        <v>0.42788819139874817</v>
      </c>
      <c r="AV116" s="342"/>
      <c r="AW116" s="24">
        <f t="shared" si="78"/>
        <v>11779.485981308411</v>
      </c>
      <c r="AX116" s="352"/>
      <c r="AY116" s="10"/>
      <c r="AZ116" s="66">
        <f t="shared" si="79"/>
        <v>656438</v>
      </c>
      <c r="BA116" s="67"/>
      <c r="BB116" s="67">
        <v>36953633</v>
      </c>
      <c r="BC116" s="67"/>
      <c r="BD116" s="67">
        <f t="shared" si="80"/>
        <v>46584</v>
      </c>
      <c r="BE116" s="67"/>
      <c r="BF116" s="157">
        <f t="shared" si="81"/>
        <v>7.0964813127820145E-2</v>
      </c>
      <c r="BG116" s="67"/>
      <c r="BH116" s="184"/>
      <c r="BI116" s="67"/>
      <c r="BJ116" s="67"/>
      <c r="BK116" s="67"/>
      <c r="BL116" s="157"/>
      <c r="BM116" s="66">
        <f t="shared" si="82"/>
        <v>345361.05607476638</v>
      </c>
      <c r="BN116" s="67"/>
      <c r="BO116" s="67">
        <f t="shared" si="83"/>
        <v>2670122</v>
      </c>
      <c r="BP116" s="67"/>
      <c r="BQ116" s="479">
        <f t="shared" si="84"/>
        <v>7.2256007954617077E-2</v>
      </c>
      <c r="BR116" s="67"/>
      <c r="BS116" s="86"/>
      <c r="BT116" s="184"/>
      <c r="BU116" s="1"/>
      <c r="BV116">
        <f t="shared" si="53"/>
        <v>107</v>
      </c>
    </row>
    <row r="117" spans="2:74" x14ac:dyDescent="0.3">
      <c r="B117" s="391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5"/>
        <v>2990171</v>
      </c>
      <c r="I117" s="16"/>
      <c r="J117" s="38">
        <f t="shared" si="70"/>
        <v>1.5117252917107006E-2</v>
      </c>
      <c r="K117" s="16"/>
      <c r="L117" s="16"/>
      <c r="M117" s="16"/>
      <c r="N117" s="16">
        <f t="shared" si="71"/>
        <v>27686.768518518518</v>
      </c>
      <c r="O117" s="41"/>
      <c r="P117" s="17">
        <f t="shared" ref="P117:P126" si="86">SUM(D111:D117)</f>
        <v>350953</v>
      </c>
      <c r="Q117" s="16"/>
      <c r="R117" s="60">
        <f>+(P117-P110)/P110</f>
        <v>0.26414883653915422</v>
      </c>
      <c r="S117" s="16"/>
      <c r="T117" s="41"/>
      <c r="U117" s="392"/>
      <c r="V117" s="34">
        <v>251</v>
      </c>
      <c r="W117" s="33"/>
      <c r="X117" s="33"/>
      <c r="Y117" s="33"/>
      <c r="Z117" s="33">
        <f t="shared" si="72"/>
        <v>132601</v>
      </c>
      <c r="AA117" s="33"/>
      <c r="AB117" s="46">
        <f t="shared" si="73"/>
        <v>4.4345624380679231E-2</v>
      </c>
      <c r="AC117" s="33"/>
      <c r="AD117" s="33">
        <f t="shared" si="74"/>
        <v>1227.787037037037</v>
      </c>
      <c r="AE117" s="50"/>
      <c r="AF117" s="33">
        <f>SUM(V111:V117)</f>
        <v>3511</v>
      </c>
      <c r="AG117" s="33"/>
      <c r="AH117" s="232">
        <f>+(AF117-AF110)/AF110</f>
        <v>-0.15722515602496401</v>
      </c>
      <c r="AI117" s="50"/>
      <c r="AJ117" s="392"/>
      <c r="AK117" s="23">
        <f t="shared" si="75"/>
        <v>25154</v>
      </c>
      <c r="AL117" s="24"/>
      <c r="AM117" s="24"/>
      <c r="AN117" s="24">
        <v>178263</v>
      </c>
      <c r="AO117" s="24">
        <v>1285559</v>
      </c>
      <c r="AP117" s="24"/>
      <c r="AQ117" s="505">
        <f t="shared" si="76"/>
        <v>1.9957077288649282E-2</v>
      </c>
      <c r="AR117" s="25"/>
      <c r="AS117" s="25"/>
      <c r="AT117" s="24"/>
      <c r="AU117" s="342">
        <f t="shared" si="77"/>
        <v>0.42992825493926601</v>
      </c>
      <c r="AV117" s="342"/>
      <c r="AW117" s="24">
        <f t="shared" si="78"/>
        <v>11903.324074074075</v>
      </c>
      <c r="AX117" s="352"/>
      <c r="AY117" s="392"/>
      <c r="AZ117" s="66">
        <f t="shared" si="79"/>
        <v>633176</v>
      </c>
      <c r="BA117" s="67"/>
      <c r="BB117" s="67">
        <v>37586809</v>
      </c>
      <c r="BC117" s="67"/>
      <c r="BD117" s="67">
        <f t="shared" si="80"/>
        <v>44530</v>
      </c>
      <c r="BE117" s="67"/>
      <c r="BF117" s="157">
        <f t="shared" si="81"/>
        <v>7.0327997270900985E-2</v>
      </c>
      <c r="BG117" s="67"/>
      <c r="BH117" s="184"/>
      <c r="BI117" s="67"/>
      <c r="BJ117" s="67">
        <f t="shared" ref="BJ117:BJ126" si="87">SUM(AZ111:AZ117)</f>
        <v>4994441</v>
      </c>
      <c r="BK117" s="67"/>
      <c r="BL117" s="157">
        <f t="shared" ref="BL117:BL126" si="88">+P117/BJ117</f>
        <v>7.0268724768197288E-2</v>
      </c>
      <c r="BM117" s="66">
        <f t="shared" si="82"/>
        <v>348026.00925925927</v>
      </c>
      <c r="BN117" s="67"/>
      <c r="BO117" s="67">
        <f t="shared" si="83"/>
        <v>2714652</v>
      </c>
      <c r="BP117" s="67"/>
      <c r="BQ117" s="479">
        <f t="shared" si="84"/>
        <v>7.2223529270601286E-2</v>
      </c>
      <c r="BR117" s="67"/>
      <c r="BS117" s="86"/>
      <c r="BT117" s="184"/>
      <c r="BU117" s="1"/>
      <c r="BV117" s="473">
        <f t="shared" si="53"/>
        <v>108</v>
      </c>
    </row>
    <row r="118" spans="2:74" x14ac:dyDescent="0.3">
      <c r="B118" s="172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5"/>
        <v>3043783</v>
      </c>
      <c r="I118" s="16"/>
      <c r="J118" s="38">
        <f t="shared" si="70"/>
        <v>1.792940938829251E-2</v>
      </c>
      <c r="K118" s="16"/>
      <c r="L118" s="16"/>
      <c r="M118" s="16"/>
      <c r="N118" s="16">
        <f t="shared" si="71"/>
        <v>27924.614678899081</v>
      </c>
      <c r="O118" s="41"/>
      <c r="P118" s="17">
        <f t="shared" si="86"/>
        <v>359831</v>
      </c>
      <c r="Q118" s="16"/>
      <c r="R118" s="60"/>
      <c r="S118" s="16"/>
      <c r="T118" s="41"/>
      <c r="U118" s="10"/>
      <c r="V118" s="34">
        <v>378</v>
      </c>
      <c r="W118" s="33"/>
      <c r="X118" s="33"/>
      <c r="Y118" s="33"/>
      <c r="Z118" s="33">
        <f t="shared" si="72"/>
        <v>132979</v>
      </c>
      <c r="AA118" s="33"/>
      <c r="AB118" s="46">
        <f t="shared" si="73"/>
        <v>4.3688725510327119E-2</v>
      </c>
      <c r="AC118" s="33"/>
      <c r="AD118" s="33">
        <f t="shared" si="74"/>
        <v>1219.9908256880733</v>
      </c>
      <c r="AE118" s="50"/>
      <c r="AF118" s="33"/>
      <c r="AG118" s="33"/>
      <c r="AH118" s="232"/>
      <c r="AI118" s="50"/>
      <c r="AJ118" s="10"/>
      <c r="AK118" s="23">
        <f t="shared" si="75"/>
        <v>39388</v>
      </c>
      <c r="AL118" s="24"/>
      <c r="AM118" s="24"/>
      <c r="AN118" s="24">
        <v>178263</v>
      </c>
      <c r="AO118" s="24">
        <v>1324947</v>
      </c>
      <c r="AP118" s="24"/>
      <c r="AQ118" s="505">
        <f t="shared" si="76"/>
        <v>3.0638811598689752E-2</v>
      </c>
      <c r="AR118" s="25"/>
      <c r="AS118" s="25"/>
      <c r="AT118" s="24"/>
      <c r="AU118" s="342">
        <f t="shared" si="77"/>
        <v>0.43529614299048258</v>
      </c>
      <c r="AV118" s="342"/>
      <c r="AW118" s="24">
        <f t="shared" si="78"/>
        <v>12155.477064220184</v>
      </c>
      <c r="AX118" s="352"/>
      <c r="AY118" s="10"/>
      <c r="AZ118" s="66">
        <f t="shared" si="79"/>
        <v>630831</v>
      </c>
      <c r="BA118" s="67"/>
      <c r="BB118" s="67">
        <v>38217640</v>
      </c>
      <c r="BC118" s="67"/>
      <c r="BD118" s="67">
        <f t="shared" si="80"/>
        <v>53612</v>
      </c>
      <c r="BE118" s="67"/>
      <c r="BF118" s="157">
        <f t="shared" si="81"/>
        <v>8.4986311706304857E-2</v>
      </c>
      <c r="BG118" s="67"/>
      <c r="BH118" s="184"/>
      <c r="BI118" s="67"/>
      <c r="BJ118" s="67">
        <f t="shared" si="87"/>
        <v>5028127</v>
      </c>
      <c r="BK118" s="67"/>
      <c r="BL118" s="157">
        <f t="shared" si="88"/>
        <v>7.1563625978420989E-2</v>
      </c>
      <c r="BM118" s="66">
        <f t="shared" si="82"/>
        <v>350620.55045871559</v>
      </c>
      <c r="BN118" s="67"/>
      <c r="BO118" s="67">
        <f t="shared" si="83"/>
        <v>2768264</v>
      </c>
      <c r="BP118" s="67"/>
      <c r="BQ118" s="479">
        <f t="shared" si="84"/>
        <v>7.2434195308763175E-2</v>
      </c>
      <c r="BR118" s="67"/>
      <c r="BS118" s="86"/>
      <c r="BT118" s="184"/>
      <c r="BU118" s="1"/>
      <c r="BV118">
        <f t="shared" si="53"/>
        <v>109</v>
      </c>
    </row>
    <row r="119" spans="2:74" x14ac:dyDescent="0.3">
      <c r="B119" s="172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5"/>
        <v>3099225</v>
      </c>
      <c r="I119" s="16"/>
      <c r="J119" s="38">
        <f t="shared" si="70"/>
        <v>1.821483331761824E-2</v>
      </c>
      <c r="K119" s="16"/>
      <c r="L119" s="16"/>
      <c r="M119" s="16"/>
      <c r="N119" s="16">
        <f t="shared" si="71"/>
        <v>28174.772727272728</v>
      </c>
      <c r="O119" s="41"/>
      <c r="P119" s="17">
        <f t="shared" si="86"/>
        <v>369231</v>
      </c>
      <c r="Q119" s="16"/>
      <c r="R119" s="60"/>
      <c r="S119" s="16"/>
      <c r="T119" s="41"/>
      <c r="U119" s="10"/>
      <c r="V119" s="34">
        <v>993</v>
      </c>
      <c r="W119" s="33"/>
      <c r="X119" s="33"/>
      <c r="Y119" s="33"/>
      <c r="Z119" s="33">
        <f t="shared" si="72"/>
        <v>133972</v>
      </c>
      <c r="AA119" s="33"/>
      <c r="AB119" s="46">
        <f t="shared" si="73"/>
        <v>4.3227581088820591E-2</v>
      </c>
      <c r="AC119" s="33"/>
      <c r="AD119" s="33">
        <f t="shared" si="74"/>
        <v>1217.9272727272728</v>
      </c>
      <c r="AE119" s="50"/>
      <c r="AF119" s="33"/>
      <c r="AG119" s="33"/>
      <c r="AH119" s="232"/>
      <c r="AI119" s="50"/>
      <c r="AJ119" s="10"/>
      <c r="AK119" s="23">
        <f t="shared" si="75"/>
        <v>29916</v>
      </c>
      <c r="AL119" s="24"/>
      <c r="AM119" s="24"/>
      <c r="AN119" s="24">
        <v>178263</v>
      </c>
      <c r="AO119" s="24">
        <v>1354863</v>
      </c>
      <c r="AP119" s="24"/>
      <c r="AQ119" s="505">
        <f t="shared" si="76"/>
        <v>2.2579016368201896E-2</v>
      </c>
      <c r="AR119" s="25"/>
      <c r="AS119" s="25"/>
      <c r="AT119" s="24"/>
      <c r="AU119" s="342">
        <f t="shared" si="77"/>
        <v>0.43716187111293953</v>
      </c>
      <c r="AV119" s="342"/>
      <c r="AW119" s="24">
        <f t="shared" si="78"/>
        <v>12316.936363636363</v>
      </c>
      <c r="AX119" s="352"/>
      <c r="AY119" s="10"/>
      <c r="AZ119" s="66">
        <f t="shared" si="79"/>
        <v>583951</v>
      </c>
      <c r="BA119" s="67"/>
      <c r="BB119" s="67">
        <v>38801591</v>
      </c>
      <c r="BC119" s="67"/>
      <c r="BD119" s="67">
        <f t="shared" si="80"/>
        <v>55442</v>
      </c>
      <c r="BE119" s="67"/>
      <c r="BF119" s="157">
        <f t="shared" si="81"/>
        <v>9.4942897606134766E-2</v>
      </c>
      <c r="BG119" s="67"/>
      <c r="BH119" s="184"/>
      <c r="BI119" s="67"/>
      <c r="BJ119" s="67">
        <f t="shared" si="87"/>
        <v>4603564</v>
      </c>
      <c r="BK119" s="67"/>
      <c r="BL119" s="157">
        <f t="shared" si="88"/>
        <v>8.0205466894779781E-2</v>
      </c>
      <c r="BM119" s="66">
        <f t="shared" si="82"/>
        <v>352741.73636363639</v>
      </c>
      <c r="BN119" s="67"/>
      <c r="BO119" s="67">
        <f t="shared" si="83"/>
        <v>2823706</v>
      </c>
      <c r="BP119" s="67"/>
      <c r="BQ119" s="479">
        <f t="shared" si="84"/>
        <v>7.2772943769238735E-2</v>
      </c>
      <c r="BR119" s="67"/>
      <c r="BS119" s="86"/>
      <c r="BT119" s="184"/>
      <c r="BU119" s="1"/>
      <c r="BV119">
        <f t="shared" si="53"/>
        <v>110</v>
      </c>
    </row>
    <row r="120" spans="2:74" x14ac:dyDescent="0.3">
      <c r="B120" s="172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5"/>
        <v>3161073</v>
      </c>
      <c r="I120" s="16"/>
      <c r="J120" s="38">
        <f t="shared" si="70"/>
        <v>1.9955956731118264E-2</v>
      </c>
      <c r="K120" s="16"/>
      <c r="L120" s="16"/>
      <c r="M120" s="16"/>
      <c r="N120" s="16">
        <f t="shared" si="71"/>
        <v>28478.135135135137</v>
      </c>
      <c r="O120" s="41"/>
      <c r="P120" s="17">
        <f t="shared" si="86"/>
        <v>379982</v>
      </c>
      <c r="Q120" s="16"/>
      <c r="R120" s="60"/>
      <c r="S120" s="16"/>
      <c r="T120" s="41"/>
      <c r="U120" s="10"/>
      <c r="V120" s="34">
        <v>890</v>
      </c>
      <c r="W120" s="33"/>
      <c r="X120" s="33"/>
      <c r="Y120" s="33"/>
      <c r="Z120" s="33">
        <f t="shared" si="72"/>
        <v>134862</v>
      </c>
      <c r="AA120" s="33"/>
      <c r="AB120" s="46">
        <f t="shared" si="73"/>
        <v>4.2663361459858724E-2</v>
      </c>
      <c r="AC120" s="33"/>
      <c r="AD120" s="33">
        <f t="shared" si="74"/>
        <v>1214.9729729729729</v>
      </c>
      <c r="AE120" s="50"/>
      <c r="AF120" s="33"/>
      <c r="AG120" s="33"/>
      <c r="AH120" s="232"/>
      <c r="AI120" s="50"/>
      <c r="AJ120" s="10"/>
      <c r="AK120" s="23">
        <f t="shared" si="75"/>
        <v>37816</v>
      </c>
      <c r="AL120" s="24"/>
      <c r="AM120" s="24"/>
      <c r="AN120" s="24">
        <v>178263</v>
      </c>
      <c r="AO120" s="24">
        <v>1392679</v>
      </c>
      <c r="AP120" s="24"/>
      <c r="AQ120" s="505">
        <f t="shared" si="76"/>
        <v>2.7911309113910411E-2</v>
      </c>
      <c r="AR120" s="25"/>
      <c r="AS120" s="25"/>
      <c r="AT120" s="24"/>
      <c r="AU120" s="342">
        <f t="shared" si="77"/>
        <v>0.44057160337644846</v>
      </c>
      <c r="AV120" s="342"/>
      <c r="AW120" s="24">
        <f t="shared" si="78"/>
        <v>12546.657657657657</v>
      </c>
      <c r="AX120" s="352"/>
      <c r="AY120" s="10"/>
      <c r="AZ120" s="66">
        <f t="shared" si="79"/>
        <v>677846</v>
      </c>
      <c r="BA120" s="67"/>
      <c r="BB120" s="67">
        <v>39479437</v>
      </c>
      <c r="BC120" s="67"/>
      <c r="BD120" s="67">
        <f t="shared" si="80"/>
        <v>61848</v>
      </c>
      <c r="BE120" s="67"/>
      <c r="BF120" s="157">
        <f t="shared" si="81"/>
        <v>9.1241963513836483E-2</v>
      </c>
      <c r="BG120" s="67"/>
      <c r="BH120" s="184"/>
      <c r="BI120" s="67"/>
      <c r="BJ120" s="67">
        <f t="shared" si="87"/>
        <v>4623795</v>
      </c>
      <c r="BK120" s="67"/>
      <c r="BL120" s="157">
        <f t="shared" si="88"/>
        <v>8.2179681408885985E-2</v>
      </c>
      <c r="BM120" s="66">
        <f t="shared" si="82"/>
        <v>355670.60360360361</v>
      </c>
      <c r="BN120" s="67"/>
      <c r="BO120" s="67">
        <f t="shared" si="83"/>
        <v>2885554</v>
      </c>
      <c r="BP120" s="67"/>
      <c r="BQ120" s="479">
        <f t="shared" si="84"/>
        <v>7.3090049384442843E-2</v>
      </c>
      <c r="BR120" s="67"/>
      <c r="BS120" s="86"/>
      <c r="BT120" s="184"/>
      <c r="BU120" s="1"/>
      <c r="BV120">
        <f t="shared" si="53"/>
        <v>111</v>
      </c>
    </row>
    <row r="121" spans="2:74" x14ac:dyDescent="0.3">
      <c r="B121" s="172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5"/>
        <v>3222140</v>
      </c>
      <c r="I121" s="16"/>
      <c r="J121" s="38">
        <f t="shared" si="70"/>
        <v>1.9318440289104365E-2</v>
      </c>
      <c r="K121" s="16"/>
      <c r="L121" s="16"/>
      <c r="M121" s="16"/>
      <c r="N121" s="16">
        <f t="shared" si="71"/>
        <v>28769.107142857141</v>
      </c>
      <c r="O121" s="41"/>
      <c r="P121" s="17">
        <f t="shared" si="86"/>
        <v>381174</v>
      </c>
      <c r="Q121" s="16"/>
      <c r="R121" s="60"/>
      <c r="S121" s="16"/>
      <c r="T121" s="41"/>
      <c r="U121" s="10"/>
      <c r="V121" s="34">
        <v>960</v>
      </c>
      <c r="W121" s="33"/>
      <c r="X121" s="33"/>
      <c r="Y121" s="33"/>
      <c r="Z121" s="33">
        <f t="shared" si="72"/>
        <v>135822</v>
      </c>
      <c r="AA121" s="33"/>
      <c r="AB121" s="46">
        <f t="shared" si="73"/>
        <v>4.2152730793820259E-2</v>
      </c>
      <c r="AC121" s="33"/>
      <c r="AD121" s="33">
        <f t="shared" si="74"/>
        <v>1212.6964285714287</v>
      </c>
      <c r="AE121" s="50"/>
      <c r="AF121" s="33"/>
      <c r="AG121" s="33"/>
      <c r="AH121" s="232"/>
      <c r="AI121" s="50"/>
      <c r="AJ121" s="10"/>
      <c r="AK121" s="23">
        <f t="shared" si="75"/>
        <v>33749</v>
      </c>
      <c r="AL121" s="24"/>
      <c r="AM121" s="24"/>
      <c r="AN121" s="24">
        <v>178263</v>
      </c>
      <c r="AO121" s="24">
        <v>1426428</v>
      </c>
      <c r="AP121" s="24"/>
      <c r="AQ121" s="505">
        <f t="shared" si="76"/>
        <v>2.423315063988184E-2</v>
      </c>
      <c r="AR121" s="25"/>
      <c r="AS121" s="25"/>
      <c r="AT121" s="24"/>
      <c r="AU121" s="342">
        <f t="shared" si="77"/>
        <v>0.44269584810095153</v>
      </c>
      <c r="AV121" s="342"/>
      <c r="AW121" s="24">
        <f t="shared" si="78"/>
        <v>12735.964285714286</v>
      </c>
      <c r="AX121" s="352"/>
      <c r="AY121" s="10"/>
      <c r="AZ121" s="66">
        <f t="shared" si="79"/>
        <v>681700</v>
      </c>
      <c r="BA121" s="67"/>
      <c r="BB121" s="67">
        <v>40161137</v>
      </c>
      <c r="BC121" s="67"/>
      <c r="BD121" s="67">
        <f t="shared" si="80"/>
        <v>61067</v>
      </c>
      <c r="BE121" s="67"/>
      <c r="BF121" s="157">
        <f t="shared" si="81"/>
        <v>8.9580460613172944E-2</v>
      </c>
      <c r="BG121" s="67"/>
      <c r="BH121" s="184"/>
      <c r="BI121" s="67"/>
      <c r="BJ121" s="67">
        <f t="shared" si="87"/>
        <v>4623137</v>
      </c>
      <c r="BK121" s="67"/>
      <c r="BL121" s="157">
        <f t="shared" si="88"/>
        <v>8.2449211433708328E-2</v>
      </c>
      <c r="BM121" s="66">
        <f t="shared" si="82"/>
        <v>358581.58035714284</v>
      </c>
      <c r="BN121" s="67"/>
      <c r="BO121" s="67">
        <f t="shared" si="83"/>
        <v>2946621</v>
      </c>
      <c r="BP121" s="67"/>
      <c r="BQ121" s="479">
        <f t="shared" si="84"/>
        <v>7.336995962041612E-2</v>
      </c>
      <c r="BR121" s="67"/>
      <c r="BS121" s="86"/>
      <c r="BT121" s="184"/>
      <c r="BU121" s="1"/>
      <c r="BV121">
        <f t="shared" si="53"/>
        <v>112</v>
      </c>
    </row>
    <row r="122" spans="2:74" x14ac:dyDescent="0.3">
      <c r="B122" s="172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5"/>
        <v>3293927</v>
      </c>
      <c r="I122" s="16"/>
      <c r="J122" s="38">
        <f t="shared" si="70"/>
        <v>2.2279292644019191E-2</v>
      </c>
      <c r="K122" s="16"/>
      <c r="L122" s="16"/>
      <c r="M122" s="16"/>
      <c r="N122" s="16">
        <f t="shared" si="71"/>
        <v>29149.796460176993</v>
      </c>
      <c r="O122" s="41"/>
      <c r="P122" s="17">
        <f t="shared" si="86"/>
        <v>394870</v>
      </c>
      <c r="Q122" s="16"/>
      <c r="R122" s="60"/>
      <c r="S122" s="16"/>
      <c r="T122" s="41"/>
      <c r="U122" s="10"/>
      <c r="V122" s="34">
        <v>849</v>
      </c>
      <c r="W122" s="33"/>
      <c r="X122" s="33"/>
      <c r="Y122" s="33"/>
      <c r="Z122" s="33">
        <f t="shared" si="72"/>
        <v>136671</v>
      </c>
      <c r="AA122" s="33"/>
      <c r="AB122" s="46">
        <f t="shared" si="73"/>
        <v>4.1491812052908278E-2</v>
      </c>
      <c r="AC122" s="33"/>
      <c r="AD122" s="33">
        <f t="shared" si="74"/>
        <v>1209.4778761061948</v>
      </c>
      <c r="AE122" s="50"/>
      <c r="AF122" s="33"/>
      <c r="AG122" s="33"/>
      <c r="AH122" s="232"/>
      <c r="AI122" s="50"/>
      <c r="AJ122" s="10"/>
      <c r="AK122" s="23">
        <f t="shared" si="75"/>
        <v>34067</v>
      </c>
      <c r="AL122" s="24"/>
      <c r="AM122" s="24"/>
      <c r="AN122" s="24">
        <v>178263</v>
      </c>
      <c r="AO122" s="24">
        <v>1460495</v>
      </c>
      <c r="AP122" s="24"/>
      <c r="AQ122" s="505">
        <f t="shared" si="76"/>
        <v>2.3882733653573823E-2</v>
      </c>
      <c r="AR122" s="25"/>
      <c r="AS122" s="25"/>
      <c r="AT122" s="24"/>
      <c r="AU122" s="342">
        <f t="shared" si="77"/>
        <v>0.44339021478010898</v>
      </c>
      <c r="AV122" s="342"/>
      <c r="AW122" s="24">
        <f t="shared" si="78"/>
        <v>12924.734513274336</v>
      </c>
      <c r="AX122" s="352"/>
      <c r="AY122" s="10"/>
      <c r="AZ122" s="66">
        <f t="shared" si="79"/>
        <v>849076</v>
      </c>
      <c r="BA122" s="67"/>
      <c r="BB122" s="67">
        <v>41010213</v>
      </c>
      <c r="BC122" s="67"/>
      <c r="BD122" s="67">
        <f t="shared" si="80"/>
        <v>71787</v>
      </c>
      <c r="BE122" s="67"/>
      <c r="BF122" s="157">
        <f t="shared" si="81"/>
        <v>8.4547201899476607E-2</v>
      </c>
      <c r="BG122" s="67"/>
      <c r="BH122" s="184"/>
      <c r="BI122" s="67"/>
      <c r="BJ122" s="67">
        <f t="shared" si="87"/>
        <v>4713018</v>
      </c>
      <c r="BK122" s="67"/>
      <c r="BL122" s="157">
        <f t="shared" si="88"/>
        <v>8.3782832995757714E-2</v>
      </c>
      <c r="BM122" s="66">
        <f t="shared" si="82"/>
        <v>362922.23893805308</v>
      </c>
      <c r="BN122" s="67"/>
      <c r="BO122" s="67">
        <f t="shared" si="83"/>
        <v>3018408</v>
      </c>
      <c r="BP122" s="67"/>
      <c r="BQ122" s="479">
        <f t="shared" si="84"/>
        <v>7.3601373394476158E-2</v>
      </c>
      <c r="BR122" s="67"/>
      <c r="BS122" s="86"/>
      <c r="BT122" s="184"/>
      <c r="BU122" s="1"/>
      <c r="BV122">
        <f t="shared" si="53"/>
        <v>113</v>
      </c>
    </row>
    <row r="123" spans="2:74" x14ac:dyDescent="0.3">
      <c r="B123" s="172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5"/>
        <v>3355646</v>
      </c>
      <c r="I123" s="16"/>
      <c r="J123" s="38">
        <f t="shared" si="70"/>
        <v>1.8737209415994951E-2</v>
      </c>
      <c r="K123" s="16"/>
      <c r="L123" s="16"/>
      <c r="M123" s="16"/>
      <c r="N123" s="16">
        <f t="shared" si="71"/>
        <v>29435.491228070176</v>
      </c>
      <c r="O123" s="41"/>
      <c r="P123" s="17">
        <f t="shared" si="86"/>
        <v>410005</v>
      </c>
      <c r="Q123" s="16"/>
      <c r="R123" s="60"/>
      <c r="S123" s="16"/>
      <c r="T123" s="41"/>
      <c r="U123" s="10"/>
      <c r="V123" s="34">
        <v>731</v>
      </c>
      <c r="W123" s="33"/>
      <c r="X123" s="33"/>
      <c r="Y123" s="33"/>
      <c r="Z123" s="33">
        <f t="shared" si="72"/>
        <v>137402</v>
      </c>
      <c r="AA123" s="33"/>
      <c r="AB123" s="46">
        <f t="shared" si="73"/>
        <v>4.0946512236392042E-2</v>
      </c>
      <c r="AC123" s="33"/>
      <c r="AD123" s="33">
        <f t="shared" si="74"/>
        <v>1205.280701754386</v>
      </c>
      <c r="AE123" s="50"/>
      <c r="AF123" s="33"/>
      <c r="AG123" s="33"/>
      <c r="AH123" s="232"/>
      <c r="AI123" s="50"/>
      <c r="AJ123" s="10"/>
      <c r="AK123" s="23">
        <f t="shared" si="75"/>
        <v>29951</v>
      </c>
      <c r="AL123" s="24"/>
      <c r="AM123" s="24"/>
      <c r="AN123" s="24">
        <v>178263</v>
      </c>
      <c r="AO123" s="24">
        <v>1490446</v>
      </c>
      <c r="AP123" s="24"/>
      <c r="AQ123" s="505">
        <f t="shared" si="76"/>
        <v>2.0507430699865457E-2</v>
      </c>
      <c r="AR123" s="25"/>
      <c r="AS123" s="25"/>
      <c r="AT123" s="24"/>
      <c r="AU123" s="342">
        <f t="shared" si="77"/>
        <v>0.44416067725856662</v>
      </c>
      <c r="AV123" s="342"/>
      <c r="AW123" s="24">
        <f t="shared" si="78"/>
        <v>13074.087719298246</v>
      </c>
      <c r="AX123" s="352"/>
      <c r="AY123" s="10"/>
      <c r="AZ123" s="66">
        <f t="shared" si="79"/>
        <v>760123</v>
      </c>
      <c r="BA123" s="67"/>
      <c r="BB123" s="67">
        <v>41770336</v>
      </c>
      <c r="BC123" s="67"/>
      <c r="BD123" s="67">
        <f t="shared" si="80"/>
        <v>61719</v>
      </c>
      <c r="BE123" s="67"/>
      <c r="BF123" s="157">
        <f t="shared" si="81"/>
        <v>8.1196069583475305E-2</v>
      </c>
      <c r="BG123" s="67"/>
      <c r="BH123" s="184"/>
      <c r="BI123" s="67"/>
      <c r="BJ123" s="67">
        <f t="shared" si="87"/>
        <v>4816703</v>
      </c>
      <c r="BK123" s="67"/>
      <c r="BL123" s="157">
        <f t="shared" si="88"/>
        <v>8.5121503235719542E-2</v>
      </c>
      <c r="BM123" s="66">
        <f t="shared" si="82"/>
        <v>366406.4561403509</v>
      </c>
      <c r="BN123" s="67"/>
      <c r="BO123" s="67">
        <f t="shared" si="83"/>
        <v>3080127</v>
      </c>
      <c r="BP123" s="67"/>
      <c r="BQ123" s="479">
        <f t="shared" si="84"/>
        <v>7.3739579207598424E-2</v>
      </c>
      <c r="BR123" s="67"/>
      <c r="BS123" s="86"/>
      <c r="BT123" s="184"/>
      <c r="BU123" s="1"/>
      <c r="BV123">
        <f t="shared" si="53"/>
        <v>114</v>
      </c>
    </row>
    <row r="124" spans="2:74" x14ac:dyDescent="0.3">
      <c r="B124" s="391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5"/>
        <v>3413995</v>
      </c>
      <c r="I124" s="16"/>
      <c r="J124" s="38">
        <f t="shared" si="70"/>
        <v>1.7388306156251285E-2</v>
      </c>
      <c r="K124" s="16"/>
      <c r="L124" s="16"/>
      <c r="M124" s="16"/>
      <c r="N124" s="16">
        <f t="shared" si="71"/>
        <v>29686.91304347826</v>
      </c>
      <c r="O124" s="41"/>
      <c r="P124" s="17">
        <f t="shared" si="86"/>
        <v>423824</v>
      </c>
      <c r="Q124" s="16"/>
      <c r="R124" s="60">
        <f t="shared" ref="R124:R129" si="89">+(P124-P117)/P117</f>
        <v>0.20763748992030273</v>
      </c>
      <c r="S124" s="16"/>
      <c r="T124" s="41"/>
      <c r="U124" s="392"/>
      <c r="V124" s="34">
        <v>380</v>
      </c>
      <c r="W124" s="33"/>
      <c r="X124" s="33"/>
      <c r="Y124" s="33"/>
      <c r="Z124" s="33">
        <f t="shared" si="72"/>
        <v>137782</v>
      </c>
      <c r="AA124" s="33"/>
      <c r="AB124" s="46">
        <f t="shared" si="73"/>
        <v>4.035799700936879E-2</v>
      </c>
      <c r="AC124" s="33"/>
      <c r="AD124" s="33">
        <f t="shared" si="74"/>
        <v>1198.104347826087</v>
      </c>
      <c r="AE124" s="50"/>
      <c r="AF124" s="33">
        <f t="shared" ref="AF124:AF129" si="90">SUM(V118:V124)</f>
        <v>5181</v>
      </c>
      <c r="AG124" s="33">
        <f>SUM(D95:D125)</f>
        <v>1356158</v>
      </c>
      <c r="AH124" s="232">
        <f t="shared" ref="AH124:AH129" si="91">+(AF124-AF117)/AF117</f>
        <v>0.47564796354315009</v>
      </c>
      <c r="AI124" s="50"/>
      <c r="AJ124" s="392"/>
      <c r="AK124" s="23">
        <f t="shared" si="75"/>
        <v>26638</v>
      </c>
      <c r="AL124" s="24"/>
      <c r="AM124" s="24"/>
      <c r="AN124" s="24">
        <v>178263</v>
      </c>
      <c r="AO124" s="24">
        <v>1517084</v>
      </c>
      <c r="AP124" s="24"/>
      <c r="AQ124" s="505">
        <f t="shared" si="76"/>
        <v>1.7872502593183518E-2</v>
      </c>
      <c r="AR124" s="25"/>
      <c r="AS124" s="25"/>
      <c r="AT124" s="24"/>
      <c r="AU124" s="342">
        <f t="shared" si="77"/>
        <v>0.44437206264215384</v>
      </c>
      <c r="AV124" s="342"/>
      <c r="AW124" s="24">
        <f t="shared" si="78"/>
        <v>13192.034782608696</v>
      </c>
      <c r="AX124" s="352"/>
      <c r="AY124" s="392"/>
      <c r="AZ124" s="66">
        <f t="shared" si="79"/>
        <v>699271</v>
      </c>
      <c r="BA124" s="67"/>
      <c r="BB124" s="67">
        <v>42469607</v>
      </c>
      <c r="BC124" s="67"/>
      <c r="BD124" s="67">
        <f t="shared" si="80"/>
        <v>58349</v>
      </c>
      <c r="BE124" s="67"/>
      <c r="BF124" s="157">
        <f t="shared" si="81"/>
        <v>8.3442613807808416E-2</v>
      </c>
      <c r="BG124" s="67"/>
      <c r="BH124" s="184"/>
      <c r="BI124" s="67"/>
      <c r="BJ124" s="67">
        <f t="shared" si="87"/>
        <v>4882798</v>
      </c>
      <c r="BK124" s="67"/>
      <c r="BL124" s="157">
        <f t="shared" si="88"/>
        <v>8.679941295953672E-2</v>
      </c>
      <c r="BM124" s="66">
        <f t="shared" si="82"/>
        <v>369300.93043478258</v>
      </c>
      <c r="BN124" s="67"/>
      <c r="BO124" s="67">
        <f t="shared" si="83"/>
        <v>3138476</v>
      </c>
      <c r="BP124" s="67"/>
      <c r="BQ124" s="479">
        <f t="shared" si="84"/>
        <v>7.3899341710414221E-2</v>
      </c>
      <c r="BR124" s="67"/>
      <c r="BS124" s="86"/>
      <c r="BT124" s="184"/>
      <c r="BU124" s="1"/>
      <c r="BV124" s="473">
        <f t="shared" si="53"/>
        <v>115</v>
      </c>
    </row>
    <row r="125" spans="2:74" x14ac:dyDescent="0.3">
      <c r="B125" s="172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5"/>
        <v>3479483</v>
      </c>
      <c r="I125" s="16"/>
      <c r="J125" s="38">
        <f t="shared" si="70"/>
        <v>1.9182219071791261E-2</v>
      </c>
      <c r="K125" s="16"/>
      <c r="L125" s="16"/>
      <c r="M125" s="16"/>
      <c r="N125" s="16">
        <f t="shared" si="71"/>
        <v>29995.543103448275</v>
      </c>
      <c r="O125" s="41"/>
      <c r="P125" s="17">
        <f t="shared" si="86"/>
        <v>435700</v>
      </c>
      <c r="Q125" s="16"/>
      <c r="R125" s="60">
        <f t="shared" si="89"/>
        <v>0.21084620280075925</v>
      </c>
      <c r="S125" s="16"/>
      <c r="T125" s="41"/>
      <c r="U125" s="10"/>
      <c r="V125" s="34">
        <v>465</v>
      </c>
      <c r="W125" s="33"/>
      <c r="X125" s="33"/>
      <c r="Y125" s="33"/>
      <c r="Z125" s="33">
        <f t="shared" si="72"/>
        <v>138247</v>
      </c>
      <c r="AA125" s="33"/>
      <c r="AB125" s="46">
        <f t="shared" si="73"/>
        <v>3.9732052146827561E-2</v>
      </c>
      <c r="AC125" s="33"/>
      <c r="AD125" s="33">
        <f t="shared" si="74"/>
        <v>1191.7844827586207</v>
      </c>
      <c r="AE125" s="50"/>
      <c r="AF125" s="33">
        <f t="shared" si="90"/>
        <v>5268</v>
      </c>
      <c r="AG125" s="33">
        <f>SUM(D96:D126)</f>
        <v>1396450</v>
      </c>
      <c r="AH125" s="232" t="e">
        <f t="shared" si="91"/>
        <v>#DIV/0!</v>
      </c>
      <c r="AI125" s="50"/>
      <c r="AJ125" s="10"/>
      <c r="AK125" s="23">
        <f t="shared" si="75"/>
        <v>32385</v>
      </c>
      <c r="AL125" s="24"/>
      <c r="AM125" s="24"/>
      <c r="AN125" s="24">
        <v>178263</v>
      </c>
      <c r="AO125" s="24">
        <v>1549469</v>
      </c>
      <c r="AP125" s="24"/>
      <c r="AQ125" s="505">
        <f t="shared" si="76"/>
        <v>2.1346873343862306E-2</v>
      </c>
      <c r="AR125" s="25"/>
      <c r="AS125" s="25"/>
      <c r="AT125" s="24"/>
      <c r="AU125" s="342">
        <f t="shared" si="77"/>
        <v>0.44531587020255597</v>
      </c>
      <c r="AV125" s="342"/>
      <c r="AW125" s="24">
        <f t="shared" si="78"/>
        <v>13357.491379310344</v>
      </c>
      <c r="AX125" s="352"/>
      <c r="AY125" s="10"/>
      <c r="AZ125" s="66">
        <f t="shared" si="79"/>
        <v>783226</v>
      </c>
      <c r="BA125" s="67"/>
      <c r="BB125" s="67">
        <v>43252833</v>
      </c>
      <c r="BC125" s="67"/>
      <c r="BD125" s="67">
        <f t="shared" si="80"/>
        <v>65488</v>
      </c>
      <c r="BE125" s="67"/>
      <c r="BF125" s="157">
        <f t="shared" si="81"/>
        <v>8.3613158909433549E-2</v>
      </c>
      <c r="BG125" s="67"/>
      <c r="BH125" s="184"/>
      <c r="BI125" s="67"/>
      <c r="BJ125" s="67">
        <f t="shared" si="87"/>
        <v>5035193</v>
      </c>
      <c r="BK125" s="67"/>
      <c r="BL125" s="157">
        <f t="shared" si="88"/>
        <v>8.6530943302471228E-2</v>
      </c>
      <c r="BM125" s="66">
        <f t="shared" si="82"/>
        <v>372869.25</v>
      </c>
      <c r="BN125" s="67"/>
      <c r="BO125" s="67">
        <f t="shared" si="83"/>
        <v>3203964</v>
      </c>
      <c r="BP125" s="67"/>
      <c r="BQ125" s="479">
        <f t="shared" si="84"/>
        <v>7.4075240343216359E-2</v>
      </c>
      <c r="BR125" s="67"/>
      <c r="BS125" s="86"/>
      <c r="BT125" s="184"/>
      <c r="BU125" s="1"/>
      <c r="BV125">
        <f t="shared" si="53"/>
        <v>116</v>
      </c>
    </row>
    <row r="126" spans="2:74" x14ac:dyDescent="0.3">
      <c r="B126" s="172">
        <f t="shared" si="52"/>
        <v>44026</v>
      </c>
      <c r="C126" s="61"/>
      <c r="D126" s="17">
        <v>65594</v>
      </c>
      <c r="E126" s="16"/>
      <c r="F126" s="16"/>
      <c r="G126" s="16"/>
      <c r="H126" s="16">
        <f t="shared" si="85"/>
        <v>3545077</v>
      </c>
      <c r="I126" s="16"/>
      <c r="J126" s="38">
        <f t="shared" si="70"/>
        <v>1.8851651236692347E-2</v>
      </c>
      <c r="K126" s="16"/>
      <c r="L126" s="16"/>
      <c r="M126" s="16"/>
      <c r="N126" s="16">
        <f t="shared" si="71"/>
        <v>30299.803418803418</v>
      </c>
      <c r="O126" s="41"/>
      <c r="P126" s="17">
        <f t="shared" si="86"/>
        <v>445852</v>
      </c>
      <c r="Q126" s="16"/>
      <c r="R126" s="60">
        <f t="shared" si="89"/>
        <v>0.20751507863640919</v>
      </c>
      <c r="S126" s="16"/>
      <c r="T126" s="41"/>
      <c r="U126" s="10"/>
      <c r="V126" s="34">
        <v>934</v>
      </c>
      <c r="W126" s="33"/>
      <c r="X126" s="33"/>
      <c r="Y126" s="33"/>
      <c r="Z126" s="33">
        <f t="shared" si="72"/>
        <v>139181</v>
      </c>
      <c r="AA126" s="33"/>
      <c r="AB126" s="46">
        <f t="shared" si="73"/>
        <v>3.9260360212204137E-2</v>
      </c>
      <c r="AC126" s="33"/>
      <c r="AD126" s="33">
        <f t="shared" si="74"/>
        <v>1189.5811965811965</v>
      </c>
      <c r="AE126" s="50"/>
      <c r="AF126" s="33">
        <f t="shared" si="90"/>
        <v>5209</v>
      </c>
      <c r="AG126" s="33">
        <f>SUM(D97:D127)</f>
        <v>1448196</v>
      </c>
      <c r="AH126" s="232" t="e">
        <f t="shared" si="91"/>
        <v>#DIV/0!</v>
      </c>
      <c r="AI126" s="50"/>
      <c r="AJ126" s="10"/>
      <c r="AK126" s="23">
        <f t="shared" si="75"/>
        <v>50726</v>
      </c>
      <c r="AL126" s="24"/>
      <c r="AM126" s="24"/>
      <c r="AN126" s="24">
        <v>178263</v>
      </c>
      <c r="AO126" s="24">
        <v>1600195</v>
      </c>
      <c r="AP126" s="24"/>
      <c r="AQ126" s="505">
        <f t="shared" si="76"/>
        <v>3.2737666903952259E-2</v>
      </c>
      <c r="AR126" s="25"/>
      <c r="AS126" s="25"/>
      <c r="AT126" s="24"/>
      <c r="AU126" s="342">
        <f t="shared" si="77"/>
        <v>0.45138511801013065</v>
      </c>
      <c r="AV126" s="342"/>
      <c r="AW126" s="24">
        <f t="shared" si="78"/>
        <v>13676.880341880342</v>
      </c>
      <c r="AX126" s="352"/>
      <c r="AY126" s="10"/>
      <c r="AZ126" s="66">
        <f t="shared" si="79"/>
        <v>778044</v>
      </c>
      <c r="BA126" s="67"/>
      <c r="BB126" s="67">
        <v>44030877</v>
      </c>
      <c r="BC126" s="67"/>
      <c r="BD126" s="67">
        <f t="shared" si="80"/>
        <v>65594</v>
      </c>
      <c r="BE126" s="67"/>
      <c r="BF126" s="157">
        <f t="shared" si="81"/>
        <v>8.4306286019813784E-2</v>
      </c>
      <c r="BG126" s="67"/>
      <c r="BH126" s="184"/>
      <c r="BI126" s="67"/>
      <c r="BJ126" s="67">
        <f t="shared" si="87"/>
        <v>5229286</v>
      </c>
      <c r="BK126" s="67"/>
      <c r="BL126" s="157">
        <f t="shared" si="88"/>
        <v>8.5260588156777048E-2</v>
      </c>
      <c r="BM126" s="66">
        <f t="shared" si="82"/>
        <v>376332.28205128206</v>
      </c>
      <c r="BN126" s="67"/>
      <c r="BO126" s="67">
        <f t="shared" si="83"/>
        <v>3269558</v>
      </c>
      <c r="BP126" s="67"/>
      <c r="BQ126" s="479">
        <f t="shared" si="84"/>
        <v>7.425602719655118E-2</v>
      </c>
      <c r="BR126" s="67"/>
      <c r="BS126" s="86"/>
      <c r="BT126" s="184"/>
      <c r="BU126" s="1"/>
      <c r="BV126">
        <f t="shared" si="53"/>
        <v>117</v>
      </c>
    </row>
    <row r="127" spans="2:74" x14ac:dyDescent="0.3">
      <c r="B127" s="172">
        <f t="shared" si="52"/>
        <v>44027</v>
      </c>
      <c r="C127" s="61"/>
      <c r="D127" s="17">
        <v>71750</v>
      </c>
      <c r="E127" s="16"/>
      <c r="F127" s="16"/>
      <c r="G127" s="16"/>
      <c r="H127" s="16">
        <f t="shared" ref="H127" si="92">+H126+D127</f>
        <v>3616827</v>
      </c>
      <c r="I127" s="16"/>
      <c r="J127" s="38">
        <f t="shared" ref="J127" si="93">+D127/H126</f>
        <v>2.0239334716848183E-2</v>
      </c>
      <c r="K127" s="16"/>
      <c r="L127" s="16"/>
      <c r="M127" s="16"/>
      <c r="N127" s="16">
        <f t="shared" ref="N127" si="94">+H127/BV127</f>
        <v>30651.076271186441</v>
      </c>
      <c r="O127" s="41"/>
      <c r="P127" s="17">
        <f t="shared" ref="P127" si="95">SUM(D121:D127)</f>
        <v>455754</v>
      </c>
      <c r="Q127" s="16"/>
      <c r="R127" s="60">
        <f t="shared" si="89"/>
        <v>0.1994094457105863</v>
      </c>
      <c r="S127" s="16"/>
      <c r="T127" s="41"/>
      <c r="U127" s="10"/>
      <c r="V127" s="34">
        <v>1001</v>
      </c>
      <c r="W127" s="33"/>
      <c r="X127" s="33"/>
      <c r="Y127" s="33"/>
      <c r="Z127" s="33">
        <f t="shared" ref="Z127" si="96">+Z126+V127</f>
        <v>140182</v>
      </c>
      <c r="AA127" s="33"/>
      <c r="AB127" s="46">
        <f t="shared" ref="AB127" si="97">+Z127/H127</f>
        <v>3.875828177571114E-2</v>
      </c>
      <c r="AC127" s="33"/>
      <c r="AD127" s="33">
        <f t="shared" ref="AD127" si="98">+Z127/BV127</f>
        <v>1187.9830508474577</v>
      </c>
      <c r="AE127" s="50"/>
      <c r="AF127" s="33">
        <f t="shared" si="90"/>
        <v>5320</v>
      </c>
      <c r="AG127" s="33">
        <f>SUM(D98:D128)</f>
        <v>1500862</v>
      </c>
      <c r="AH127" s="232" t="e">
        <f t="shared" si="91"/>
        <v>#DIV/0!</v>
      </c>
      <c r="AI127" s="50"/>
      <c r="AJ127" s="10"/>
      <c r="AK127" s="23">
        <f t="shared" ref="AK127" si="99">+AO127-AO126</f>
        <v>45767</v>
      </c>
      <c r="AL127" s="24"/>
      <c r="AM127" s="24"/>
      <c r="AN127" s="24">
        <v>178263</v>
      </c>
      <c r="AO127" s="24">
        <v>1645962</v>
      </c>
      <c r="AP127" s="24"/>
      <c r="AQ127" s="505">
        <f t="shared" ref="AQ127" si="100">+AK127/AO126</f>
        <v>2.8600889266620629E-2</v>
      </c>
      <c r="AR127" s="25"/>
      <c r="AS127" s="25"/>
      <c r="AT127" s="24"/>
      <c r="AU127" s="342">
        <f t="shared" ref="AU127" si="101">+AO127/H127</f>
        <v>0.45508452574590935</v>
      </c>
      <c r="AV127" s="342"/>
      <c r="AW127" s="24">
        <f t="shared" ref="AW127" si="102">+AO127/BV127</f>
        <v>13948.830508474577</v>
      </c>
      <c r="AX127" s="352"/>
      <c r="AY127" s="10"/>
      <c r="AZ127" s="66">
        <f t="shared" ref="AZ127" si="103">+BB127-BB126</f>
        <v>815289</v>
      </c>
      <c r="BA127" s="67"/>
      <c r="BB127" s="67">
        <v>44846166</v>
      </c>
      <c r="BC127" s="67"/>
      <c r="BD127" s="67">
        <f t="shared" ref="BD127" si="104">+D127</f>
        <v>71750</v>
      </c>
      <c r="BE127" s="67"/>
      <c r="BF127" s="157">
        <f t="shared" ref="BF127" si="105">+BD127/AZ127</f>
        <v>8.8005602921172738E-2</v>
      </c>
      <c r="BG127" s="67"/>
      <c r="BH127" s="184"/>
      <c r="BI127" s="67"/>
      <c r="BJ127" s="67">
        <f t="shared" ref="BJ127" si="106">SUM(AZ121:AZ127)</f>
        <v>5366729</v>
      </c>
      <c r="BK127" s="67"/>
      <c r="BL127" s="157">
        <f t="shared" ref="BL127" si="107">+P127/BJ127</f>
        <v>8.4922119227559281E-2</v>
      </c>
      <c r="BM127" s="66">
        <f t="shared" ref="BM127" si="108">+BB127/BV127</f>
        <v>380052.25423728814</v>
      </c>
      <c r="BN127" s="67"/>
      <c r="BO127" s="67">
        <f t="shared" ref="BO127" si="109">+BO126+BD127</f>
        <v>3341308</v>
      </c>
      <c r="BP127" s="67"/>
      <c r="BQ127" s="479">
        <f t="shared" ref="BQ127" si="110">+BO127/BB127</f>
        <v>7.4505990099577299E-2</v>
      </c>
      <c r="BR127" s="67"/>
      <c r="BS127" s="86"/>
      <c r="BT127" s="184"/>
      <c r="BU127" s="1"/>
      <c r="BV127">
        <f t="shared" si="53"/>
        <v>118</v>
      </c>
    </row>
    <row r="128" spans="2:74" x14ac:dyDescent="0.3">
      <c r="B128" s="172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1">+H127+D128</f>
        <v>3690215</v>
      </c>
      <c r="I128" s="16"/>
      <c r="J128" s="38">
        <f t="shared" ref="J128" si="112">+D128/H127</f>
        <v>2.0290713379434517E-2</v>
      </c>
      <c r="K128" s="16"/>
      <c r="L128" s="16"/>
      <c r="M128" s="16"/>
      <c r="N128" s="16">
        <f t="shared" ref="N128" si="113">+H128/BV128</f>
        <v>31010.210084033613</v>
      </c>
      <c r="O128" s="41"/>
      <c r="P128" s="17">
        <f t="shared" ref="P128" si="114">SUM(D122:D128)</f>
        <v>468075</v>
      </c>
      <c r="Q128" s="16"/>
      <c r="R128" s="60">
        <f t="shared" si="89"/>
        <v>0.22798249618284563</v>
      </c>
      <c r="S128" s="16"/>
      <c r="T128" s="41"/>
      <c r="U128" s="10"/>
      <c r="V128" s="34">
        <v>963</v>
      </c>
      <c r="W128" s="33"/>
      <c r="X128" s="33"/>
      <c r="Y128" s="33"/>
      <c r="Z128" s="33">
        <f t="shared" ref="Z128" si="115">+Z127+V128</f>
        <v>141145</v>
      </c>
      <c r="AA128" s="33"/>
      <c r="AB128" s="46">
        <f t="shared" ref="AB128" si="116">+Z128/H128</f>
        <v>3.8248448938611977E-2</v>
      </c>
      <c r="AC128" s="33"/>
      <c r="AD128" s="33">
        <f t="shared" ref="AD128" si="117">+Z128/BV128</f>
        <v>1186.09243697479</v>
      </c>
      <c r="AE128" s="50"/>
      <c r="AF128" s="33">
        <f t="shared" si="90"/>
        <v>5323</v>
      </c>
      <c r="AG128" s="33">
        <f>SUM(D99:D139)</f>
        <v>1679093</v>
      </c>
      <c r="AH128" s="232" t="e">
        <f t="shared" si="91"/>
        <v>#DIV/0!</v>
      </c>
      <c r="AI128" s="50"/>
      <c r="AJ128" s="10"/>
      <c r="AK128" s="23">
        <f t="shared" ref="AK128" si="118">+AO128-AO127</f>
        <v>33671</v>
      </c>
      <c r="AL128" s="24"/>
      <c r="AM128" s="24"/>
      <c r="AN128" s="24">
        <v>178263</v>
      </c>
      <c r="AO128" s="24">
        <v>1679633</v>
      </c>
      <c r="AP128" s="24"/>
      <c r="AQ128" s="505">
        <f t="shared" ref="AQ128" si="119">+AK128/AO127</f>
        <v>2.0456729863751411E-2</v>
      </c>
      <c r="AR128" s="25"/>
      <c r="AS128" s="25"/>
      <c r="AT128" s="24"/>
      <c r="AU128" s="342">
        <f t="shared" ref="AU128" si="120">+AO128/H128</f>
        <v>0.45515857477138866</v>
      </c>
      <c r="AV128" s="342"/>
      <c r="AW128" s="24">
        <f t="shared" ref="AW128" si="121">+AO128/BV128</f>
        <v>14114.563025210084</v>
      </c>
      <c r="AX128" s="352"/>
      <c r="AY128" s="10"/>
      <c r="AZ128" s="66">
        <f t="shared" ref="AZ128" si="122">+BB128-BB127</f>
        <v>850863</v>
      </c>
      <c r="BA128" s="67"/>
      <c r="BB128" s="67">
        <v>45697029</v>
      </c>
      <c r="BC128" s="67"/>
      <c r="BD128" s="67">
        <f t="shared" ref="BD128" si="123">+D128</f>
        <v>73388</v>
      </c>
      <c r="BE128" s="67"/>
      <c r="BF128" s="157">
        <f t="shared" ref="BF128" si="124">+BD128/AZ128</f>
        <v>8.6251253139459583E-2</v>
      </c>
      <c r="BG128" s="67"/>
      <c r="BH128" s="184"/>
      <c r="BI128" s="67"/>
      <c r="BJ128" s="67">
        <f t="shared" ref="BJ128" si="125">SUM(AZ122:AZ128)</f>
        <v>5535892</v>
      </c>
      <c r="BK128" s="67"/>
      <c r="BL128" s="157">
        <f t="shared" ref="BL128" si="126">+P128/BJ128</f>
        <v>8.4552769454317389E-2</v>
      </c>
      <c r="BM128" s="66">
        <f t="shared" ref="BM128" si="127">+BB128/BV128</f>
        <v>384008.64705882355</v>
      </c>
      <c r="BN128" s="67"/>
      <c r="BO128" s="67">
        <f t="shared" ref="BO128" si="128">+BO127+BD128</f>
        <v>3414696</v>
      </c>
      <c r="BP128" s="67"/>
      <c r="BQ128" s="479">
        <f t="shared" ref="BQ128" si="129">+BO128/BB128</f>
        <v>7.4724682867238476E-2</v>
      </c>
      <c r="BR128" s="67"/>
      <c r="BS128" s="86"/>
      <c r="BT128" s="184"/>
      <c r="BU128" s="1"/>
      <c r="BV128">
        <f t="shared" si="53"/>
        <v>119</v>
      </c>
    </row>
    <row r="129" spans="2:84" x14ac:dyDescent="0.3">
      <c r="B129" s="172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30">+H128+D129</f>
        <v>3765202</v>
      </c>
      <c r="I129" s="16"/>
      <c r="J129" s="38">
        <f t="shared" ref="J129" si="131">+D129/H128</f>
        <v>2.0320496231249398E-2</v>
      </c>
      <c r="K129" s="16"/>
      <c r="L129" s="16"/>
      <c r="M129" s="16"/>
      <c r="N129" s="16">
        <f t="shared" ref="N129" si="132">+H129/BV129</f>
        <v>31376.683333333334</v>
      </c>
      <c r="O129" s="41"/>
      <c r="P129" s="17">
        <f t="shared" ref="P129" si="133">SUM(D123:D129)</f>
        <v>471275</v>
      </c>
      <c r="Q129" s="16"/>
      <c r="R129" s="60">
        <f t="shared" si="89"/>
        <v>0.19349406133664243</v>
      </c>
      <c r="S129" s="16"/>
      <c r="T129" s="41"/>
      <c r="U129" s="10"/>
      <c r="V129" s="34">
        <v>946</v>
      </c>
      <c r="W129" s="33"/>
      <c r="X129" s="33"/>
      <c r="Y129" s="33"/>
      <c r="Z129" s="33">
        <f t="shared" ref="Z129" si="134">+Z128+V129</f>
        <v>142091</v>
      </c>
      <c r="AA129" s="33"/>
      <c r="AB129" s="46">
        <f t="shared" ref="AB129" si="135">+Z129/H129</f>
        <v>3.7737948720945116E-2</v>
      </c>
      <c r="AC129" s="33"/>
      <c r="AD129" s="33">
        <f t="shared" ref="AD129" si="136">+Z129/BV129</f>
        <v>1184.0916666666667</v>
      </c>
      <c r="AE129" s="50"/>
      <c r="AF129" s="33">
        <f t="shared" si="90"/>
        <v>5420</v>
      </c>
      <c r="AG129" s="33">
        <f>SUM(D100:D140)</f>
        <v>1653022</v>
      </c>
      <c r="AH129" s="232" t="e">
        <f t="shared" si="91"/>
        <v>#DIV/0!</v>
      </c>
      <c r="AI129" s="50"/>
      <c r="AJ129" s="10"/>
      <c r="AK129" s="23">
        <f t="shared" ref="AK129" si="137">+AO129-AO128</f>
        <v>61600</v>
      </c>
      <c r="AL129" s="24"/>
      <c r="AM129" s="24"/>
      <c r="AN129" s="24">
        <v>178263</v>
      </c>
      <c r="AO129" s="24">
        <v>1741233</v>
      </c>
      <c r="AP129" s="24"/>
      <c r="AQ129" s="505">
        <f t="shared" ref="AQ129" si="138">+AK129/AO128</f>
        <v>3.6674678337470151E-2</v>
      </c>
      <c r="AR129" s="25"/>
      <c r="AS129" s="25"/>
      <c r="AT129" s="24"/>
      <c r="AU129" s="342">
        <f t="shared" ref="AU129" si="139">+AO129/H129</f>
        <v>0.46245407284921236</v>
      </c>
      <c r="AV129" s="342"/>
      <c r="AW129" s="24">
        <f t="shared" ref="AW129" si="140">+AO129/BV129</f>
        <v>14510.275</v>
      </c>
      <c r="AX129" s="352"/>
      <c r="AY129" s="10"/>
      <c r="AZ129" s="66">
        <f t="shared" ref="AZ129" si="141">+BB129-BB128</f>
        <v>911678</v>
      </c>
      <c r="BA129" s="67"/>
      <c r="BB129" s="67">
        <v>46608707</v>
      </c>
      <c r="BC129" s="67"/>
      <c r="BD129" s="67">
        <f t="shared" ref="BD129" si="142">+D129</f>
        <v>74987</v>
      </c>
      <c r="BE129" s="67"/>
      <c r="BF129" s="157">
        <f t="shared" ref="BF129" si="143">+BD129/AZ129</f>
        <v>8.2251628316137929E-2</v>
      </c>
      <c r="BG129" s="67"/>
      <c r="BH129" s="184"/>
      <c r="BI129" s="67"/>
      <c r="BJ129" s="67">
        <f t="shared" ref="BJ129" si="144">SUM(AZ123:AZ129)</f>
        <v>5598494</v>
      </c>
      <c r="BK129" s="67"/>
      <c r="BL129" s="157">
        <f t="shared" ref="BL129" si="145">+P129/BJ129</f>
        <v>8.4178888108123365E-2</v>
      </c>
      <c r="BM129" s="66">
        <f t="shared" ref="BM129" si="146">+BB129/BV129</f>
        <v>388405.89166666666</v>
      </c>
      <c r="BN129" s="67"/>
      <c r="BO129" s="67">
        <f t="shared" ref="BO129" si="147">+BO128+BD129</f>
        <v>3489683</v>
      </c>
      <c r="BP129" s="67"/>
      <c r="BQ129" s="479">
        <f t="shared" ref="BQ129" si="148">+BO129/BB129</f>
        <v>7.4871911808237893E-2</v>
      </c>
      <c r="BR129" s="67"/>
      <c r="BS129" s="86"/>
      <c r="BT129" s="184"/>
      <c r="BU129" s="1"/>
      <c r="BV129">
        <f t="shared" si="53"/>
        <v>120</v>
      </c>
    </row>
    <row r="130" spans="2:84" x14ac:dyDescent="0.3">
      <c r="B130" s="172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9">+H129+D130</f>
        <v>3828461</v>
      </c>
      <c r="I130" s="16"/>
      <c r="J130" s="38">
        <f t="shared" ref="J130" si="150">+D130/H129</f>
        <v>1.6800957823776785E-2</v>
      </c>
      <c r="K130" s="16"/>
      <c r="L130" s="16"/>
      <c r="M130" s="16"/>
      <c r="N130" s="16">
        <f t="shared" ref="N130" si="151">+H130/BV130</f>
        <v>31640.173553719007</v>
      </c>
      <c r="O130" s="41"/>
      <c r="P130" s="17">
        <f t="shared" ref="P130" si="152">SUM(D124:D130)</f>
        <v>472815</v>
      </c>
      <c r="Q130" s="16"/>
      <c r="R130" s="60">
        <f t="shared" ref="R130" si="153">+(P130-P123)/P123</f>
        <v>0.15319325374080803</v>
      </c>
      <c r="S130" s="16"/>
      <c r="T130" s="41"/>
      <c r="U130" s="10"/>
      <c r="V130" s="34">
        <v>813</v>
      </c>
      <c r="W130" s="33"/>
      <c r="X130" s="33"/>
      <c r="Y130" s="33"/>
      <c r="Z130" s="33">
        <f t="shared" ref="Z130" si="154">+Z129+V130</f>
        <v>142904</v>
      </c>
      <c r="AA130" s="33"/>
      <c r="AB130" s="46">
        <f t="shared" ref="AB130" si="155">+Z130/H130</f>
        <v>3.732674826777653E-2</v>
      </c>
      <c r="AC130" s="33"/>
      <c r="AD130" s="33">
        <f t="shared" ref="AD130" si="156">+Z130/BV130</f>
        <v>1181.0247933884298</v>
      </c>
      <c r="AE130" s="50"/>
      <c r="AF130" s="33">
        <f t="shared" ref="AF130" si="157">SUM(V124:V130)</f>
        <v>5502</v>
      </c>
      <c r="AG130" s="33">
        <f>SUM(D101:D141)</f>
        <v>1625098</v>
      </c>
      <c r="AH130" s="232" t="e">
        <f t="shared" ref="AH130" si="158">+(AF130-AF123)/AF123</f>
        <v>#DIV/0!</v>
      </c>
      <c r="AI130" s="50"/>
      <c r="AJ130" s="10"/>
      <c r="AK130" s="23">
        <f t="shared" ref="AK130" si="159">+AO130-AO129</f>
        <v>33861</v>
      </c>
      <c r="AL130" s="24"/>
      <c r="AM130" s="24"/>
      <c r="AN130" s="24">
        <v>178263</v>
      </c>
      <c r="AO130" s="24">
        <v>1775094</v>
      </c>
      <c r="AP130" s="24"/>
      <c r="AQ130" s="505">
        <f t="shared" ref="AQ130" si="160">+AK130/AO129</f>
        <v>1.9446564589575319E-2</v>
      </c>
      <c r="AR130" s="25"/>
      <c r="AS130" s="25"/>
      <c r="AT130" s="24"/>
      <c r="AU130" s="342">
        <f t="shared" ref="AU130" si="161">+AO130/H130</f>
        <v>0.46365732862369502</v>
      </c>
      <c r="AV130" s="342"/>
      <c r="AW130" s="24">
        <f t="shared" ref="AW130" si="162">+AO130/BV130</f>
        <v>14670.198347107438</v>
      </c>
      <c r="AX130" s="352"/>
      <c r="AY130" s="10"/>
      <c r="AZ130" s="66">
        <f t="shared" ref="AZ130" si="163">+BB130-BB129</f>
        <v>989570</v>
      </c>
      <c r="BA130" s="67"/>
      <c r="BB130" s="67">
        <v>47598277</v>
      </c>
      <c r="BC130" s="67"/>
      <c r="BD130" s="67">
        <f t="shared" ref="BD130:BD131" si="164">+D130</f>
        <v>63259</v>
      </c>
      <c r="BE130" s="67"/>
      <c r="BF130" s="157">
        <f t="shared" ref="BF130" si="165">+BD130/AZ130</f>
        <v>6.3925745525834451E-2</v>
      </c>
      <c r="BG130" s="67"/>
      <c r="BH130" s="184"/>
      <c r="BI130" s="67"/>
      <c r="BJ130" s="67">
        <f t="shared" ref="BJ130" si="166">SUM(AZ124:AZ130)</f>
        <v>5827941</v>
      </c>
      <c r="BK130" s="67"/>
      <c r="BL130" s="157">
        <f t="shared" ref="BL130" si="167">+P130/BJ130</f>
        <v>8.1128995643572913E-2</v>
      </c>
      <c r="BM130" s="66">
        <f t="shared" ref="BM130" si="168">+BB130/BV130</f>
        <v>393374.19008264464</v>
      </c>
      <c r="BN130" s="67"/>
      <c r="BO130" s="67">
        <f t="shared" ref="BO130" si="169">+BO129+BD130</f>
        <v>3552942</v>
      </c>
      <c r="BP130" s="67"/>
      <c r="BQ130" s="479">
        <f t="shared" ref="BQ130" si="170">+BO130/BB130</f>
        <v>7.4644340592412622E-2</v>
      </c>
      <c r="BR130" s="67"/>
      <c r="BS130" s="86"/>
      <c r="BT130" s="184"/>
      <c r="BU130" s="1"/>
      <c r="BV130">
        <f t="shared" si="53"/>
        <v>121</v>
      </c>
    </row>
    <row r="131" spans="2:84" x14ac:dyDescent="0.3">
      <c r="B131" s="391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71">+H130+D131</f>
        <v>3893740</v>
      </c>
      <c r="I131" s="16"/>
      <c r="J131" s="38">
        <f t="shared" ref="J131" si="172">+D131/H130</f>
        <v>1.7050976880788389E-2</v>
      </c>
      <c r="K131" s="16"/>
      <c r="L131" s="16"/>
      <c r="M131" s="16"/>
      <c r="N131" s="16">
        <f t="shared" ref="N131" si="173">+H131/BV131</f>
        <v>31915.901639344262</v>
      </c>
      <c r="O131" s="41"/>
      <c r="P131" s="17">
        <f t="shared" ref="P131" si="174">SUM(D125:D131)</f>
        <v>479745</v>
      </c>
      <c r="Q131" s="16"/>
      <c r="R131" s="60">
        <f t="shared" ref="R131" si="175">+(P131-P124)/P124</f>
        <v>0.13194392011778475</v>
      </c>
      <c r="S131" s="16"/>
      <c r="T131" s="41"/>
      <c r="U131" s="10"/>
      <c r="V131" s="34">
        <v>412</v>
      </c>
      <c r="W131" s="33"/>
      <c r="X131" s="33"/>
      <c r="Y131" s="33"/>
      <c r="Z131" s="33">
        <f t="shared" ref="Z131" si="176">+Z130+V131</f>
        <v>143316</v>
      </c>
      <c r="AA131" s="33"/>
      <c r="AB131" s="46">
        <f t="shared" ref="AB131" si="177">+Z131/H131</f>
        <v>3.6806771895401338E-2</v>
      </c>
      <c r="AC131" s="33"/>
      <c r="AD131" s="33">
        <f t="shared" ref="AD131" si="178">+Z131/BV131</f>
        <v>1174.7213114754099</v>
      </c>
      <c r="AE131" s="50"/>
      <c r="AF131" s="33">
        <f t="shared" ref="AF131" si="179">SUM(V125:V131)</f>
        <v>5534</v>
      </c>
      <c r="AG131" s="33">
        <f>SUM(D102:D142)</f>
        <v>1591559</v>
      </c>
      <c r="AH131" s="232">
        <f t="shared" ref="AH131" si="180">+(AF131-AF124)/AF124</f>
        <v>6.8133564948851574E-2</v>
      </c>
      <c r="AI131" s="50"/>
      <c r="AJ131" s="10"/>
      <c r="AK131" s="23">
        <f t="shared" ref="AK131" si="181">+AO131-AO130</f>
        <v>27244</v>
      </c>
      <c r="AL131" s="24"/>
      <c r="AM131" s="24"/>
      <c r="AN131" s="24">
        <v>178263</v>
      </c>
      <c r="AO131" s="24">
        <v>1802338</v>
      </c>
      <c r="AP131" s="24"/>
      <c r="AQ131" s="505">
        <f t="shared" ref="AQ131" si="182">+AK131/AO130</f>
        <v>1.5347919603130877E-2</v>
      </c>
      <c r="AR131" s="25"/>
      <c r="AS131" s="25"/>
      <c r="AT131" s="24"/>
      <c r="AU131" s="342">
        <f t="shared" ref="AU131" si="183">+AO131/H131</f>
        <v>0.46288093195744967</v>
      </c>
      <c r="AV131" s="342"/>
      <c r="AW131" s="24">
        <f t="shared" ref="AW131" si="184">+AO131/BV131</f>
        <v>14773.262295081968</v>
      </c>
      <c r="AX131" s="352"/>
      <c r="AY131" s="10"/>
      <c r="AZ131" s="66">
        <f t="shared" ref="AZ131" si="185">+BB131-BB130</f>
        <v>743458</v>
      </c>
      <c r="BA131" s="67"/>
      <c r="BB131" s="67">
        <v>48341735</v>
      </c>
      <c r="BC131" s="67"/>
      <c r="BD131" s="67">
        <f t="shared" ref="BD131" si="186">+D131</f>
        <v>65279</v>
      </c>
      <c r="BE131" s="67"/>
      <c r="BF131" s="157">
        <f t="shared" ref="BF131" si="187">+BD131/AZ131</f>
        <v>8.7804556545225149E-2</v>
      </c>
      <c r="BG131" s="67"/>
      <c r="BH131" s="184"/>
      <c r="BI131" s="67"/>
      <c r="BJ131" s="67">
        <f t="shared" ref="BJ131" si="188">SUM(AZ125:AZ131)</f>
        <v>5872128</v>
      </c>
      <c r="BK131" s="67"/>
      <c r="BL131" s="157">
        <f t="shared" ref="BL131" si="189">+P131/BJ131</f>
        <v>8.1698661882029816E-2</v>
      </c>
      <c r="BM131" s="66">
        <f t="shared" ref="BM131" si="190">+BB131/BV131</f>
        <v>396243.7295081967</v>
      </c>
      <c r="BN131" s="67"/>
      <c r="BO131" s="67">
        <f t="shared" ref="BO131" si="191">+BO130+BD131</f>
        <v>3618221</v>
      </c>
      <c r="BP131" s="67"/>
      <c r="BQ131" s="479">
        <f t="shared" ref="BQ131" si="192">+BO131/BB131</f>
        <v>7.4846734400409912E-2</v>
      </c>
      <c r="BR131" s="67"/>
      <c r="BS131" s="86"/>
      <c r="BT131" s="184"/>
      <c r="BU131" s="1"/>
      <c r="BV131">
        <f t="shared" si="53"/>
        <v>122</v>
      </c>
    </row>
    <row r="132" spans="2:84" x14ac:dyDescent="0.3">
      <c r="B132" s="172">
        <f t="shared" si="52"/>
        <v>44032</v>
      </c>
      <c r="C132" s="61"/>
      <c r="D132" s="17"/>
      <c r="E132" s="16"/>
      <c r="F132" s="16"/>
      <c r="G132" s="16"/>
      <c r="H132" s="16"/>
      <c r="I132" s="16"/>
      <c r="J132" s="38"/>
      <c r="K132" s="16"/>
      <c r="L132" s="16"/>
      <c r="M132" s="16"/>
      <c r="N132" s="16"/>
      <c r="O132" s="41"/>
      <c r="P132" s="17"/>
      <c r="Q132" s="16"/>
      <c r="R132" s="60"/>
      <c r="S132" s="16"/>
      <c r="T132" s="41"/>
      <c r="U132" s="10"/>
      <c r="V132" s="34"/>
      <c r="W132" s="33"/>
      <c r="X132" s="33"/>
      <c r="Y132" s="33"/>
      <c r="Z132" s="33"/>
      <c r="AA132" s="33"/>
      <c r="AB132" s="46"/>
      <c r="AC132" s="33"/>
      <c r="AD132" s="33"/>
      <c r="AE132" s="50"/>
      <c r="AF132" s="33"/>
      <c r="AG132" s="33"/>
      <c r="AH132" s="232"/>
      <c r="AI132" s="50"/>
      <c r="AJ132" s="10"/>
      <c r="AK132" s="23"/>
      <c r="AL132" s="24"/>
      <c r="AM132" s="24"/>
      <c r="AN132" s="24"/>
      <c r="AO132" s="24"/>
      <c r="AP132" s="24"/>
      <c r="AQ132" s="505"/>
      <c r="AR132" s="25"/>
      <c r="AS132" s="25"/>
      <c r="AT132" s="24"/>
      <c r="AU132" s="342"/>
      <c r="AV132" s="342"/>
      <c r="AW132" s="24"/>
      <c r="AX132" s="352"/>
      <c r="AY132" s="10"/>
      <c r="AZ132" s="66"/>
      <c r="BA132" s="67"/>
      <c r="BB132" s="67"/>
      <c r="BC132" s="67"/>
      <c r="BD132" s="67"/>
      <c r="BE132" s="67"/>
      <c r="BF132" s="157"/>
      <c r="BG132" s="67"/>
      <c r="BH132" s="184"/>
      <c r="BI132" s="67"/>
      <c r="BJ132" s="67"/>
      <c r="BK132" s="67"/>
      <c r="BL132" s="157"/>
      <c r="BM132" s="66"/>
      <c r="BN132" s="67"/>
      <c r="BO132" s="67"/>
      <c r="BP132" s="67"/>
      <c r="BQ132" s="479"/>
      <c r="BR132" s="67"/>
      <c r="BS132" s="86"/>
      <c r="BT132" s="184"/>
      <c r="BU132" s="1"/>
      <c r="BV132">
        <f t="shared" si="53"/>
        <v>123</v>
      </c>
    </row>
    <row r="133" spans="2:84" x14ac:dyDescent="0.3">
      <c r="B133" s="172">
        <f t="shared" si="52"/>
        <v>44033</v>
      </c>
      <c r="C133" s="61"/>
      <c r="D133" s="17"/>
      <c r="E133" s="16"/>
      <c r="F133" s="16"/>
      <c r="G133" s="16"/>
      <c r="H133" s="16"/>
      <c r="I133" s="16"/>
      <c r="J133" s="38"/>
      <c r="K133" s="16"/>
      <c r="L133" s="16"/>
      <c r="M133" s="16"/>
      <c r="N133" s="16"/>
      <c r="O133" s="41"/>
      <c r="P133" s="17"/>
      <c r="Q133" s="16"/>
      <c r="R133" s="60"/>
      <c r="S133" s="16"/>
      <c r="T133" s="41"/>
      <c r="U133" s="10"/>
      <c r="V133" s="34"/>
      <c r="W133" s="33"/>
      <c r="X133" s="33"/>
      <c r="Y133" s="33"/>
      <c r="Z133" s="33"/>
      <c r="AA133" s="33"/>
      <c r="AB133" s="46"/>
      <c r="AC133" s="33"/>
      <c r="AD133" s="33"/>
      <c r="AE133" s="50"/>
      <c r="AF133" s="33"/>
      <c r="AG133" s="33"/>
      <c r="AH133" s="232"/>
      <c r="AI133" s="50"/>
      <c r="AJ133" s="10"/>
      <c r="AK133" s="23"/>
      <c r="AL133" s="24"/>
      <c r="AM133" s="24"/>
      <c r="AN133" s="24"/>
      <c r="AO133" s="24"/>
      <c r="AP133" s="24"/>
      <c r="AQ133" s="505"/>
      <c r="AR133" s="25"/>
      <c r="AS133" s="25"/>
      <c r="AT133" s="24"/>
      <c r="AU133" s="342"/>
      <c r="AV133" s="342"/>
      <c r="AW133" s="24"/>
      <c r="AX133" s="352"/>
      <c r="AY133" s="10"/>
      <c r="AZ133" s="66"/>
      <c r="BA133" s="67"/>
      <c r="BB133" s="67"/>
      <c r="BC133" s="67"/>
      <c r="BD133" s="67"/>
      <c r="BE133" s="67"/>
      <c r="BF133" s="157"/>
      <c r="BG133" s="67"/>
      <c r="BH133" s="184"/>
      <c r="BI133" s="67"/>
      <c r="BJ133" s="67"/>
      <c r="BK133" s="67"/>
      <c r="BL133" s="157"/>
      <c r="BM133" s="66"/>
      <c r="BN133" s="67"/>
      <c r="BO133" s="67"/>
      <c r="BP133" s="67"/>
      <c r="BQ133" s="479"/>
      <c r="BR133" s="67"/>
      <c r="BS133" s="86"/>
      <c r="BT133" s="184"/>
      <c r="BU133" s="1"/>
      <c r="BV133">
        <f t="shared" si="53"/>
        <v>124</v>
      </c>
    </row>
    <row r="134" spans="2:84" x14ac:dyDescent="0.3">
      <c r="B134" s="172">
        <f t="shared" si="52"/>
        <v>44034</v>
      </c>
      <c r="C134" s="61"/>
      <c r="D134" s="17"/>
      <c r="E134" s="16"/>
      <c r="F134" s="16"/>
      <c r="G134" s="16"/>
      <c r="H134" s="16"/>
      <c r="I134" s="16"/>
      <c r="J134" s="38"/>
      <c r="K134" s="16"/>
      <c r="L134" s="16"/>
      <c r="M134" s="16"/>
      <c r="N134" s="16"/>
      <c r="O134" s="41"/>
      <c r="P134" s="17"/>
      <c r="Q134" s="16"/>
      <c r="R134" s="60"/>
      <c r="S134" s="16"/>
      <c r="T134" s="41"/>
      <c r="U134" s="10"/>
      <c r="V134" s="34"/>
      <c r="W134" s="33"/>
      <c r="X134" s="33"/>
      <c r="Y134" s="33"/>
      <c r="Z134" s="33"/>
      <c r="AA134" s="33"/>
      <c r="AB134" s="46"/>
      <c r="AC134" s="33"/>
      <c r="AD134" s="33"/>
      <c r="AE134" s="50"/>
      <c r="AF134" s="33"/>
      <c r="AG134" s="33"/>
      <c r="AH134" s="232"/>
      <c r="AI134" s="50"/>
      <c r="AJ134" s="10"/>
      <c r="AK134" s="23"/>
      <c r="AL134" s="24"/>
      <c r="AM134" s="24"/>
      <c r="AN134" s="24"/>
      <c r="AO134" s="24"/>
      <c r="AP134" s="24"/>
      <c r="AQ134" s="505"/>
      <c r="AR134" s="25"/>
      <c r="AS134" s="25"/>
      <c r="AT134" s="24"/>
      <c r="AU134" s="342"/>
      <c r="AV134" s="342"/>
      <c r="AW134" s="24"/>
      <c r="AX134" s="352"/>
      <c r="AY134" s="10"/>
      <c r="AZ134" s="66"/>
      <c r="BA134" s="67"/>
      <c r="BB134" s="67"/>
      <c r="BC134" s="67"/>
      <c r="BD134" s="67"/>
      <c r="BE134" s="67"/>
      <c r="BF134" s="157"/>
      <c r="BG134" s="67"/>
      <c r="BH134" s="184"/>
      <c r="BI134" s="67"/>
      <c r="BJ134" s="67"/>
      <c r="BK134" s="67"/>
      <c r="BL134" s="157"/>
      <c r="BM134" s="66"/>
      <c r="BN134" s="67"/>
      <c r="BO134" s="67"/>
      <c r="BP134" s="67"/>
      <c r="BQ134" s="479"/>
      <c r="BR134" s="67"/>
      <c r="BS134" s="86"/>
      <c r="BT134" s="184"/>
      <c r="BU134" s="1"/>
      <c r="BV134">
        <f t="shared" si="53"/>
        <v>125</v>
      </c>
    </row>
    <row r="135" spans="2:84" x14ac:dyDescent="0.3">
      <c r="B135" s="172">
        <f t="shared" si="52"/>
        <v>44035</v>
      </c>
      <c r="C135" s="61"/>
      <c r="D135" s="17"/>
      <c r="E135" s="16"/>
      <c r="F135" s="16"/>
      <c r="G135" s="16"/>
      <c r="H135" s="16"/>
      <c r="I135" s="16"/>
      <c r="J135" s="38"/>
      <c r="K135" s="16"/>
      <c r="L135" s="16"/>
      <c r="M135" s="16"/>
      <c r="N135" s="16"/>
      <c r="O135" s="41"/>
      <c r="P135" s="17"/>
      <c r="Q135" s="16"/>
      <c r="R135" s="60"/>
      <c r="S135" s="16"/>
      <c r="T135" s="41"/>
      <c r="U135" s="10"/>
      <c r="V135" s="34"/>
      <c r="W135" s="33"/>
      <c r="X135" s="33"/>
      <c r="Y135" s="33"/>
      <c r="Z135" s="33"/>
      <c r="AA135" s="33"/>
      <c r="AB135" s="46"/>
      <c r="AC135" s="33"/>
      <c r="AD135" s="33"/>
      <c r="AE135" s="50"/>
      <c r="AF135" s="33"/>
      <c r="AG135" s="33"/>
      <c r="AH135" s="232"/>
      <c r="AI135" s="50"/>
      <c r="AJ135" s="10"/>
      <c r="AK135" s="23"/>
      <c r="AL135" s="24"/>
      <c r="AM135" s="24"/>
      <c r="AN135" s="24"/>
      <c r="AO135" s="24"/>
      <c r="AP135" s="24"/>
      <c r="AQ135" s="505"/>
      <c r="AR135" s="25"/>
      <c r="AS135" s="25"/>
      <c r="AT135" s="24"/>
      <c r="AU135" s="342"/>
      <c r="AV135" s="342"/>
      <c r="AW135" s="24"/>
      <c r="AX135" s="352"/>
      <c r="AY135" s="10"/>
      <c r="AZ135" s="66"/>
      <c r="BA135" s="67"/>
      <c r="BB135" s="67"/>
      <c r="BC135" s="67"/>
      <c r="BD135" s="67"/>
      <c r="BE135" s="67"/>
      <c r="BF135" s="157"/>
      <c r="BG135" s="67"/>
      <c r="BH135" s="184"/>
      <c r="BI135" s="67"/>
      <c r="BJ135" s="67"/>
      <c r="BK135" s="67"/>
      <c r="BL135" s="157"/>
      <c r="BM135" s="66"/>
      <c r="BN135" s="67"/>
      <c r="BO135" s="67"/>
      <c r="BP135" s="67"/>
      <c r="BQ135" s="479"/>
      <c r="BR135" s="67"/>
      <c r="BS135" s="86"/>
      <c r="BT135" s="184"/>
      <c r="BU135" s="1"/>
      <c r="BV135">
        <f t="shared" si="53"/>
        <v>126</v>
      </c>
    </row>
    <row r="136" spans="2:84" x14ac:dyDescent="0.3">
      <c r="B136" s="172">
        <f t="shared" si="52"/>
        <v>44036</v>
      </c>
      <c r="C136" s="61"/>
      <c r="D136" s="17"/>
      <c r="E136" s="16"/>
      <c r="F136" s="16"/>
      <c r="G136" s="16"/>
      <c r="H136" s="16"/>
      <c r="I136" s="16"/>
      <c r="J136" s="38"/>
      <c r="K136" s="16"/>
      <c r="L136" s="16"/>
      <c r="M136" s="16"/>
      <c r="N136" s="16"/>
      <c r="O136" s="41"/>
      <c r="P136" s="17"/>
      <c r="Q136" s="16"/>
      <c r="R136" s="60"/>
      <c r="S136" s="16"/>
      <c r="T136" s="41"/>
      <c r="U136" s="10"/>
      <c r="V136" s="34"/>
      <c r="W136" s="33"/>
      <c r="X136" s="33"/>
      <c r="Y136" s="33"/>
      <c r="Z136" s="33"/>
      <c r="AA136" s="33"/>
      <c r="AB136" s="46"/>
      <c r="AC136" s="33"/>
      <c r="AD136" s="33"/>
      <c r="AE136" s="50"/>
      <c r="AF136" s="33"/>
      <c r="AG136" s="33"/>
      <c r="AH136" s="232"/>
      <c r="AI136" s="50"/>
      <c r="AJ136" s="10"/>
      <c r="AK136" s="23"/>
      <c r="AL136" s="24"/>
      <c r="AM136" s="24"/>
      <c r="AN136" s="24"/>
      <c r="AO136" s="24"/>
      <c r="AP136" s="24"/>
      <c r="AQ136" s="505"/>
      <c r="AR136" s="25"/>
      <c r="AS136" s="25"/>
      <c r="AT136" s="24"/>
      <c r="AU136" s="342"/>
      <c r="AV136" s="342"/>
      <c r="AW136" s="24"/>
      <c r="AX136" s="352"/>
      <c r="AY136" s="10"/>
      <c r="AZ136" s="66"/>
      <c r="BA136" s="67"/>
      <c r="BB136" s="67"/>
      <c r="BC136" s="67"/>
      <c r="BD136" s="67"/>
      <c r="BE136" s="67"/>
      <c r="BF136" s="157"/>
      <c r="BG136" s="67"/>
      <c r="BH136" s="184"/>
      <c r="BI136" s="67"/>
      <c r="BJ136" s="67"/>
      <c r="BK136" s="67"/>
      <c r="BL136" s="157"/>
      <c r="BM136" s="66"/>
      <c r="BN136" s="67"/>
      <c r="BO136" s="67"/>
      <c r="BP136" s="67"/>
      <c r="BQ136" s="479"/>
      <c r="BR136" s="67"/>
      <c r="BS136" s="86"/>
      <c r="BT136" s="184"/>
      <c r="BU136" s="1"/>
      <c r="BV136">
        <f t="shared" si="53"/>
        <v>127</v>
      </c>
    </row>
    <row r="137" spans="2:84" x14ac:dyDescent="0.3">
      <c r="B137" s="172">
        <f t="shared" si="52"/>
        <v>44037</v>
      </c>
      <c r="C137" s="61"/>
      <c r="D137" s="17"/>
      <c r="E137" s="16"/>
      <c r="F137" s="16"/>
      <c r="G137" s="16"/>
      <c r="H137" s="16"/>
      <c r="I137" s="16"/>
      <c r="J137" s="38"/>
      <c r="K137" s="16"/>
      <c r="L137" s="16"/>
      <c r="M137" s="16"/>
      <c r="N137" s="16"/>
      <c r="O137" s="41"/>
      <c r="P137" s="17"/>
      <c r="Q137" s="16"/>
      <c r="R137" s="60"/>
      <c r="S137" s="16"/>
      <c r="T137" s="41"/>
      <c r="U137" s="10"/>
      <c r="V137" s="34"/>
      <c r="W137" s="33"/>
      <c r="X137" s="33"/>
      <c r="Y137" s="33"/>
      <c r="Z137" s="33"/>
      <c r="AA137" s="33"/>
      <c r="AB137" s="46"/>
      <c r="AC137" s="33"/>
      <c r="AD137" s="33"/>
      <c r="AE137" s="50"/>
      <c r="AF137" s="33"/>
      <c r="AG137" s="33"/>
      <c r="AH137" s="232"/>
      <c r="AI137" s="50"/>
      <c r="AJ137" s="10"/>
      <c r="AK137" s="23"/>
      <c r="AL137" s="24"/>
      <c r="AM137" s="24"/>
      <c r="AN137" s="24"/>
      <c r="AO137" s="24"/>
      <c r="AP137" s="24"/>
      <c r="AQ137" s="505"/>
      <c r="AR137" s="25"/>
      <c r="AS137" s="25"/>
      <c r="AT137" s="24"/>
      <c r="AU137" s="342"/>
      <c r="AV137" s="342"/>
      <c r="AW137" s="24"/>
      <c r="AX137" s="352"/>
      <c r="AY137" s="10"/>
      <c r="AZ137" s="66"/>
      <c r="BA137" s="67"/>
      <c r="BB137" s="67"/>
      <c r="BC137" s="67"/>
      <c r="BD137" s="67"/>
      <c r="BE137" s="67"/>
      <c r="BF137" s="157"/>
      <c r="BG137" s="67"/>
      <c r="BH137" s="184"/>
      <c r="BI137" s="67"/>
      <c r="BJ137" s="67"/>
      <c r="BK137" s="67"/>
      <c r="BL137" s="157"/>
      <c r="BM137" s="66"/>
      <c r="BN137" s="67"/>
      <c r="BO137" s="67"/>
      <c r="BP137" s="67"/>
      <c r="BQ137" s="479"/>
      <c r="BR137" s="67"/>
      <c r="BS137" s="86"/>
      <c r="BT137" s="184"/>
      <c r="BU137" s="1"/>
      <c r="BV137">
        <f t="shared" si="53"/>
        <v>128</v>
      </c>
    </row>
    <row r="138" spans="2:84" x14ac:dyDescent="0.3">
      <c r="B138" s="172">
        <f t="shared" si="52"/>
        <v>44038</v>
      </c>
      <c r="C138" s="61"/>
      <c r="D138" s="17"/>
      <c r="E138" s="16"/>
      <c r="F138" s="16"/>
      <c r="G138" s="16"/>
      <c r="H138" s="16"/>
      <c r="I138" s="16"/>
      <c r="J138" s="38"/>
      <c r="K138" s="16"/>
      <c r="L138" s="16"/>
      <c r="M138" s="16"/>
      <c r="N138" s="16"/>
      <c r="O138" s="41"/>
      <c r="P138" s="17"/>
      <c r="Q138" s="16"/>
      <c r="R138" s="60"/>
      <c r="S138" s="16"/>
      <c r="T138" s="41"/>
      <c r="U138" s="10"/>
      <c r="V138" s="34"/>
      <c r="W138" s="33"/>
      <c r="X138" s="33"/>
      <c r="Y138" s="33"/>
      <c r="Z138" s="33"/>
      <c r="AA138" s="33"/>
      <c r="AB138" s="46"/>
      <c r="AC138" s="33"/>
      <c r="AD138" s="33"/>
      <c r="AE138" s="50"/>
      <c r="AF138" s="33"/>
      <c r="AG138" s="33"/>
      <c r="AH138" s="232"/>
      <c r="AI138" s="50"/>
      <c r="AJ138" s="10"/>
      <c r="AK138" s="23"/>
      <c r="AL138" s="24"/>
      <c r="AM138" s="24"/>
      <c r="AN138" s="24"/>
      <c r="AO138" s="24"/>
      <c r="AP138" s="24"/>
      <c r="AQ138" s="505"/>
      <c r="AR138" s="25"/>
      <c r="AS138" s="25"/>
      <c r="AT138" s="24"/>
      <c r="AU138" s="342"/>
      <c r="AV138" s="342"/>
      <c r="AW138" s="24"/>
      <c r="AX138" s="352"/>
      <c r="AY138" s="10"/>
      <c r="AZ138" s="66"/>
      <c r="BA138" s="67"/>
      <c r="BB138" s="67"/>
      <c r="BC138" s="67"/>
      <c r="BD138" s="67"/>
      <c r="BE138" s="67"/>
      <c r="BF138" s="157"/>
      <c r="BG138" s="67"/>
      <c r="BH138" s="184"/>
      <c r="BI138" s="67"/>
      <c r="BJ138" s="67"/>
      <c r="BK138" s="67"/>
      <c r="BL138" s="157"/>
      <c r="BM138" s="66"/>
      <c r="BN138" s="67"/>
      <c r="BO138" s="67"/>
      <c r="BP138" s="67"/>
      <c r="BQ138" s="479"/>
      <c r="BR138" s="67"/>
      <c r="BS138" s="86"/>
      <c r="BT138" s="184"/>
      <c r="BU138" s="1"/>
      <c r="BV138">
        <f t="shared" si="53"/>
        <v>129</v>
      </c>
    </row>
    <row r="139" spans="2:84" x14ac:dyDescent="0.3">
      <c r="B139" s="172">
        <f t="shared" si="52"/>
        <v>44039</v>
      </c>
      <c r="C139" s="61"/>
      <c r="D139" s="17"/>
      <c r="E139" s="16"/>
      <c r="F139" s="16"/>
      <c r="G139" s="16"/>
      <c r="H139" s="16"/>
      <c r="I139" s="16"/>
      <c r="J139" s="480"/>
      <c r="K139" s="16"/>
      <c r="L139" s="16"/>
      <c r="M139" s="16"/>
      <c r="N139" s="16"/>
      <c r="O139" s="41"/>
      <c r="P139" s="17"/>
      <c r="Q139" s="16"/>
      <c r="R139" s="60"/>
      <c r="S139" s="16"/>
      <c r="T139" s="41"/>
      <c r="U139" s="10"/>
      <c r="V139" s="34"/>
      <c r="W139" s="33"/>
      <c r="X139" s="33"/>
      <c r="Y139" s="33"/>
      <c r="Z139" s="33"/>
      <c r="AA139" s="33"/>
      <c r="AB139" s="46"/>
      <c r="AC139" s="33"/>
      <c r="AD139" s="33"/>
      <c r="AE139" s="50"/>
      <c r="AF139" s="232">
        <f>+AF128/AG51</f>
        <v>9.5587839172517827E-2</v>
      </c>
      <c r="AG139" s="232">
        <f>+AG128/AF84</f>
        <v>39.658305581142685</v>
      </c>
      <c r="AH139" s="232"/>
      <c r="AI139" s="50"/>
      <c r="AJ139" s="10"/>
      <c r="AK139" s="23"/>
      <c r="AL139" s="24"/>
      <c r="AM139" s="24"/>
      <c r="AN139" s="24"/>
      <c r="AO139" s="24"/>
      <c r="AP139" s="24"/>
      <c r="AQ139" s="505"/>
      <c r="AR139" s="25"/>
      <c r="AS139" s="25"/>
      <c r="AT139" s="24"/>
      <c r="AU139" s="342"/>
      <c r="AV139" s="342"/>
      <c r="AW139" s="24"/>
      <c r="AX139" s="352"/>
      <c r="AY139" s="10"/>
      <c r="AZ139" s="66"/>
      <c r="BA139" s="67"/>
      <c r="BB139" s="67"/>
      <c r="BC139" s="67"/>
      <c r="BD139" s="67">
        <f t="shared" ref="BD139" si="193">+D139</f>
        <v>0</v>
      </c>
      <c r="BE139" s="67"/>
      <c r="BF139" s="157"/>
      <c r="BG139" s="67"/>
      <c r="BH139" s="184"/>
      <c r="BI139" s="67"/>
      <c r="BJ139" s="67">
        <f>SUM(AZ123:AZ139)</f>
        <v>7331522</v>
      </c>
      <c r="BK139" s="67"/>
      <c r="BL139" s="157"/>
      <c r="BM139" s="66"/>
      <c r="BN139" s="67"/>
      <c r="BO139" s="67"/>
      <c r="BP139" s="67"/>
      <c r="BQ139" s="479"/>
      <c r="BR139" s="67"/>
      <c r="BS139" s="86"/>
      <c r="BT139" s="184"/>
      <c r="BU139" s="1"/>
      <c r="BV139">
        <f t="shared" si="53"/>
        <v>130</v>
      </c>
    </row>
    <row r="140" spans="2:84" x14ac:dyDescent="0.3">
      <c r="B140" s="172">
        <f t="shared" si="52"/>
        <v>44040</v>
      </c>
      <c r="C140" s="61"/>
      <c r="D140" s="17"/>
      <c r="E140" s="16"/>
      <c r="F140" s="16"/>
      <c r="G140" s="16"/>
      <c r="H140" s="16"/>
      <c r="I140" s="16"/>
      <c r="J140" s="38"/>
      <c r="K140" s="16"/>
      <c r="L140" s="16"/>
      <c r="M140" s="16"/>
      <c r="N140" s="16"/>
      <c r="O140" s="41"/>
      <c r="P140" s="454"/>
      <c r="Q140" s="16"/>
      <c r="R140" s="60"/>
      <c r="S140" s="16"/>
      <c r="T140" s="41"/>
      <c r="U140" s="10"/>
      <c r="V140" s="34"/>
      <c r="W140" s="33"/>
      <c r="X140" s="33"/>
      <c r="Y140" s="33"/>
      <c r="Z140" s="33"/>
      <c r="AA140" s="33"/>
      <c r="AB140" s="46"/>
      <c r="AC140" s="33"/>
      <c r="AD140" s="33"/>
      <c r="AE140" s="50"/>
      <c r="AF140" s="232"/>
      <c r="AG140" s="33"/>
      <c r="AH140" s="232"/>
      <c r="AI140" s="50"/>
      <c r="AJ140" s="10"/>
      <c r="AK140" s="23"/>
      <c r="AL140" s="24"/>
      <c r="AM140" s="24"/>
      <c r="AN140" s="24"/>
      <c r="AO140" s="24"/>
      <c r="AP140" s="24"/>
      <c r="AQ140" s="25"/>
      <c r="AR140" s="25"/>
      <c r="AS140" s="25"/>
      <c r="AT140" s="24"/>
      <c r="AU140" s="342"/>
      <c r="AV140" s="342"/>
      <c r="AW140" s="24"/>
      <c r="AX140" s="352"/>
      <c r="AY140" s="10"/>
      <c r="AZ140" s="66"/>
      <c r="BA140" s="67"/>
      <c r="BB140" s="67"/>
      <c r="BC140" s="67"/>
      <c r="BD140" s="67"/>
      <c r="BE140" s="67"/>
      <c r="BF140" s="157"/>
      <c r="BG140" s="67"/>
      <c r="BH140" s="184"/>
      <c r="BI140" s="67"/>
      <c r="BJ140" s="67">
        <f>3*BJ127</f>
        <v>16100187</v>
      </c>
      <c r="BK140" s="67"/>
      <c r="BL140" s="157"/>
      <c r="BM140" s="66"/>
      <c r="BN140" s="67"/>
      <c r="BO140" s="67"/>
      <c r="BP140" s="67"/>
      <c r="BQ140" s="479"/>
      <c r="BR140" s="67"/>
      <c r="BS140" s="86"/>
      <c r="BT140" s="184"/>
      <c r="BU140" s="1"/>
      <c r="BV140">
        <f t="shared" si="53"/>
        <v>131</v>
      </c>
    </row>
    <row r="141" spans="2:84" x14ac:dyDescent="0.3">
      <c r="B141" s="172">
        <f t="shared" si="52"/>
        <v>44041</v>
      </c>
      <c r="D141" s="18"/>
      <c r="E141" s="19"/>
      <c r="F141" s="19"/>
      <c r="G141" s="19"/>
      <c r="H141" s="19"/>
      <c r="I141" s="19"/>
      <c r="J141" s="39"/>
      <c r="K141" s="19"/>
      <c r="L141" s="19"/>
      <c r="M141" s="19"/>
      <c r="N141" s="19"/>
      <c r="O141" s="43"/>
      <c r="P141" s="18"/>
      <c r="Q141" s="19"/>
      <c r="R141" s="19"/>
      <c r="S141" s="19"/>
      <c r="T141" s="43"/>
      <c r="U141" s="1"/>
      <c r="V141" s="35"/>
      <c r="W141" s="36"/>
      <c r="X141" s="36"/>
      <c r="Y141" s="36"/>
      <c r="Z141" s="36"/>
      <c r="AA141" s="36"/>
      <c r="AB141" s="47"/>
      <c r="AC141" s="36"/>
      <c r="AD141" s="36"/>
      <c r="AE141" s="51"/>
      <c r="AF141" s="36"/>
      <c r="AG141" s="36"/>
      <c r="AH141" s="36"/>
      <c r="AI141" s="51"/>
      <c r="AJ141" s="1"/>
      <c r="AK141" s="26"/>
      <c r="AL141" s="27"/>
      <c r="AM141" s="27"/>
      <c r="AN141" s="27"/>
      <c r="AO141" s="27"/>
      <c r="AP141" s="27"/>
      <c r="AQ141" s="27"/>
      <c r="AR141" s="27"/>
      <c r="AS141" s="27"/>
      <c r="AT141" s="27"/>
      <c r="AU141" s="344"/>
      <c r="AV141" s="344"/>
      <c r="AW141" s="27"/>
      <c r="AX141" s="351"/>
      <c r="AY141" s="1"/>
      <c r="AZ141" s="68"/>
      <c r="BA141" s="69"/>
      <c r="BB141" s="69"/>
      <c r="BC141" s="69"/>
      <c r="BD141" s="69"/>
      <c r="BE141" s="69"/>
      <c r="BF141" s="69"/>
      <c r="BG141" s="69"/>
      <c r="BH141" s="185"/>
      <c r="BI141" s="69"/>
      <c r="BJ141" s="69"/>
      <c r="BK141" s="69"/>
      <c r="BL141" s="69"/>
      <c r="BM141" s="68"/>
      <c r="BN141" s="69"/>
      <c r="BO141" s="69"/>
      <c r="BP141" s="69"/>
      <c r="BQ141" s="71"/>
      <c r="BR141" s="69"/>
      <c r="BS141" s="69"/>
      <c r="BT141" s="185"/>
      <c r="BU141" s="1"/>
      <c r="BV141">
        <f t="shared" si="53"/>
        <v>132</v>
      </c>
    </row>
    <row r="142" spans="2:84" x14ac:dyDescent="0.3">
      <c r="B142" s="56"/>
      <c r="D142" s="1"/>
      <c r="E142" s="1"/>
      <c r="F142" s="1"/>
      <c r="G142" s="1"/>
      <c r="H142" s="59"/>
      <c r="I142" s="1"/>
      <c r="J142" s="5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59"/>
      <c r="W142" s="1"/>
      <c r="X142" s="1"/>
      <c r="Y142" s="1"/>
      <c r="Z142" s="1"/>
      <c r="AA142" s="1"/>
      <c r="AB142" s="59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59"/>
      <c r="BC142" s="1"/>
      <c r="BD142" s="59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2:84" x14ac:dyDescent="0.3">
      <c r="B143" s="180" t="s">
        <v>82</v>
      </c>
      <c r="D143" s="56">
        <f>+D131</f>
        <v>65279</v>
      </c>
      <c r="E143" s="56">
        <f>+E120</f>
        <v>0</v>
      </c>
      <c r="F143" s="56">
        <f>+F120</f>
        <v>0</v>
      </c>
      <c r="G143" s="56">
        <f>+G120</f>
        <v>0</v>
      </c>
      <c r="H143" s="56">
        <f t="shared" ref="H143:BO143" si="194">+H131</f>
        <v>3893740</v>
      </c>
      <c r="I143" s="56">
        <f t="shared" si="194"/>
        <v>0</v>
      </c>
      <c r="J143" s="56">
        <f t="shared" si="194"/>
        <v>1.7050976880788389E-2</v>
      </c>
      <c r="K143" s="56">
        <f t="shared" si="194"/>
        <v>0</v>
      </c>
      <c r="L143" s="56">
        <f t="shared" si="194"/>
        <v>0</v>
      </c>
      <c r="M143" s="56">
        <f t="shared" si="194"/>
        <v>0</v>
      </c>
      <c r="N143" s="56">
        <f t="shared" si="194"/>
        <v>31915.901639344262</v>
      </c>
      <c r="O143" s="56">
        <f t="shared" si="194"/>
        <v>0</v>
      </c>
      <c r="P143" s="56">
        <f t="shared" si="194"/>
        <v>479745</v>
      </c>
      <c r="Q143" s="56">
        <f t="shared" si="194"/>
        <v>0</v>
      </c>
      <c r="R143" s="56">
        <f t="shared" si="194"/>
        <v>0.13194392011778475</v>
      </c>
      <c r="S143" s="56">
        <f t="shared" si="194"/>
        <v>0</v>
      </c>
      <c r="T143" s="56">
        <f t="shared" si="194"/>
        <v>0</v>
      </c>
      <c r="U143" s="56">
        <f t="shared" si="194"/>
        <v>0</v>
      </c>
      <c r="V143" s="56">
        <f t="shared" si="194"/>
        <v>412</v>
      </c>
      <c r="W143" s="56">
        <f t="shared" si="194"/>
        <v>0</v>
      </c>
      <c r="X143" s="56">
        <f t="shared" si="194"/>
        <v>0</v>
      </c>
      <c r="Y143" s="56">
        <f t="shared" si="194"/>
        <v>0</v>
      </c>
      <c r="Z143" s="56">
        <f t="shared" si="194"/>
        <v>143316</v>
      </c>
      <c r="AA143" s="56">
        <f t="shared" si="194"/>
        <v>0</v>
      </c>
      <c r="AB143" s="56">
        <f t="shared" si="194"/>
        <v>3.6806771895401338E-2</v>
      </c>
      <c r="AC143" s="56">
        <f t="shared" si="194"/>
        <v>0</v>
      </c>
      <c r="AD143" s="56">
        <f t="shared" si="194"/>
        <v>1174.7213114754099</v>
      </c>
      <c r="AE143" s="56">
        <f t="shared" si="194"/>
        <v>0</v>
      </c>
      <c r="AF143" s="56">
        <f t="shared" si="194"/>
        <v>5534</v>
      </c>
      <c r="AG143" s="56">
        <f t="shared" si="194"/>
        <v>1591559</v>
      </c>
      <c r="AH143" s="56">
        <f t="shared" si="194"/>
        <v>6.8133564948851574E-2</v>
      </c>
      <c r="AI143" s="56">
        <f t="shared" si="194"/>
        <v>0</v>
      </c>
      <c r="AJ143" s="56">
        <f t="shared" si="194"/>
        <v>0</v>
      </c>
      <c r="AK143" s="56">
        <f t="shared" si="194"/>
        <v>27244</v>
      </c>
      <c r="AL143" s="56">
        <f t="shared" si="194"/>
        <v>0</v>
      </c>
      <c r="AM143" s="56">
        <f t="shared" si="194"/>
        <v>0</v>
      </c>
      <c r="AN143" s="56">
        <f t="shared" si="194"/>
        <v>178263</v>
      </c>
      <c r="AO143" s="56">
        <f t="shared" si="194"/>
        <v>1802338</v>
      </c>
      <c r="AP143" s="56">
        <f t="shared" si="194"/>
        <v>0</v>
      </c>
      <c r="AQ143" s="56">
        <f t="shared" si="194"/>
        <v>1.5347919603130877E-2</v>
      </c>
      <c r="AR143" s="56">
        <f t="shared" si="194"/>
        <v>0</v>
      </c>
      <c r="AS143" s="56">
        <f t="shared" si="194"/>
        <v>0</v>
      </c>
      <c r="AT143" s="56">
        <f t="shared" si="194"/>
        <v>0</v>
      </c>
      <c r="AU143" s="56">
        <f t="shared" si="194"/>
        <v>0.46288093195744967</v>
      </c>
      <c r="AV143" s="56">
        <f t="shared" si="194"/>
        <v>0</v>
      </c>
      <c r="AW143" s="56">
        <f t="shared" si="194"/>
        <v>14773.262295081968</v>
      </c>
      <c r="AX143" s="56">
        <f t="shared" si="194"/>
        <v>0</v>
      </c>
      <c r="AY143" s="56">
        <f t="shared" si="194"/>
        <v>0</v>
      </c>
      <c r="AZ143" s="56">
        <f t="shared" si="194"/>
        <v>743458</v>
      </c>
      <c r="BA143" s="56">
        <f t="shared" si="194"/>
        <v>0</v>
      </c>
      <c r="BB143" s="56">
        <f t="shared" si="194"/>
        <v>48341735</v>
      </c>
      <c r="BC143" s="56">
        <f t="shared" si="194"/>
        <v>0</v>
      </c>
      <c r="BD143" s="56">
        <f t="shared" si="194"/>
        <v>65279</v>
      </c>
      <c r="BE143" s="56">
        <f t="shared" si="194"/>
        <v>0</v>
      </c>
      <c r="BF143" s="56">
        <f t="shared" si="194"/>
        <v>8.7804556545225149E-2</v>
      </c>
      <c r="BG143" s="56">
        <f t="shared" si="194"/>
        <v>0</v>
      </c>
      <c r="BH143" s="56">
        <f t="shared" si="194"/>
        <v>0</v>
      </c>
      <c r="BI143" s="56">
        <f t="shared" si="194"/>
        <v>0</v>
      </c>
      <c r="BJ143" s="56">
        <f t="shared" si="194"/>
        <v>5872128</v>
      </c>
      <c r="BK143" s="56">
        <f t="shared" si="194"/>
        <v>0</v>
      </c>
      <c r="BL143" s="56">
        <f t="shared" si="194"/>
        <v>8.1698661882029816E-2</v>
      </c>
      <c r="BM143" s="56">
        <f t="shared" si="194"/>
        <v>396243.7295081967</v>
      </c>
      <c r="BN143" s="56">
        <f t="shared" si="194"/>
        <v>0</v>
      </c>
      <c r="BO143" s="56">
        <f t="shared" si="194"/>
        <v>3618221</v>
      </c>
      <c r="BP143" s="10"/>
      <c r="BQ143" s="62"/>
      <c r="BR143" s="10"/>
      <c r="BS143" s="10"/>
      <c r="BT143" s="10"/>
      <c r="BU143" s="10"/>
      <c r="BV143" s="161"/>
      <c r="BW143" s="10"/>
      <c r="BX143" s="62"/>
      <c r="BY143" s="10"/>
      <c r="BZ143" s="161"/>
      <c r="CA143" s="61"/>
      <c r="CB143" s="61"/>
      <c r="CC143" s="61"/>
      <c r="CD143" s="61"/>
      <c r="CE143" s="61"/>
      <c r="CF143" s="158"/>
    </row>
    <row r="144" spans="2:84" x14ac:dyDescent="0.3">
      <c r="B144" t="s">
        <v>118</v>
      </c>
      <c r="D144" s="56">
        <f>+D130-D143</f>
        <v>-2020</v>
      </c>
      <c r="E144" s="56">
        <f>+E119-E120</f>
        <v>0</v>
      </c>
      <c r="F144" s="56">
        <f>+F119-F120</f>
        <v>0</v>
      </c>
      <c r="G144" s="56">
        <f>+G119-G120</f>
        <v>0</v>
      </c>
      <c r="H144" s="56">
        <f t="shared" ref="H144:BO144" si="195">+H130-H143</f>
        <v>-65279</v>
      </c>
      <c r="I144" s="56">
        <f t="shared" si="195"/>
        <v>0</v>
      </c>
      <c r="J144" s="56">
        <f t="shared" si="195"/>
        <v>-2.500190570116044E-4</v>
      </c>
      <c r="K144" s="56">
        <f t="shared" si="195"/>
        <v>0</v>
      </c>
      <c r="L144" s="56">
        <f t="shared" si="195"/>
        <v>0</v>
      </c>
      <c r="M144" s="56">
        <f t="shared" si="195"/>
        <v>0</v>
      </c>
      <c r="N144" s="56">
        <f t="shared" si="195"/>
        <v>-275.72808562525461</v>
      </c>
      <c r="O144" s="56">
        <f t="shared" si="195"/>
        <v>0</v>
      </c>
      <c r="P144" s="56">
        <f t="shared" si="195"/>
        <v>-6930</v>
      </c>
      <c r="Q144" s="56">
        <f t="shared" si="195"/>
        <v>0</v>
      </c>
      <c r="R144" s="56">
        <f t="shared" si="195"/>
        <v>2.1249333623023281E-2</v>
      </c>
      <c r="S144" s="56">
        <f t="shared" si="195"/>
        <v>0</v>
      </c>
      <c r="T144" s="56">
        <f t="shared" si="195"/>
        <v>0</v>
      </c>
      <c r="U144" s="56">
        <f t="shared" si="195"/>
        <v>0</v>
      </c>
      <c r="V144" s="56">
        <f t="shared" si="195"/>
        <v>401</v>
      </c>
      <c r="W144" s="56">
        <f t="shared" si="195"/>
        <v>0</v>
      </c>
      <c r="X144" s="56">
        <f t="shared" si="195"/>
        <v>0</v>
      </c>
      <c r="Y144" s="56">
        <f t="shared" si="195"/>
        <v>0</v>
      </c>
      <c r="Z144" s="56">
        <f t="shared" si="195"/>
        <v>-412</v>
      </c>
      <c r="AA144" s="56">
        <f t="shared" si="195"/>
        <v>0</v>
      </c>
      <c r="AB144" s="56">
        <f t="shared" si="195"/>
        <v>5.1997637237519156E-4</v>
      </c>
      <c r="AC144" s="56">
        <f t="shared" si="195"/>
        <v>0</v>
      </c>
      <c r="AD144" s="56">
        <f t="shared" si="195"/>
        <v>6.303481913019823</v>
      </c>
      <c r="AE144" s="56">
        <f t="shared" si="195"/>
        <v>0</v>
      </c>
      <c r="AF144" s="56">
        <f t="shared" si="195"/>
        <v>-32</v>
      </c>
      <c r="AG144" s="56">
        <f t="shared" si="195"/>
        <v>33539</v>
      </c>
      <c r="AH144" s="56" t="e">
        <f t="shared" si="195"/>
        <v>#DIV/0!</v>
      </c>
      <c r="AI144" s="56">
        <f t="shared" si="195"/>
        <v>0</v>
      </c>
      <c r="AJ144" s="56">
        <f t="shared" si="195"/>
        <v>0</v>
      </c>
      <c r="AK144" s="56">
        <f t="shared" si="195"/>
        <v>6617</v>
      </c>
      <c r="AL144" s="56">
        <f t="shared" si="195"/>
        <v>0</v>
      </c>
      <c r="AM144" s="56">
        <f t="shared" si="195"/>
        <v>0</v>
      </c>
      <c r="AN144" s="56">
        <f t="shared" si="195"/>
        <v>0</v>
      </c>
      <c r="AO144" s="56">
        <f t="shared" si="195"/>
        <v>-27244</v>
      </c>
      <c r="AP144" s="56">
        <f t="shared" si="195"/>
        <v>0</v>
      </c>
      <c r="AQ144" s="56">
        <f t="shared" si="195"/>
        <v>4.098644986444442E-3</v>
      </c>
      <c r="AR144" s="56">
        <f t="shared" si="195"/>
        <v>0</v>
      </c>
      <c r="AS144" s="56">
        <f t="shared" si="195"/>
        <v>0</v>
      </c>
      <c r="AT144" s="56">
        <f t="shared" si="195"/>
        <v>0</v>
      </c>
      <c r="AU144" s="56">
        <f t="shared" si="195"/>
        <v>7.763966662453492E-4</v>
      </c>
      <c r="AV144" s="56">
        <f t="shared" si="195"/>
        <v>0</v>
      </c>
      <c r="AW144" s="56">
        <f t="shared" si="195"/>
        <v>-103.06394797452958</v>
      </c>
      <c r="AX144" s="56">
        <f t="shared" si="195"/>
        <v>0</v>
      </c>
      <c r="AY144" s="56">
        <f t="shared" si="195"/>
        <v>0</v>
      </c>
      <c r="AZ144" s="56">
        <f t="shared" si="195"/>
        <v>246112</v>
      </c>
      <c r="BA144" s="56">
        <f t="shared" si="195"/>
        <v>0</v>
      </c>
      <c r="BB144" s="56">
        <f t="shared" si="195"/>
        <v>-743458</v>
      </c>
      <c r="BC144" s="56">
        <f t="shared" si="195"/>
        <v>0</v>
      </c>
      <c r="BD144" s="56">
        <f t="shared" si="195"/>
        <v>-2020</v>
      </c>
      <c r="BE144" s="56">
        <f t="shared" si="195"/>
        <v>0</v>
      </c>
      <c r="BF144" s="56">
        <f t="shared" si="195"/>
        <v>-2.3878811019390697E-2</v>
      </c>
      <c r="BG144" s="56">
        <f t="shared" si="195"/>
        <v>0</v>
      </c>
      <c r="BH144" s="56">
        <f t="shared" si="195"/>
        <v>0</v>
      </c>
      <c r="BI144" s="56">
        <f t="shared" si="195"/>
        <v>0</v>
      </c>
      <c r="BJ144" s="56">
        <f t="shared" si="195"/>
        <v>-44187</v>
      </c>
      <c r="BK144" s="56">
        <f t="shared" si="195"/>
        <v>0</v>
      </c>
      <c r="BL144" s="56">
        <f t="shared" si="195"/>
        <v>-5.6966623845690345E-4</v>
      </c>
      <c r="BM144" s="56">
        <f t="shared" si="195"/>
        <v>-2869.5394255520659</v>
      </c>
      <c r="BN144" s="56">
        <f t="shared" si="195"/>
        <v>0</v>
      </c>
      <c r="BO144" s="56">
        <f t="shared" si="195"/>
        <v>-65279</v>
      </c>
      <c r="BP144" s="10"/>
      <c r="BQ144" s="10"/>
      <c r="BR144" s="10"/>
      <c r="BS144" s="10"/>
      <c r="BT144" s="10"/>
      <c r="BU144" s="10"/>
      <c r="BV144" s="62"/>
      <c r="BW144" s="10"/>
      <c r="BX144" s="10"/>
      <c r="BY144" s="10"/>
      <c r="BZ144" s="62"/>
      <c r="CA144" s="61"/>
      <c r="CB144" s="61"/>
      <c r="CC144" s="61"/>
      <c r="CD144" s="61"/>
      <c r="CE144" s="61"/>
      <c r="CF144" s="117"/>
    </row>
    <row r="145" spans="4:83" x14ac:dyDescent="0.3">
      <c r="N145" s="59"/>
      <c r="Z145" s="56"/>
      <c r="AB145" s="59"/>
      <c r="AD145" s="274"/>
      <c r="AZ145" s="59"/>
      <c r="BF145" s="59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61"/>
      <c r="CB145" s="117"/>
      <c r="CC145" s="117"/>
      <c r="CD145" s="117"/>
      <c r="CE145" s="117"/>
    </row>
    <row r="146" spans="4:83" x14ac:dyDescent="0.3">
      <c r="D146" s="56"/>
      <c r="H146" s="1"/>
      <c r="J146" t="s">
        <v>159</v>
      </c>
      <c r="N146" s="59"/>
      <c r="V146" s="56"/>
      <c r="Z146" s="55"/>
      <c r="AZ146" s="59"/>
      <c r="BB146" s="56"/>
      <c r="BD146" s="59"/>
      <c r="BI146" s="61"/>
      <c r="BJ146" s="62">
        <f>+BJ144/BJ82</f>
        <v>-1.5117980601551041E-2</v>
      </c>
      <c r="BK146" s="61"/>
      <c r="BL146" s="61"/>
      <c r="BM146" s="61"/>
      <c r="BN146" s="61"/>
      <c r="BO146" s="61"/>
      <c r="BP146" s="61"/>
      <c r="BQ146" s="61"/>
      <c r="BR146" s="10"/>
      <c r="BS146" s="10"/>
    </row>
    <row r="147" spans="4:83" x14ac:dyDescent="0.3">
      <c r="H147" s="56"/>
      <c r="V147" s="56"/>
      <c r="Z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BG147" s="108"/>
      <c r="BH147" s="108"/>
      <c r="BI147" s="108"/>
      <c r="BJ147" s="108"/>
      <c r="BK147" s="108"/>
      <c r="BL147" s="108"/>
      <c r="BM147" s="108"/>
      <c r="BN147" s="108"/>
      <c r="BO147" s="108"/>
      <c r="BP147" s="108"/>
      <c r="BQ147" s="90"/>
      <c r="BR147" s="1"/>
      <c r="BS147" s="1"/>
    </row>
    <row r="148" spans="4:83" x14ac:dyDescent="0.3">
      <c r="D148" s="1"/>
      <c r="E148" s="123" t="s">
        <v>28</v>
      </c>
      <c r="F148" s="124"/>
      <c r="H148" s="124" t="s">
        <v>67</v>
      </c>
      <c r="I148" s="116"/>
      <c r="J148" s="116"/>
      <c r="K148" s="61"/>
      <c r="L148" s="10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BG148" s="108"/>
      <c r="BH148" s="108"/>
      <c r="BI148" s="108"/>
      <c r="BJ148" s="108"/>
      <c r="BK148" s="108"/>
      <c r="BL148" s="108"/>
      <c r="BM148" s="108"/>
      <c r="BN148" s="108"/>
      <c r="BO148" s="108"/>
      <c r="BP148" s="108"/>
      <c r="BQ148" s="90"/>
      <c r="BR148" s="1"/>
      <c r="BS148" s="1"/>
    </row>
    <row r="149" spans="4:83" x14ac:dyDescent="0.3">
      <c r="D149" s="1"/>
      <c r="E149" s="123" t="s">
        <v>40</v>
      </c>
      <c r="F149" s="124"/>
      <c r="H149" s="124" t="s">
        <v>42</v>
      </c>
      <c r="I149" s="10"/>
      <c r="J149" s="10"/>
      <c r="K149" s="61"/>
      <c r="L149" s="10"/>
      <c r="AC149" s="1"/>
      <c r="AD149" s="1"/>
      <c r="AE149" s="1"/>
      <c r="AF149" s="1"/>
      <c r="AG149" s="1"/>
      <c r="AH149" s="1"/>
      <c r="AI149" s="1"/>
      <c r="AJ149" s="1"/>
      <c r="AK149" s="1" t="s">
        <v>17</v>
      </c>
      <c r="AL149" s="1"/>
      <c r="AM149" s="1"/>
      <c r="AN149" s="1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90"/>
      <c r="BR149" s="1"/>
      <c r="BS149" s="1"/>
    </row>
    <row r="150" spans="4:83" x14ac:dyDescent="0.3">
      <c r="D150" s="1"/>
      <c r="E150" s="123" t="s">
        <v>47</v>
      </c>
      <c r="F150" s="124"/>
      <c r="H150" s="124" t="s">
        <v>57</v>
      </c>
      <c r="I150" s="10"/>
      <c r="J150" s="10"/>
      <c r="K150" s="61"/>
      <c r="L150" s="10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90"/>
      <c r="BR150" s="1"/>
      <c r="BS150" s="1"/>
    </row>
    <row r="151" spans="4:83" x14ac:dyDescent="0.3">
      <c r="D151" s="1"/>
      <c r="E151" s="123" t="s">
        <v>68</v>
      </c>
      <c r="F151" s="61"/>
      <c r="H151" s="93" t="s">
        <v>149</v>
      </c>
      <c r="I151" s="61"/>
      <c r="J151" s="61"/>
      <c r="K151" s="61"/>
      <c r="L151" s="6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BG151" s="109"/>
      <c r="BH151" s="109"/>
      <c r="BI151" s="109"/>
      <c r="BJ151" s="109"/>
      <c r="BK151" s="109"/>
      <c r="BL151" s="109"/>
      <c r="BM151" s="109"/>
      <c r="BN151" s="109"/>
      <c r="BO151" s="109"/>
      <c r="BP151" s="109"/>
      <c r="BQ151" s="90"/>
      <c r="BR151" s="1"/>
      <c r="BS151" s="1"/>
    </row>
    <row r="152" spans="4:83" x14ac:dyDescent="0.3">
      <c r="E152" s="123" t="s">
        <v>150</v>
      </c>
      <c r="H152" s="93" t="s">
        <v>151</v>
      </c>
      <c r="AC152" s="1"/>
      <c r="AD152" s="1"/>
      <c r="AE152" s="1"/>
      <c r="AF152" s="1"/>
      <c r="AG152" s="1"/>
      <c r="AH152" s="1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1"/>
      <c r="BS152" s="1"/>
    </row>
    <row r="153" spans="4:83" x14ac:dyDescent="0.3">
      <c r="AC153" s="1"/>
      <c r="AD153" s="1"/>
      <c r="AE153" s="1"/>
      <c r="AF153" s="1"/>
      <c r="AG153" s="1"/>
      <c r="AH153" s="1"/>
    </row>
    <row r="154" spans="4:83" ht="15" thickBot="1" x14ac:dyDescent="0.35">
      <c r="D154" s="56"/>
      <c r="AC154" s="1"/>
      <c r="AD154" s="1"/>
      <c r="AE154" s="1"/>
      <c r="AF154" s="1"/>
      <c r="AG154" s="1"/>
      <c r="AH154" s="530"/>
      <c r="AI154" s="531"/>
      <c r="AJ154" s="531"/>
      <c r="AK154" s="531"/>
      <c r="AL154" s="531"/>
      <c r="AM154" s="531"/>
      <c r="AN154" s="531"/>
      <c r="AO154" s="531"/>
      <c r="AP154" s="531"/>
      <c r="AQ154" s="531"/>
      <c r="AR154" s="531"/>
      <c r="AS154" s="531"/>
      <c r="AT154" s="531"/>
      <c r="AU154" s="531"/>
      <c r="AV154" s="531"/>
      <c r="AW154" s="531"/>
      <c r="AY154" s="118"/>
      <c r="AZ154" s="118"/>
      <c r="BA154" s="118"/>
      <c r="BB154" s="118"/>
    </row>
    <row r="155" spans="4:83" x14ac:dyDescent="0.3">
      <c r="D155" s="1">
        <v>4900</v>
      </c>
      <c r="J155" s="532">
        <f>+BQ125</f>
        <v>7.4075240343216359E-2</v>
      </c>
      <c r="U155" s="118"/>
      <c r="Z155" s="56"/>
      <c r="AC155" s="1"/>
      <c r="AD155" s="1"/>
      <c r="AE155" s="1"/>
      <c r="AF155" s="1"/>
      <c r="AG155" s="1"/>
      <c r="AH155" s="530"/>
      <c r="AI155" s="508"/>
      <c r="AJ155" s="509"/>
      <c r="AK155" s="509"/>
      <c r="AL155" s="509"/>
      <c r="AM155" s="509"/>
      <c r="AN155" s="509"/>
      <c r="AO155" s="509"/>
      <c r="AP155" s="509"/>
      <c r="AQ155" s="509"/>
      <c r="AR155" s="509"/>
      <c r="AS155" s="509"/>
      <c r="AT155" s="509"/>
      <c r="AU155" s="509"/>
      <c r="AV155" s="510"/>
      <c r="AW155" s="531"/>
      <c r="AY155" s="118"/>
      <c r="AZ155" s="118"/>
      <c r="BA155" s="118"/>
      <c r="BB155" s="118"/>
    </row>
    <row r="156" spans="4:83" x14ac:dyDescent="0.3">
      <c r="D156" s="1">
        <v>1000000</v>
      </c>
      <c r="J156" s="233">
        <f>+AB125</f>
        <v>3.9732052146827561E-2</v>
      </c>
      <c r="AC156" s="1"/>
      <c r="AD156" s="1"/>
      <c r="AE156" s="1"/>
      <c r="AF156" s="1"/>
      <c r="AG156" s="1"/>
      <c r="AH156" s="530"/>
      <c r="AI156" s="511"/>
      <c r="AJ156" s="567" t="s">
        <v>157</v>
      </c>
      <c r="AK156" s="567"/>
      <c r="AL156" s="567"/>
      <c r="AM156" s="567"/>
      <c r="AN156" s="567"/>
      <c r="AO156" s="567"/>
      <c r="AP156" s="567"/>
      <c r="AQ156" s="567"/>
      <c r="AR156" s="567"/>
      <c r="AS156" s="567"/>
      <c r="AT156" s="567"/>
      <c r="AU156" s="567"/>
      <c r="AV156" s="512"/>
      <c r="AW156" s="531"/>
      <c r="AY156" s="118"/>
      <c r="AZ156" s="118"/>
      <c r="BA156" s="118"/>
      <c r="BB156" s="118"/>
    </row>
    <row r="157" spans="4:83" ht="15.6" x14ac:dyDescent="0.3">
      <c r="J157" s="57">
        <f>+J155*J156</f>
        <v>2.9431613121054571E-3</v>
      </c>
      <c r="AC157" s="1"/>
      <c r="AD157" s="1"/>
      <c r="AE157" s="1"/>
      <c r="AF157" s="1"/>
      <c r="AG157" s="1"/>
      <c r="AH157" s="530"/>
      <c r="AI157" s="511"/>
      <c r="AJ157" s="567" t="s">
        <v>156</v>
      </c>
      <c r="AK157" s="567"/>
      <c r="AL157" s="567"/>
      <c r="AM157" s="567"/>
      <c r="AN157" s="517"/>
      <c r="AO157" s="518" t="s">
        <v>20</v>
      </c>
      <c r="AP157" s="517"/>
      <c r="AQ157" s="518" t="s">
        <v>4</v>
      </c>
      <c r="AR157" s="519"/>
      <c r="AS157" s="519"/>
      <c r="AT157" s="519"/>
      <c r="AU157" s="524" t="s">
        <v>10</v>
      </c>
      <c r="AV157" s="512"/>
      <c r="AW157" s="531"/>
      <c r="AY157" s="118"/>
      <c r="AZ157" s="118"/>
      <c r="BA157" s="118"/>
      <c r="BB157" s="118"/>
    </row>
    <row r="158" spans="4:83" x14ac:dyDescent="0.3">
      <c r="AC158" s="1"/>
      <c r="AD158" s="1"/>
      <c r="AE158" s="1"/>
      <c r="AF158" s="1"/>
      <c r="AG158" s="1"/>
      <c r="AH158" s="530"/>
      <c r="AI158" s="511"/>
      <c r="AJ158" s="568" t="s">
        <v>152</v>
      </c>
      <c r="AK158" s="568"/>
      <c r="AL158" s="568"/>
      <c r="AM158" s="568"/>
      <c r="AN158" s="517"/>
      <c r="AO158" s="520">
        <f>+AG50</f>
        <v>898992</v>
      </c>
      <c r="AP158" s="521"/>
      <c r="AQ158" s="520">
        <f>+AG51</f>
        <v>55687</v>
      </c>
      <c r="AR158" s="522"/>
      <c r="AS158" s="522"/>
      <c r="AT158" s="522"/>
      <c r="AU158" s="523">
        <f>+AQ158/AO158</f>
        <v>6.194382152455194E-2</v>
      </c>
      <c r="AV158" s="512"/>
      <c r="AW158" s="531"/>
      <c r="AY158" s="118"/>
      <c r="AZ158" s="118"/>
      <c r="BA158" s="118"/>
      <c r="BB158" s="118"/>
    </row>
    <row r="159" spans="4:83" x14ac:dyDescent="0.3">
      <c r="D159" s="278">
        <f>+D155/D156</f>
        <v>4.8999999999999998E-3</v>
      </c>
      <c r="AC159" s="1"/>
      <c r="AD159" s="1"/>
      <c r="AE159" s="1"/>
      <c r="AF159" s="1"/>
      <c r="AG159" s="1"/>
      <c r="AH159" s="530"/>
      <c r="AI159" s="511"/>
      <c r="AJ159" s="569" t="s">
        <v>153</v>
      </c>
      <c r="AK159" s="566"/>
      <c r="AL159" s="566"/>
      <c r="AM159" s="566"/>
      <c r="AN159" s="65"/>
      <c r="AO159" s="513">
        <f>+AF83</f>
        <v>742147</v>
      </c>
      <c r="AP159" s="65"/>
      <c r="AQ159" s="513">
        <f>+AF84</f>
        <v>42339</v>
      </c>
      <c r="AR159" s="65"/>
      <c r="AS159" s="65"/>
      <c r="AT159" s="65"/>
      <c r="AU159" s="157">
        <f>+AQ159/AO159</f>
        <v>5.7049344671608188E-2</v>
      </c>
      <c r="AV159" s="512"/>
      <c r="AW159" s="531"/>
      <c r="AY159" s="118"/>
      <c r="AZ159" s="118"/>
      <c r="BA159" s="118"/>
      <c r="BB159" s="118"/>
    </row>
    <row r="160" spans="4:83" x14ac:dyDescent="0.3">
      <c r="AC160" s="1"/>
      <c r="AD160" s="1"/>
      <c r="AE160" s="1"/>
      <c r="AF160" s="1"/>
      <c r="AG160" s="1"/>
      <c r="AH160" s="530"/>
      <c r="AI160" s="511"/>
      <c r="AJ160" s="566" t="s">
        <v>154</v>
      </c>
      <c r="AK160" s="566"/>
      <c r="AL160" s="566"/>
      <c r="AM160" s="566"/>
      <c r="AN160" s="65"/>
      <c r="AO160" s="513">
        <f>+AG113</f>
        <v>869627</v>
      </c>
      <c r="AP160" s="65"/>
      <c r="AQ160" s="513">
        <f>+AG114</f>
        <v>21252</v>
      </c>
      <c r="AR160" s="65"/>
      <c r="AS160" s="65"/>
      <c r="AT160" s="65"/>
      <c r="AU160" s="157">
        <f>+AQ160/AO160</f>
        <v>2.4438063675575852E-2</v>
      </c>
      <c r="AV160" s="512"/>
      <c r="AW160" s="531"/>
      <c r="AY160" s="118"/>
      <c r="AZ160" s="118"/>
      <c r="BA160" s="118"/>
      <c r="BB160" s="118"/>
    </row>
    <row r="161" spans="2:86" x14ac:dyDescent="0.3">
      <c r="D161" s="472">
        <v>32000</v>
      </c>
      <c r="AC161" s="1"/>
      <c r="AD161" s="1"/>
      <c r="AE161" s="1"/>
      <c r="AF161" s="1"/>
      <c r="AG161" s="1"/>
      <c r="AH161" s="530"/>
      <c r="AI161" s="511"/>
      <c r="AJ161" s="566" t="s">
        <v>158</v>
      </c>
      <c r="AK161" s="566"/>
      <c r="AL161" s="566"/>
      <c r="AM161" s="566"/>
      <c r="AN161" s="65"/>
      <c r="AO161" s="513">
        <f>+AG124</f>
        <v>1356158</v>
      </c>
      <c r="AP161" s="65"/>
      <c r="AQ161" s="513">
        <f>+AF125</f>
        <v>5268</v>
      </c>
      <c r="AR161" s="65"/>
      <c r="AS161" s="65"/>
      <c r="AT161" s="65"/>
      <c r="AU161" s="157">
        <f>+AQ161/AO161</f>
        <v>3.8845031331157581E-3</v>
      </c>
      <c r="AV161" s="512"/>
      <c r="AW161" s="531"/>
    </row>
    <row r="162" spans="2:86" x14ac:dyDescent="0.3">
      <c r="B162" s="471"/>
      <c r="D162" s="278">
        <f>+D161/D173</f>
        <v>9.6676737160120849E-5</v>
      </c>
      <c r="AC162" s="1"/>
      <c r="AD162" s="1"/>
      <c r="AE162" s="1"/>
      <c r="AF162" s="1"/>
      <c r="AG162" s="1"/>
      <c r="AH162" s="530"/>
      <c r="AI162" s="511"/>
      <c r="AJ162" s="566" t="s">
        <v>155</v>
      </c>
      <c r="AK162" s="566"/>
      <c r="AL162" s="566"/>
      <c r="AM162" s="566"/>
      <c r="AN162" s="65"/>
      <c r="AO162" s="513">
        <f>+Z127</f>
        <v>140182</v>
      </c>
      <c r="AP162" s="65"/>
      <c r="AQ162" s="513">
        <f>+Z126</f>
        <v>139181</v>
      </c>
      <c r="AR162" s="65"/>
      <c r="AS162" s="65"/>
      <c r="AT162" s="65"/>
      <c r="AU162" s="529">
        <f>+AQ162/AO162</f>
        <v>0.99285928293218817</v>
      </c>
      <c r="AV162" s="512"/>
      <c r="AW162" s="531"/>
    </row>
    <row r="163" spans="2:86" ht="15" thickBot="1" x14ac:dyDescent="0.35">
      <c r="B163" s="471"/>
      <c r="D163" s="278"/>
      <c r="AC163" s="1"/>
      <c r="AD163" s="1"/>
      <c r="AE163" s="1"/>
      <c r="AF163" s="1"/>
      <c r="AG163" s="1"/>
      <c r="AH163" s="530"/>
      <c r="AI163" s="511"/>
      <c r="AJ163" s="525"/>
      <c r="AK163" s="525"/>
      <c r="AL163" s="525"/>
      <c r="AM163" s="525"/>
      <c r="AN163" s="526"/>
      <c r="AO163" s="527"/>
      <c r="AP163" s="526"/>
      <c r="AQ163" s="527"/>
      <c r="AR163" s="526"/>
      <c r="AS163" s="526"/>
      <c r="AT163" s="526"/>
      <c r="AU163" s="528"/>
      <c r="AV163" s="512"/>
      <c r="AW163" s="531"/>
    </row>
    <row r="164" spans="2:86" x14ac:dyDescent="0.3">
      <c r="B164" s="471"/>
      <c r="D164" s="278"/>
      <c r="AC164" s="1"/>
      <c r="AD164" s="1"/>
      <c r="AE164" s="1"/>
      <c r="AF164" s="1"/>
      <c r="AG164" s="1"/>
      <c r="AH164" s="530"/>
      <c r="AI164" s="511"/>
      <c r="AJ164" s="566" t="s">
        <v>152</v>
      </c>
      <c r="AK164" s="566"/>
      <c r="AL164" s="566"/>
      <c r="AM164" s="566"/>
      <c r="AN164" s="65"/>
      <c r="AO164" s="513"/>
      <c r="AP164" s="65"/>
      <c r="AQ164" s="513">
        <f>+AQ158</f>
        <v>55687</v>
      </c>
      <c r="AR164" s="65"/>
      <c r="AS164" s="65"/>
      <c r="AT164" s="65"/>
      <c r="AU164" s="157"/>
      <c r="AV164" s="512"/>
      <c r="AW164" s="531"/>
    </row>
    <row r="165" spans="2:86" x14ac:dyDescent="0.3">
      <c r="B165" s="471"/>
      <c r="D165" s="278"/>
      <c r="AC165" s="1"/>
      <c r="AD165" s="1"/>
      <c r="AE165" s="1"/>
      <c r="AF165" s="1"/>
      <c r="AG165" s="1"/>
      <c r="AH165" s="530"/>
      <c r="AI165" s="511"/>
      <c r="AJ165" s="566" t="s">
        <v>158</v>
      </c>
      <c r="AK165" s="566"/>
      <c r="AL165" s="566"/>
      <c r="AM165" s="64"/>
      <c r="AN165" s="65"/>
      <c r="AO165" s="513"/>
      <c r="AP165" s="65"/>
      <c r="AQ165" s="513">
        <f>+AF125</f>
        <v>5268</v>
      </c>
      <c r="AR165" s="65"/>
      <c r="AS165" s="65"/>
      <c r="AT165" s="65"/>
      <c r="AU165" s="157"/>
      <c r="AV165" s="512"/>
      <c r="AW165" s="531"/>
    </row>
    <row r="166" spans="2:86" x14ac:dyDescent="0.3">
      <c r="B166" s="471"/>
      <c r="D166" s="278"/>
      <c r="AC166" s="1"/>
      <c r="AD166" s="1"/>
      <c r="AE166" s="1"/>
      <c r="AF166" s="1"/>
      <c r="AG166" s="1"/>
      <c r="AH166" s="530"/>
      <c r="AI166" s="511"/>
      <c r="AJ166" s="64"/>
      <c r="AK166" s="64" t="s">
        <v>73</v>
      </c>
      <c r="AL166" s="64"/>
      <c r="AM166" s="64"/>
      <c r="AN166" s="65"/>
      <c r="AO166" s="513"/>
      <c r="AP166" s="65"/>
      <c r="AQ166" s="513">
        <f>+AQ164-AQ165</f>
        <v>50419</v>
      </c>
      <c r="AR166" s="65"/>
      <c r="AS166" s="65"/>
      <c r="AT166" s="65"/>
      <c r="AU166" s="529">
        <f>+AQ166/AQ164</f>
        <v>0.9053998240163772</v>
      </c>
      <c r="AV166" s="512"/>
      <c r="AW166" s="531"/>
    </row>
    <row r="167" spans="2:86" ht="15" thickBot="1" x14ac:dyDescent="0.35">
      <c r="D167" s="471"/>
      <c r="AC167" s="1"/>
      <c r="AD167" s="1"/>
      <c r="AE167" s="1"/>
      <c r="AF167" s="1"/>
      <c r="AG167" s="1"/>
      <c r="AH167" s="530"/>
      <c r="AI167" s="514"/>
      <c r="AJ167" s="515"/>
      <c r="AK167" s="515"/>
      <c r="AL167" s="515"/>
      <c r="AM167" s="515"/>
      <c r="AN167" s="515"/>
      <c r="AO167" s="515"/>
      <c r="AP167" s="515"/>
      <c r="AQ167" s="515"/>
      <c r="AR167" s="515"/>
      <c r="AS167" s="515"/>
      <c r="AT167" s="515"/>
      <c r="AU167" s="515"/>
      <c r="AV167" s="516"/>
      <c r="AW167" s="531"/>
      <c r="BC167" s="90"/>
      <c r="BD167" s="90"/>
      <c r="BE167" s="90"/>
      <c r="BF167" s="90"/>
      <c r="BG167" s="90"/>
      <c r="BH167" s="90"/>
      <c r="BI167" s="90"/>
      <c r="BJ167" s="90"/>
      <c r="BK167" s="90"/>
      <c r="BL167" s="90"/>
      <c r="BM167" s="90"/>
      <c r="BN167" s="90"/>
      <c r="BO167" s="90"/>
      <c r="BP167" s="90"/>
      <c r="BQ167" s="90"/>
      <c r="BR167" s="1"/>
      <c r="BS167" s="1"/>
      <c r="BT167" s="1"/>
      <c r="BU167" s="1"/>
      <c r="BV167" s="90"/>
      <c r="BW167" s="90"/>
      <c r="BX167" s="90"/>
      <c r="BY167" s="90"/>
      <c r="BZ167" s="90"/>
      <c r="CA167" s="90"/>
      <c r="CB167" s="90"/>
      <c r="CC167" s="90"/>
      <c r="CD167" s="90"/>
      <c r="CE167" s="90"/>
      <c r="CF167" s="90"/>
      <c r="CG167" s="90"/>
      <c r="CH167" s="90"/>
    </row>
    <row r="168" spans="2:86" x14ac:dyDescent="0.3">
      <c r="AC168" s="10"/>
      <c r="AD168" s="10"/>
      <c r="AE168" s="10"/>
      <c r="AF168" s="10"/>
      <c r="AG168" s="10"/>
      <c r="AH168" s="530"/>
      <c r="AI168" s="531"/>
      <c r="AJ168" s="531"/>
      <c r="AK168" s="531"/>
      <c r="AL168" s="531"/>
      <c r="AM168" s="531"/>
      <c r="AN168" s="531"/>
      <c r="AO168" s="531"/>
      <c r="AP168" s="531"/>
      <c r="AQ168" s="531"/>
      <c r="AR168" s="531"/>
      <c r="AS168" s="531"/>
      <c r="AT168" s="531"/>
      <c r="AU168" s="531"/>
      <c r="AV168" s="531"/>
      <c r="AW168" s="53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89"/>
      <c r="BW168" s="89"/>
      <c r="BX168" s="89"/>
      <c r="BY168" s="89"/>
      <c r="BZ168" s="121"/>
      <c r="CA168" s="1"/>
      <c r="CB168" s="1"/>
      <c r="CC168" s="1"/>
      <c r="CD168" s="1"/>
      <c r="CE168" s="1"/>
      <c r="CF168" s="1"/>
      <c r="CG168" s="1"/>
      <c r="CH168" s="1"/>
    </row>
    <row r="169" spans="2:86" x14ac:dyDescent="0.3">
      <c r="D169">
        <v>10</v>
      </c>
      <c r="AC169" s="10"/>
      <c r="AD169" s="10"/>
      <c r="AE169" s="10"/>
      <c r="AF169" s="10"/>
      <c r="AG169" s="10"/>
      <c r="AH169" s="10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89"/>
      <c r="BW169" s="89"/>
      <c r="BX169" s="89"/>
      <c r="BY169" s="89"/>
      <c r="BZ169" s="89"/>
      <c r="CA169" s="1"/>
      <c r="CB169" s="1"/>
      <c r="CC169" s="1"/>
      <c r="CD169" s="1"/>
      <c r="CE169" s="1"/>
      <c r="CF169" s="1"/>
      <c r="CG169" s="1"/>
      <c r="CH169" s="1"/>
    </row>
    <row r="170" spans="2:86" x14ac:dyDescent="0.3">
      <c r="D170" s="1">
        <v>1000000</v>
      </c>
      <c r="AC170" s="10"/>
      <c r="AD170" s="10"/>
      <c r="AE170" s="10"/>
      <c r="AF170" s="10"/>
      <c r="AG170" s="10"/>
      <c r="AH170" s="10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89"/>
      <c r="BW170" s="89"/>
      <c r="BX170" s="89"/>
      <c r="BY170" s="89"/>
      <c r="BZ170" s="89"/>
      <c r="CA170" s="1"/>
      <c r="CB170" s="1"/>
      <c r="CC170" s="1"/>
      <c r="CD170" s="1"/>
      <c r="CE170" s="1"/>
      <c r="CF170" s="1"/>
    </row>
    <row r="171" spans="2:86" x14ac:dyDescent="0.3">
      <c r="D171" s="57">
        <f>+D169/D170</f>
        <v>1.0000000000000001E-5</v>
      </c>
      <c r="AC171" s="10"/>
      <c r="AD171" s="10"/>
      <c r="AE171" s="10"/>
      <c r="AF171" s="10"/>
      <c r="AG171" s="10"/>
      <c r="AH171" s="10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89"/>
      <c r="BW171" s="89"/>
      <c r="BX171" s="89"/>
      <c r="BY171" s="89"/>
      <c r="BZ171" s="89"/>
      <c r="CA171" s="1"/>
      <c r="CB171" s="1"/>
      <c r="CC171" s="1"/>
      <c r="CD171" s="1"/>
      <c r="CE171" s="1"/>
      <c r="CF171" s="1"/>
    </row>
    <row r="172" spans="2:86" x14ac:dyDescent="0.3">
      <c r="AC172" s="10"/>
      <c r="AD172" s="10"/>
      <c r="AE172" s="10"/>
      <c r="AF172" s="10"/>
      <c r="AG172" s="10"/>
      <c r="AH172" s="10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89"/>
      <c r="BW172" s="89"/>
      <c r="BX172" s="122"/>
      <c r="BY172" s="89"/>
      <c r="BZ172" s="89"/>
    </row>
    <row r="173" spans="2:86" x14ac:dyDescent="0.3">
      <c r="D173" s="1">
        <v>331000000</v>
      </c>
      <c r="AC173" s="10"/>
      <c r="AD173" s="10"/>
      <c r="AE173" s="10"/>
      <c r="AF173" s="10"/>
      <c r="AG173" s="10"/>
      <c r="AH173" s="10"/>
      <c r="AI173" s="90"/>
      <c r="AJ173" s="90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5"/>
      <c r="AW173" s="155"/>
      <c r="AX173" s="155"/>
      <c r="AY173" s="155"/>
      <c r="AZ173" s="155"/>
      <c r="BA173" s="90"/>
      <c r="BB173" s="90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89"/>
      <c r="BW173" s="89"/>
      <c r="BX173" s="89"/>
      <c r="BY173" s="89"/>
      <c r="BZ173" s="89"/>
    </row>
    <row r="174" spans="2:86" x14ac:dyDescent="0.3">
      <c r="AC174" s="10"/>
      <c r="AD174" s="10"/>
      <c r="AE174" s="10"/>
      <c r="AF174" s="10"/>
      <c r="AG174" s="10"/>
      <c r="AH174" s="10"/>
      <c r="AI174" s="90"/>
      <c r="AJ174" s="90"/>
      <c r="AK174" s="151"/>
      <c r="AL174" s="151"/>
      <c r="AM174" s="151"/>
      <c r="AN174" s="151"/>
      <c r="AO174" s="151"/>
      <c r="AP174" s="151"/>
      <c r="AQ174" s="151"/>
      <c r="AR174" s="90"/>
      <c r="AS174" s="90"/>
      <c r="AT174" s="90"/>
      <c r="AU174" s="110"/>
      <c r="AV174" s="110"/>
      <c r="AW174" s="110"/>
      <c r="AX174" s="110"/>
      <c r="AY174" s="90"/>
      <c r="AZ174" s="90"/>
      <c r="BA174" s="110"/>
      <c r="BB174" s="90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89"/>
      <c r="BW174" s="89"/>
      <c r="BX174" s="89"/>
      <c r="BY174" s="89"/>
      <c r="BZ174" s="89"/>
    </row>
    <row r="175" spans="2:86" x14ac:dyDescent="0.3">
      <c r="D175" s="469">
        <v>7.1999999999999995E-2</v>
      </c>
      <c r="AC175" s="10"/>
      <c r="AD175" s="10"/>
      <c r="AE175" s="10"/>
      <c r="AF175" s="10"/>
      <c r="AG175" s="10"/>
      <c r="AH175" s="10"/>
      <c r="AI175" s="90"/>
      <c r="AJ175" s="90"/>
      <c r="AK175" s="151"/>
      <c r="AL175" s="151"/>
      <c r="AM175" s="151"/>
      <c r="AN175" s="151"/>
      <c r="AO175" s="151"/>
      <c r="AP175" s="151"/>
      <c r="AQ175" s="151"/>
      <c r="AR175" s="151"/>
      <c r="AS175" s="110"/>
      <c r="AT175" s="90"/>
      <c r="AU175" s="110"/>
      <c r="AV175" s="110"/>
      <c r="AW175" s="110"/>
      <c r="AX175" s="110"/>
      <c r="AY175" s="90"/>
      <c r="AZ175" s="90"/>
      <c r="BA175" s="110"/>
      <c r="BB175" s="90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89"/>
      <c r="BW175" s="89"/>
      <c r="BX175" s="89"/>
      <c r="BY175" s="89"/>
      <c r="BZ175" s="89"/>
    </row>
    <row r="176" spans="2:86" x14ac:dyDescent="0.3">
      <c r="AC176" s="10"/>
      <c r="AD176" s="10"/>
      <c r="AE176" s="10"/>
      <c r="AF176" s="10"/>
      <c r="AG176" s="10"/>
      <c r="AH176" s="10"/>
      <c r="AI176" s="90"/>
      <c r="AJ176" s="90"/>
      <c r="AK176" s="90"/>
      <c r="AL176" s="90"/>
      <c r="AM176" s="152"/>
      <c r="AN176" s="152"/>
      <c r="AO176" s="152"/>
      <c r="AP176" s="152"/>
      <c r="AQ176" s="152"/>
      <c r="AR176" s="90"/>
      <c r="AS176" s="90"/>
      <c r="AT176" s="90"/>
      <c r="AU176" s="110"/>
      <c r="AV176" s="110"/>
      <c r="AW176" s="110"/>
      <c r="AX176" s="110"/>
      <c r="AY176" s="90"/>
      <c r="AZ176" s="90"/>
      <c r="BA176" s="110"/>
      <c r="BB176" s="90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89"/>
      <c r="BW176" s="89"/>
      <c r="BX176" s="89"/>
      <c r="BY176" s="89"/>
      <c r="BZ176" s="89"/>
    </row>
    <row r="177" spans="2:78" x14ac:dyDescent="0.3">
      <c r="D177" s="278">
        <v>4.2000000000000003E-2</v>
      </c>
      <c r="AC177" s="10"/>
      <c r="AD177" s="10"/>
      <c r="AE177" s="10"/>
      <c r="AF177" s="10"/>
      <c r="AG177" s="10"/>
      <c r="AH177" s="10"/>
      <c r="AI177" s="90"/>
      <c r="AJ177" s="90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10"/>
      <c r="AV177" s="110"/>
      <c r="AW177" s="110"/>
      <c r="AX177" s="110"/>
      <c r="AY177" s="90"/>
      <c r="AZ177" s="90"/>
      <c r="BA177" s="110"/>
      <c r="BB177" s="90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</row>
    <row r="178" spans="2:78" x14ac:dyDescent="0.3">
      <c r="D178" s="1">
        <f>+D173*D175*D177</f>
        <v>1000944.0000000001</v>
      </c>
      <c r="AC178" s="10"/>
      <c r="AD178" s="10"/>
      <c r="AE178" s="10"/>
      <c r="AF178" s="10"/>
      <c r="AG178" s="10"/>
      <c r="AH178" s="10"/>
      <c r="AI178" s="90"/>
      <c r="AJ178" s="90"/>
      <c r="AK178" s="90"/>
      <c r="AL178" s="90"/>
      <c r="AM178" s="152"/>
      <c r="AN178" s="152"/>
      <c r="AO178" s="152"/>
      <c r="AP178" s="152"/>
      <c r="AQ178" s="152"/>
      <c r="AR178" s="152"/>
      <c r="AS178" s="152"/>
      <c r="AT178" s="90"/>
      <c r="AU178" s="110"/>
      <c r="AV178" s="110"/>
      <c r="AW178" s="110"/>
      <c r="AX178" s="110"/>
      <c r="AY178" s="90"/>
      <c r="AZ178" s="90"/>
      <c r="BA178" s="110"/>
      <c r="BB178" s="90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</row>
    <row r="179" spans="2:78" x14ac:dyDescent="0.3">
      <c r="AC179" s="10"/>
      <c r="AD179" s="10"/>
      <c r="AE179" s="10"/>
      <c r="AF179" s="10"/>
      <c r="AG179" s="10"/>
      <c r="AH179" s="10"/>
      <c r="AI179" s="90"/>
      <c r="AJ179" s="90"/>
      <c r="AK179" s="90"/>
      <c r="AL179" s="90"/>
      <c r="AM179" s="152"/>
      <c r="AN179" s="152"/>
      <c r="AO179" s="152"/>
      <c r="AP179" s="152"/>
      <c r="AQ179" s="152"/>
      <c r="AR179" s="152"/>
      <c r="AS179" s="152"/>
      <c r="AT179" s="90"/>
      <c r="AU179" s="110"/>
      <c r="AV179" s="110"/>
      <c r="AW179" s="110"/>
      <c r="AX179" s="110"/>
      <c r="AY179" s="90"/>
      <c r="AZ179" s="90"/>
      <c r="BA179" s="110"/>
      <c r="BB179" s="90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</row>
    <row r="180" spans="2:78" x14ac:dyDescent="0.3">
      <c r="AC180" s="10"/>
      <c r="AD180" s="10"/>
      <c r="AE180" s="10"/>
      <c r="AF180" s="10"/>
      <c r="AG180" s="10"/>
      <c r="AH180" s="10"/>
      <c r="AI180" s="90"/>
      <c r="AJ180" s="90"/>
      <c r="AK180" s="90"/>
      <c r="AL180" s="90"/>
      <c r="AM180" s="152"/>
      <c r="AN180" s="152"/>
      <c r="AO180" s="152"/>
      <c r="AP180" s="152"/>
      <c r="AQ180" s="152"/>
      <c r="AR180" s="152"/>
      <c r="AS180" s="152"/>
      <c r="AT180" s="90"/>
      <c r="AU180" s="110"/>
      <c r="AV180" s="110"/>
      <c r="AW180" s="110"/>
      <c r="AX180" s="110"/>
      <c r="AY180" s="90"/>
      <c r="AZ180" s="90"/>
      <c r="BA180" s="110"/>
      <c r="BB180" s="90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</row>
    <row r="181" spans="2:78" x14ac:dyDescent="0.3">
      <c r="AC181" s="10"/>
      <c r="AD181" s="10"/>
      <c r="AE181" s="10"/>
      <c r="AF181" s="10"/>
      <c r="AG181" s="10"/>
      <c r="AH181" s="10"/>
      <c r="AI181" s="90"/>
      <c r="AJ181" s="90"/>
      <c r="AK181" s="90"/>
      <c r="AL181" s="90"/>
      <c r="AM181" s="152"/>
      <c r="AN181" s="152"/>
      <c r="AO181" s="152"/>
      <c r="AP181" s="152"/>
      <c r="AQ181" s="152"/>
      <c r="AR181" s="152"/>
      <c r="AS181" s="152"/>
      <c r="AT181" s="90"/>
      <c r="AU181" s="110"/>
      <c r="AV181" s="110"/>
      <c r="AW181" s="110"/>
      <c r="AX181" s="110"/>
      <c r="AY181" s="90"/>
      <c r="AZ181" s="90"/>
      <c r="BA181" s="110"/>
      <c r="BB181" s="90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</row>
    <row r="182" spans="2:78" x14ac:dyDescent="0.3">
      <c r="AC182" s="10"/>
      <c r="AD182" s="10"/>
      <c r="AE182" s="10"/>
      <c r="AF182" s="10"/>
      <c r="AG182" s="10"/>
      <c r="AH182" s="10"/>
      <c r="AI182" s="90"/>
      <c r="AJ182" s="90"/>
      <c r="AK182" s="90"/>
      <c r="AL182" s="90"/>
      <c r="AM182" s="152"/>
      <c r="AN182" s="152"/>
      <c r="AO182" s="152"/>
      <c r="AP182" s="152"/>
      <c r="AQ182" s="152"/>
      <c r="AR182" s="152"/>
      <c r="AS182" s="152"/>
      <c r="AT182" s="90"/>
      <c r="AU182" s="110"/>
      <c r="AV182" s="110"/>
      <c r="AW182" s="110"/>
      <c r="AX182" s="110"/>
      <c r="AY182" s="90"/>
      <c r="AZ182" s="90"/>
      <c r="BA182" s="110"/>
      <c r="BB182" s="90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</row>
    <row r="183" spans="2:78" x14ac:dyDescent="0.3">
      <c r="AC183" s="10"/>
      <c r="AD183" s="10"/>
      <c r="AE183" s="10"/>
      <c r="AF183" s="10"/>
      <c r="AG183" s="10"/>
      <c r="AH183" s="10"/>
      <c r="AI183" s="90"/>
      <c r="AJ183" s="90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90"/>
      <c r="AV183" s="90"/>
      <c r="AW183" s="90"/>
      <c r="AX183" s="90"/>
      <c r="AY183" s="90"/>
      <c r="AZ183" s="110"/>
      <c r="BA183" s="110"/>
      <c r="BB183" s="90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</row>
    <row r="184" spans="2:78" x14ac:dyDescent="0.3">
      <c r="AC184" s="10"/>
      <c r="AD184" s="10"/>
      <c r="AE184" s="10"/>
      <c r="AF184" s="10"/>
      <c r="AG184" s="10"/>
      <c r="AH184" s="10"/>
      <c r="AI184" s="90"/>
      <c r="AJ184" s="90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90"/>
      <c r="AZ184" s="90"/>
      <c r="BA184" s="110"/>
      <c r="BB184" s="90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</row>
    <row r="185" spans="2:78" x14ac:dyDescent="0.3"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90"/>
      <c r="AT185" s="110"/>
      <c r="AU185" s="153"/>
      <c r="AV185" s="153"/>
      <c r="AW185" s="153"/>
      <c r="AX185" s="153"/>
      <c r="AY185" s="110"/>
      <c r="AZ185" s="110"/>
      <c r="BA185" s="110"/>
      <c r="BB185" s="110"/>
    </row>
    <row r="186" spans="2:78" x14ac:dyDescent="0.3">
      <c r="B186" s="125"/>
      <c r="D186" s="55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90"/>
      <c r="AV186" s="90"/>
      <c r="AW186" s="90"/>
      <c r="AX186" s="90"/>
      <c r="AY186" s="110"/>
      <c r="AZ186" s="154"/>
      <c r="BA186" s="110"/>
      <c r="BB186" s="110"/>
    </row>
    <row r="187" spans="2:78" x14ac:dyDescent="0.3">
      <c r="B187" s="1"/>
      <c r="D187" s="55"/>
      <c r="W187" s="61"/>
      <c r="X187" s="61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10"/>
      <c r="AZ187" s="110"/>
      <c r="BA187" s="110"/>
      <c r="BB187" s="110"/>
    </row>
    <row r="188" spans="2:78" x14ac:dyDescent="0.3">
      <c r="B188" s="1"/>
      <c r="D188" s="55"/>
      <c r="W188" s="61"/>
      <c r="X188" s="61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  <c r="AP188" s="110"/>
      <c r="AQ188" s="110"/>
      <c r="AR188" s="110"/>
      <c r="AS188" s="110"/>
      <c r="AT188" s="110"/>
      <c r="AU188" s="110"/>
      <c r="AV188" s="110"/>
      <c r="AW188" s="110"/>
      <c r="AX188" s="110"/>
      <c r="AY188" s="110"/>
      <c r="AZ188" s="110"/>
      <c r="BA188" s="110"/>
      <c r="BB188" s="110"/>
    </row>
    <row r="189" spans="2:78" x14ac:dyDescent="0.3">
      <c r="B189" s="1"/>
      <c r="D189" s="55"/>
      <c r="W189" s="61"/>
      <c r="X189" s="61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  <c r="AN189" s="110"/>
      <c r="AO189" s="110"/>
      <c r="AP189" s="110"/>
      <c r="AQ189" s="110"/>
    </row>
    <row r="190" spans="2:78" x14ac:dyDescent="0.3">
      <c r="B190" s="1"/>
      <c r="D190" s="55"/>
      <c r="W190" s="61"/>
      <c r="X190" s="61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  <c r="AN190" s="110"/>
      <c r="AO190" s="110"/>
      <c r="AP190" s="110"/>
      <c r="AQ190" s="110"/>
    </row>
    <row r="191" spans="2:78" x14ac:dyDescent="0.3">
      <c r="B191" s="55"/>
      <c r="D191" s="55"/>
      <c r="W191" s="61"/>
      <c r="X191" s="61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110"/>
      <c r="AP191" s="110"/>
      <c r="AQ191" s="110"/>
    </row>
    <row r="192" spans="2:78" x14ac:dyDescent="0.3">
      <c r="B192" s="57"/>
      <c r="D192" s="55"/>
      <c r="W192" s="61"/>
      <c r="X192" s="61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0"/>
      <c r="AP192" s="110"/>
      <c r="AQ192" s="110"/>
    </row>
    <row r="193" spans="2:43" x14ac:dyDescent="0.3">
      <c r="B193" s="1"/>
      <c r="D193" s="55"/>
      <c r="W193" s="61"/>
      <c r="X193" s="61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</row>
    <row r="194" spans="2:43" x14ac:dyDescent="0.3">
      <c r="B194" s="1"/>
      <c r="D194" s="55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</row>
    <row r="195" spans="2:43" x14ac:dyDescent="0.3">
      <c r="B195" s="1"/>
      <c r="D195" s="55"/>
    </row>
    <row r="196" spans="2:43" x14ac:dyDescent="0.3">
      <c r="B196" s="1"/>
      <c r="D196" s="55"/>
    </row>
    <row r="197" spans="2:43" x14ac:dyDescent="0.3">
      <c r="B197" s="57" t="e">
        <f>+B196/B195</f>
        <v>#DIV/0!</v>
      </c>
      <c r="D197" s="55"/>
    </row>
    <row r="198" spans="2:43" x14ac:dyDescent="0.3">
      <c r="B198" s="1"/>
      <c r="D198" s="55"/>
    </row>
    <row r="199" spans="2:43" x14ac:dyDescent="0.3">
      <c r="B199" s="1"/>
      <c r="D199" s="55"/>
    </row>
    <row r="200" spans="2:43" x14ac:dyDescent="0.3">
      <c r="B200" s="1">
        <f>+B196*50</f>
        <v>0</v>
      </c>
      <c r="D200" s="55"/>
    </row>
    <row r="201" spans="2:43" x14ac:dyDescent="0.3">
      <c r="B201" s="1"/>
      <c r="D201" s="55"/>
    </row>
    <row r="202" spans="2:43" x14ac:dyDescent="0.3">
      <c r="B202" s="1"/>
      <c r="D202" s="55"/>
    </row>
    <row r="203" spans="2:43" x14ac:dyDescent="0.3">
      <c r="B203" s="1"/>
      <c r="D203" s="55"/>
    </row>
    <row r="204" spans="2:43" x14ac:dyDescent="0.3">
      <c r="B204" s="1"/>
      <c r="D204" s="55"/>
    </row>
    <row r="205" spans="2:43" x14ac:dyDescent="0.3">
      <c r="B205" s="1"/>
      <c r="D205" s="55"/>
    </row>
    <row r="206" spans="2:43" x14ac:dyDescent="0.3">
      <c r="B206" s="1"/>
      <c r="D206" s="55"/>
    </row>
    <row r="207" spans="2:43" x14ac:dyDescent="0.3">
      <c r="B207" s="1"/>
      <c r="D207" s="55"/>
    </row>
    <row r="208" spans="2:43" x14ac:dyDescent="0.3">
      <c r="B208" s="1"/>
      <c r="D208" s="55"/>
    </row>
    <row r="209" spans="2:4" x14ac:dyDescent="0.3">
      <c r="B209" s="1"/>
      <c r="D209" s="55"/>
    </row>
    <row r="210" spans="2:4" x14ac:dyDescent="0.3">
      <c r="B210" s="1"/>
    </row>
    <row r="211" spans="2:4" x14ac:dyDescent="0.3">
      <c r="B211" s="1"/>
    </row>
    <row r="212" spans="2:4" x14ac:dyDescent="0.3">
      <c r="B212" s="1"/>
    </row>
    <row r="213" spans="2:4" x14ac:dyDescent="0.3">
      <c r="B213" s="1"/>
    </row>
    <row r="214" spans="2:4" x14ac:dyDescent="0.3">
      <c r="B214" s="1"/>
    </row>
    <row r="215" spans="2:4" x14ac:dyDescent="0.3">
      <c r="B215" s="1"/>
    </row>
    <row r="216" spans="2:4" x14ac:dyDescent="0.3">
      <c r="B216" s="1"/>
    </row>
    <row r="217" spans="2:4" x14ac:dyDescent="0.3">
      <c r="B217" s="1"/>
    </row>
  </sheetData>
  <mergeCells count="28">
    <mergeCell ref="AJ164:AM164"/>
    <mergeCell ref="AJ165:AL165"/>
    <mergeCell ref="AJ162:AM162"/>
    <mergeCell ref="AJ157:AM157"/>
    <mergeCell ref="AJ156:AU156"/>
    <mergeCell ref="AJ158:AM158"/>
    <mergeCell ref="AJ159:AM159"/>
    <mergeCell ref="AJ160:AM160"/>
    <mergeCell ref="AJ161:AM161"/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50"/>
  <sheetViews>
    <sheetView topLeftCell="A22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70" t="s">
        <v>7</v>
      </c>
      <c r="F7" s="571"/>
      <c r="G7" s="575">
        <v>0.7</v>
      </c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6"/>
    </row>
    <row r="8" spans="3:40" x14ac:dyDescent="0.3">
      <c r="E8" s="572" t="s">
        <v>123</v>
      </c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4"/>
    </row>
    <row r="9" spans="3:40" x14ac:dyDescent="0.3">
      <c r="E9" s="590" t="s">
        <v>37</v>
      </c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2"/>
      <c r="Q9" s="588" t="s">
        <v>116</v>
      </c>
      <c r="R9" s="5"/>
      <c r="S9" s="585" t="s">
        <v>4</v>
      </c>
      <c r="T9" s="586"/>
      <c r="U9" s="587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89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82" t="s">
        <v>48</v>
      </c>
      <c r="AE14" s="583"/>
      <c r="AF14" s="584"/>
      <c r="AG14" s="207"/>
      <c r="AH14" s="580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81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+K138</f>
        <v>629026</v>
      </c>
      <c r="AG16" s="201"/>
      <c r="AH16" s="215">
        <f>+AJ31</f>
        <v>1951.0076801874595</v>
      </c>
      <c r="AI16" s="215"/>
      <c r="AJ16" s="216">
        <f>+S138</f>
        <v>52500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113534</v>
      </c>
      <c r="AG17" s="202"/>
      <c r="AH17" s="163">
        <v>1647</v>
      </c>
      <c r="AI17" s="215"/>
      <c r="AJ17" s="162">
        <v>8431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105384</v>
      </c>
      <c r="AG18" s="202"/>
      <c r="AH18" s="163">
        <v>823</v>
      </c>
      <c r="AI18" s="215"/>
      <c r="AJ18" s="162">
        <v>7022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847944</v>
      </c>
      <c r="AG19" s="202"/>
      <c r="AH19" s="202"/>
      <c r="AI19" s="202"/>
      <c r="AJ19" s="220">
        <f>SUM(AJ16:AJ18)</f>
        <v>67953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Table'!H143</f>
        <v>0.21777108897871969</v>
      </c>
      <c r="AG21" s="202"/>
      <c r="AH21" s="202"/>
      <c r="AI21" s="202"/>
      <c r="AJ21" s="222">
        <f>+AJ19/'Main Table'!Z143</f>
        <v>0.47414803650674037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82" t="s">
        <v>133</v>
      </c>
      <c r="AB25" s="583"/>
      <c r="AC25" s="583"/>
      <c r="AD25" s="583"/>
      <c r="AE25" s="583"/>
      <c r="AF25" s="583"/>
      <c r="AG25" s="583"/>
      <c r="AH25" s="583"/>
      <c r="AI25" s="583"/>
      <c r="AJ25" s="583"/>
      <c r="AK25" s="584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+E138</f>
        <v>404775</v>
      </c>
      <c r="AE27" s="169"/>
      <c r="AF27" s="200">
        <v>2091</v>
      </c>
      <c r="AG27" s="169"/>
      <c r="AH27" s="191">
        <f>+AD27/AD$31</f>
        <v>0.54510746606334837</v>
      </c>
      <c r="AI27" s="191"/>
      <c r="AJ27" s="169">
        <f>+AF27*AH27</f>
        <v>1139.8197115384614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+G138</f>
        <v>176501</v>
      </c>
      <c r="AE28" s="169"/>
      <c r="AF28" s="200">
        <v>1990</v>
      </c>
      <c r="AG28" s="169"/>
      <c r="AH28" s="191">
        <f>+AD28/AD$31</f>
        <v>0.23769257703081231</v>
      </c>
      <c r="AI28" s="191"/>
      <c r="AJ28" s="169">
        <f>+AF28*AH28</f>
        <v>473.00822829131653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+I138</f>
        <v>47750</v>
      </c>
      <c r="AE29" s="169"/>
      <c r="AF29" s="200">
        <v>1343</v>
      </c>
      <c r="AG29" s="169"/>
      <c r="AH29" s="191">
        <f>+AD29/AD$31</f>
        <v>6.4304567981038563E-2</v>
      </c>
      <c r="AI29" s="191"/>
      <c r="AJ29" s="169">
        <f>+AF29*AH29</f>
        <v>86.361034798534789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113534</v>
      </c>
      <c r="AE30" s="281"/>
      <c r="AF30" s="169">
        <f>+AH17</f>
        <v>1647</v>
      </c>
      <c r="AG30" s="281"/>
      <c r="AH30" s="191">
        <f>+AD30/AD$31</f>
        <v>0.1528953889248007</v>
      </c>
      <c r="AI30" s="281"/>
      <c r="AJ30" s="169">
        <f>+AF30*AH30</f>
        <v>251.81870555914676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742560</v>
      </c>
      <c r="AE31" s="169"/>
      <c r="AF31" s="169"/>
      <c r="AG31" s="169"/>
      <c r="AH31" s="194">
        <f>SUM(AH27:AH30)</f>
        <v>0.99999999999999989</v>
      </c>
      <c r="AI31" s="191"/>
      <c r="AJ31" s="193">
        <f>SUM(AJ27:AJ30)</f>
        <v>1951.0076801874595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77" t="s">
        <v>31</v>
      </c>
      <c r="AB36" s="578"/>
      <c r="AC36" s="578"/>
      <c r="AD36" s="578"/>
      <c r="AE36" s="578"/>
      <c r="AF36" s="578"/>
      <c r="AG36" s="578"/>
      <c r="AH36" s="578"/>
      <c r="AI36" s="579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Table'!Z143</f>
        <v>143316</v>
      </c>
      <c r="AJ49" s="56">
        <f>+AJ19</f>
        <v>67953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67953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75363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31652.46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43710.54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0.30499413882609061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3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3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:K127" si="21">SUM(E110:I110)</f>
        <v>608402</v>
      </c>
      <c r="L110" s="6"/>
      <c r="M110" s="475">
        <f t="shared" ref="M110:M127" si="22">+(K110-K109)/K109</f>
        <v>8.8671295999262988E-4</v>
      </c>
      <c r="N110" s="29"/>
      <c r="O110" s="29"/>
      <c r="P110" s="29"/>
      <c r="Q110" s="376">
        <f t="shared" ref="Q110:Q127" si="23">+K110-K109</f>
        <v>539</v>
      </c>
      <c r="R110" s="6"/>
      <c r="S110" s="7">
        <f>31368+14984+4311</f>
        <v>50663</v>
      </c>
      <c r="T110" s="6"/>
      <c r="U110" s="287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si="21"/>
        <v>610024</v>
      </c>
      <c r="L111" s="6"/>
      <c r="M111" s="482">
        <f t="shared" si="22"/>
        <v>2.6660004404982234E-3</v>
      </c>
      <c r="N111" s="29"/>
      <c r="O111" s="29"/>
      <c r="P111" s="29"/>
      <c r="Q111" s="376">
        <f t="shared" si="23"/>
        <v>1622</v>
      </c>
      <c r="R111" s="6"/>
      <c r="S111" s="7">
        <f>31397+14975+4316</f>
        <v>50688</v>
      </c>
      <c r="T111" s="6"/>
      <c r="U111" s="287">
        <f t="shared" si="24"/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si="21"/>
        <v>610703</v>
      </c>
      <c r="L112" s="6"/>
      <c r="M112" s="482">
        <f t="shared" si="22"/>
        <v>1.1130709611425124E-3</v>
      </c>
      <c r="N112" s="29"/>
      <c r="O112" s="29"/>
      <c r="P112" s="29"/>
      <c r="Q112" s="376">
        <f t="shared" si="23"/>
        <v>679</v>
      </c>
      <c r="R112" s="6"/>
      <c r="S112" s="7">
        <f>31403+14992+4320</f>
        <v>50715</v>
      </c>
      <c r="T112" s="6"/>
      <c r="U112" s="287">
        <f t="shared" si="24"/>
        <v>8.3043639870771888E-2</v>
      </c>
      <c r="W112">
        <f t="shared" si="20"/>
        <v>102</v>
      </c>
      <c r="Y112" s="56"/>
    </row>
    <row r="113" spans="3:25" x14ac:dyDescent="0.3">
      <c r="C113" s="171">
        <f t="shared" si="15"/>
        <v>44012</v>
      </c>
      <c r="E113" s="285">
        <v>393254</v>
      </c>
      <c r="F113" s="7"/>
      <c r="G113" s="7">
        <v>171617</v>
      </c>
      <c r="H113" s="7"/>
      <c r="I113" s="7">
        <v>46474</v>
      </c>
      <c r="J113" s="288"/>
      <c r="K113" s="7">
        <f t="shared" si="21"/>
        <v>611345</v>
      </c>
      <c r="L113" s="6"/>
      <c r="M113" s="482">
        <f t="shared" si="22"/>
        <v>1.0512474967373667E-3</v>
      </c>
      <c r="N113" s="29"/>
      <c r="O113" s="29"/>
      <c r="P113" s="29"/>
      <c r="Q113" s="376">
        <f t="shared" si="23"/>
        <v>642</v>
      </c>
      <c r="R113" s="6"/>
      <c r="S113" s="7">
        <f>32032+15035+4322</f>
        <v>51389</v>
      </c>
      <c r="T113" s="6"/>
      <c r="U113" s="287">
        <f t="shared" si="24"/>
        <v>8.4058919268170995E-2</v>
      </c>
      <c r="W113">
        <f t="shared" si="20"/>
        <v>103</v>
      </c>
      <c r="Y113" s="56"/>
    </row>
    <row r="114" spans="3:25" x14ac:dyDescent="0.3">
      <c r="C114" s="171">
        <f t="shared" si="15"/>
        <v>44013</v>
      </c>
      <c r="E114" s="285">
        <v>394079</v>
      </c>
      <c r="F114" s="7"/>
      <c r="G114" s="7">
        <v>171928</v>
      </c>
      <c r="H114" s="7"/>
      <c r="I114" s="7">
        <v>46572</v>
      </c>
      <c r="J114" s="288"/>
      <c r="K114" s="7">
        <f t="shared" si="21"/>
        <v>612579</v>
      </c>
      <c r="L114" s="6"/>
      <c r="M114" s="482">
        <f t="shared" si="22"/>
        <v>2.0185001921991675E-3</v>
      </c>
      <c r="N114" s="29"/>
      <c r="O114" s="29"/>
      <c r="P114" s="29"/>
      <c r="Q114" s="376">
        <f t="shared" si="23"/>
        <v>1234</v>
      </c>
      <c r="R114" s="6"/>
      <c r="S114" s="7">
        <f>32043+15078+4324</f>
        <v>51445</v>
      </c>
      <c r="T114" s="6"/>
      <c r="U114" s="287">
        <f t="shared" si="24"/>
        <v>8.3981004898959974E-2</v>
      </c>
      <c r="W114">
        <f t="shared" si="20"/>
        <v>104</v>
      </c>
      <c r="Y114" s="56"/>
    </row>
    <row r="115" spans="3:25" x14ac:dyDescent="0.3">
      <c r="C115" s="171">
        <f t="shared" si="15"/>
        <v>44014</v>
      </c>
      <c r="E115" s="285">
        <v>394954</v>
      </c>
      <c r="F115" s="7"/>
      <c r="G115" s="7">
        <v>172356</v>
      </c>
      <c r="H115" s="7"/>
      <c r="I115" s="7">
        <v>46646</v>
      </c>
      <c r="J115" s="288"/>
      <c r="K115" s="7">
        <f t="shared" si="21"/>
        <v>613956</v>
      </c>
      <c r="L115" s="6"/>
      <c r="M115" s="482">
        <f t="shared" si="22"/>
        <v>2.2478733355208065E-3</v>
      </c>
      <c r="N115" s="29"/>
      <c r="O115" s="29"/>
      <c r="P115" s="29"/>
      <c r="Q115" s="376">
        <f t="shared" si="23"/>
        <v>1377</v>
      </c>
      <c r="R115" s="6"/>
      <c r="S115" s="7">
        <f>32064+15107+4328</f>
        <v>51499</v>
      </c>
      <c r="T115" s="6"/>
      <c r="U115" s="287">
        <f t="shared" si="24"/>
        <v>8.3880603821772245E-2</v>
      </c>
      <c r="W115">
        <f t="shared" si="20"/>
        <v>105</v>
      </c>
      <c r="Y115" s="56"/>
    </row>
    <row r="116" spans="3:25" x14ac:dyDescent="0.3">
      <c r="C116" s="171">
        <f t="shared" si="15"/>
        <v>44015</v>
      </c>
      <c r="E116" s="285">
        <v>395872</v>
      </c>
      <c r="F116" s="7"/>
      <c r="G116" s="7">
        <v>172742</v>
      </c>
      <c r="H116" s="7"/>
      <c r="I116" s="7">
        <v>46717</v>
      </c>
      <c r="J116" s="288"/>
      <c r="K116" s="7">
        <f t="shared" si="21"/>
        <v>615331</v>
      </c>
      <c r="L116" s="6"/>
      <c r="M116" s="482">
        <f t="shared" si="22"/>
        <v>2.2395741714389956E-3</v>
      </c>
      <c r="N116" s="29"/>
      <c r="O116" s="29"/>
      <c r="P116" s="29"/>
      <c r="Q116" s="376">
        <f t="shared" si="23"/>
        <v>1375</v>
      </c>
      <c r="R116" s="6"/>
      <c r="S116" s="7">
        <f>32081+15164+4335</f>
        <v>51580</v>
      </c>
      <c r="T116" s="6"/>
      <c r="U116" s="287">
        <f t="shared" si="24"/>
        <v>8.3824803235981932E-2</v>
      </c>
      <c r="W116">
        <f t="shared" si="20"/>
        <v>106</v>
      </c>
      <c r="Y116" s="56"/>
    </row>
    <row r="117" spans="3:25" x14ac:dyDescent="0.3">
      <c r="C117" s="171">
        <f t="shared" si="15"/>
        <v>44016</v>
      </c>
      <c r="E117" s="285">
        <v>395598</v>
      </c>
      <c r="F117" s="7"/>
      <c r="G117" s="7">
        <v>173033</v>
      </c>
      <c r="H117" s="7"/>
      <c r="I117" s="7">
        <v>46717</v>
      </c>
      <c r="J117" s="288"/>
      <c r="K117" s="7">
        <f t="shared" si="21"/>
        <v>615348</v>
      </c>
      <c r="L117" s="6"/>
      <c r="M117" s="482">
        <f t="shared" si="22"/>
        <v>2.7627407037838173E-5</v>
      </c>
      <c r="N117" s="29"/>
      <c r="O117" s="29"/>
      <c r="P117" s="29"/>
      <c r="Q117" s="376">
        <f t="shared" si="23"/>
        <v>17</v>
      </c>
      <c r="R117" s="6"/>
      <c r="S117" s="7">
        <f>32157+15189+4355</f>
        <v>51701</v>
      </c>
      <c r="T117" s="6"/>
      <c r="U117" s="287">
        <f t="shared" si="24"/>
        <v>8.4019124137886203E-2</v>
      </c>
      <c r="W117">
        <f t="shared" si="20"/>
        <v>107</v>
      </c>
      <c r="Y117" s="56"/>
    </row>
    <row r="118" spans="3:25" x14ac:dyDescent="0.3">
      <c r="C118" s="171">
        <f t="shared" si="15"/>
        <v>44017</v>
      </c>
      <c r="E118" s="285">
        <v>397131</v>
      </c>
      <c r="F118" s="7"/>
      <c r="G118" s="7">
        <v>173402</v>
      </c>
      <c r="H118" s="7"/>
      <c r="I118" s="7">
        <v>46717</v>
      </c>
      <c r="J118" s="288"/>
      <c r="K118" s="7">
        <f t="shared" si="21"/>
        <v>617250</v>
      </c>
      <c r="L118" s="6"/>
      <c r="M118" s="482">
        <f t="shared" si="22"/>
        <v>3.0909339105676787E-3</v>
      </c>
      <c r="N118" s="29"/>
      <c r="O118" s="29"/>
      <c r="P118" s="29"/>
      <c r="Q118" s="376">
        <f t="shared" si="23"/>
        <v>1902</v>
      </c>
      <c r="R118" s="6"/>
      <c r="S118" s="7">
        <f>32189+15211+4335</f>
        <v>51735</v>
      </c>
      <c r="T118" s="6"/>
      <c r="U118" s="287">
        <f t="shared" si="24"/>
        <v>8.3815309842041316E-2</v>
      </c>
      <c r="W118">
        <f t="shared" si="20"/>
        <v>108</v>
      </c>
      <c r="Y118" s="56"/>
    </row>
    <row r="119" spans="3:25" x14ac:dyDescent="0.3">
      <c r="C119" s="171">
        <f t="shared" si="15"/>
        <v>44018</v>
      </c>
      <c r="E119" s="285">
        <v>397649</v>
      </c>
      <c r="F119" s="7"/>
      <c r="G119" s="7">
        <v>173611</v>
      </c>
      <c r="H119" s="7"/>
      <c r="I119" s="7">
        <v>46976</v>
      </c>
      <c r="J119" s="288"/>
      <c r="K119" s="7">
        <f t="shared" si="21"/>
        <v>618236</v>
      </c>
      <c r="L119" s="6"/>
      <c r="M119" s="482">
        <f t="shared" si="22"/>
        <v>1.5974078574321588E-3</v>
      </c>
      <c r="N119" s="29"/>
      <c r="O119" s="29"/>
      <c r="P119" s="29"/>
      <c r="Q119" s="376">
        <f t="shared" si="23"/>
        <v>986</v>
      </c>
      <c r="R119" s="6"/>
      <c r="S119" s="7">
        <f>32219+15229+4388</f>
        <v>51836</v>
      </c>
      <c r="T119" s="6"/>
      <c r="U119" s="287">
        <f t="shared" si="24"/>
        <v>8.3845004173163651E-2</v>
      </c>
      <c r="W119">
        <f t="shared" si="20"/>
        <v>109</v>
      </c>
      <c r="Y119" s="56"/>
    </row>
    <row r="120" spans="3:25" x14ac:dyDescent="0.3">
      <c r="C120" s="171">
        <f t="shared" si="15"/>
        <v>44019</v>
      </c>
      <c r="E120" s="285">
        <v>398237</v>
      </c>
      <c r="F120" s="7"/>
      <c r="G120" s="7">
        <v>173878</v>
      </c>
      <c r="H120" s="7"/>
      <c r="I120" s="7">
        <v>47033</v>
      </c>
      <c r="J120" s="288"/>
      <c r="K120" s="7">
        <f t="shared" si="21"/>
        <v>619148</v>
      </c>
      <c r="L120" s="6"/>
      <c r="M120" s="482">
        <f t="shared" si="22"/>
        <v>1.4751648237889738E-3</v>
      </c>
      <c r="N120" s="29"/>
      <c r="O120" s="29"/>
      <c r="P120" s="29"/>
      <c r="Q120" s="376">
        <f t="shared" si="23"/>
        <v>912</v>
      </c>
      <c r="R120" s="6"/>
      <c r="S120" s="7">
        <f>32243+15281+4338</f>
        <v>51862</v>
      </c>
      <c r="T120" s="6"/>
      <c r="U120" s="287">
        <f t="shared" si="24"/>
        <v>8.3763494350300741E-2</v>
      </c>
      <c r="W120">
        <f t="shared" si="20"/>
        <v>110</v>
      </c>
      <c r="Y120" s="56"/>
    </row>
    <row r="121" spans="3:25" x14ac:dyDescent="0.3">
      <c r="C121" s="171">
        <f t="shared" si="15"/>
        <v>44020</v>
      </c>
      <c r="E121" s="285">
        <f>398909</f>
        <v>398909</v>
      </c>
      <c r="F121" s="7"/>
      <c r="G121" s="7">
        <v>174039</v>
      </c>
      <c r="H121" s="7"/>
      <c r="I121" s="7">
        <v>47108</v>
      </c>
      <c r="J121" s="288"/>
      <c r="K121" s="7">
        <f t="shared" si="21"/>
        <v>620056</v>
      </c>
      <c r="L121" s="6"/>
      <c r="M121" s="482">
        <f t="shared" si="22"/>
        <v>1.4665314270578278E-3</v>
      </c>
      <c r="N121" s="29"/>
      <c r="O121" s="29"/>
      <c r="P121" s="29"/>
      <c r="Q121" s="376">
        <f t="shared" si="23"/>
        <v>908</v>
      </c>
      <c r="R121" s="6"/>
      <c r="S121" s="7">
        <f>32251+15332+4343</f>
        <v>51926</v>
      </c>
      <c r="T121" s="6"/>
      <c r="U121" s="287">
        <f t="shared" si="24"/>
        <v>8.3744048924613262E-2</v>
      </c>
      <c r="W121">
        <f t="shared" si="20"/>
        <v>111</v>
      </c>
      <c r="Y121" s="56"/>
    </row>
    <row r="122" spans="3:25" x14ac:dyDescent="0.3">
      <c r="C122" s="171">
        <f t="shared" si="15"/>
        <v>44021</v>
      </c>
      <c r="E122" s="285">
        <v>399477</v>
      </c>
      <c r="F122" s="7"/>
      <c r="G122" s="7">
        <v>174270</v>
      </c>
      <c r="H122" s="7"/>
      <c r="I122" s="7">
        <v>47209</v>
      </c>
      <c r="J122" s="288"/>
      <c r="K122" s="7">
        <f t="shared" si="21"/>
        <v>620956</v>
      </c>
      <c r="L122" s="6"/>
      <c r="M122" s="482">
        <f t="shared" si="22"/>
        <v>1.4514818016437224E-3</v>
      </c>
      <c r="N122" s="29"/>
      <c r="O122" s="29"/>
      <c r="P122" s="29"/>
      <c r="Q122" s="376">
        <f t="shared" si="23"/>
        <v>900</v>
      </c>
      <c r="R122" s="6"/>
      <c r="S122" s="7">
        <f>32283+15448+4348</f>
        <v>52079</v>
      </c>
      <c r="T122" s="6"/>
      <c r="U122" s="287">
        <f t="shared" si="24"/>
        <v>8.3869066407281673E-2</v>
      </c>
      <c r="W122">
        <f t="shared" si="20"/>
        <v>112</v>
      </c>
      <c r="Y122" s="56"/>
    </row>
    <row r="123" spans="3:25" x14ac:dyDescent="0.3">
      <c r="C123" s="171">
        <f t="shared" si="15"/>
        <v>44022</v>
      </c>
      <c r="E123" s="285">
        <v>400299</v>
      </c>
      <c r="F123" s="7"/>
      <c r="G123" s="7">
        <v>174628</v>
      </c>
      <c r="H123" s="7"/>
      <c r="I123" s="7">
        <v>47287</v>
      </c>
      <c r="J123" s="288"/>
      <c r="K123" s="7">
        <f t="shared" si="21"/>
        <v>622214</v>
      </c>
      <c r="L123" s="6"/>
      <c r="M123" s="482">
        <f t="shared" si="22"/>
        <v>2.0259084379569566E-3</v>
      </c>
      <c r="N123" s="29"/>
      <c r="O123" s="29"/>
      <c r="P123" s="29"/>
      <c r="Q123" s="376">
        <f t="shared" si="23"/>
        <v>1258</v>
      </c>
      <c r="R123" s="6"/>
      <c r="S123" s="7">
        <f>32307+15479+4348</f>
        <v>52134</v>
      </c>
      <c r="T123" s="6"/>
      <c r="U123" s="287">
        <f t="shared" si="24"/>
        <v>8.378789291144205E-2</v>
      </c>
      <c r="W123">
        <f t="shared" si="20"/>
        <v>113</v>
      </c>
      <c r="Y123" s="56"/>
    </row>
    <row r="124" spans="3:25" x14ac:dyDescent="0.3">
      <c r="C124" s="171">
        <f t="shared" si="15"/>
        <v>44023</v>
      </c>
      <c r="E124" s="285">
        <v>401029</v>
      </c>
      <c r="F124" s="7"/>
      <c r="G124" s="7">
        <v>174959</v>
      </c>
      <c r="H124" s="7"/>
      <c r="I124" s="7">
        <v>47237</v>
      </c>
      <c r="J124" s="288"/>
      <c r="K124" s="7">
        <f t="shared" si="21"/>
        <v>623225</v>
      </c>
      <c r="L124" s="6"/>
      <c r="M124" s="482">
        <f t="shared" si="22"/>
        <v>1.6248428997097462E-3</v>
      </c>
      <c r="N124" s="29"/>
      <c r="O124" s="29"/>
      <c r="P124" s="29"/>
      <c r="Q124" s="376">
        <f t="shared" si="23"/>
        <v>1011</v>
      </c>
      <c r="R124" s="6"/>
      <c r="S124" s="7">
        <f>32343+15525+4348</f>
        <v>52216</v>
      </c>
      <c r="T124" s="6"/>
      <c r="U124" s="287">
        <f t="shared" si="24"/>
        <v>8.3783545268562715E-2</v>
      </c>
      <c r="W124">
        <f t="shared" si="20"/>
        <v>114</v>
      </c>
      <c r="Y124" s="56"/>
    </row>
    <row r="125" spans="3:25" x14ac:dyDescent="0.3">
      <c r="C125" s="171">
        <f t="shared" si="15"/>
        <v>44024</v>
      </c>
      <c r="E125" s="285">
        <v>401556</v>
      </c>
      <c r="F125" s="7"/>
      <c r="G125" s="7">
        <v>175298</v>
      </c>
      <c r="H125" s="7"/>
      <c r="I125" s="7">
        <v>47287</v>
      </c>
      <c r="J125" s="288"/>
      <c r="K125" s="7">
        <f t="shared" si="21"/>
        <v>624141</v>
      </c>
      <c r="L125" s="6"/>
      <c r="M125" s="482">
        <f t="shared" si="22"/>
        <v>1.4697741586104536E-3</v>
      </c>
      <c r="N125" s="29"/>
      <c r="O125" s="29"/>
      <c r="P125" s="29"/>
      <c r="Q125" s="376">
        <f t="shared" si="23"/>
        <v>916</v>
      </c>
      <c r="R125" s="6"/>
      <c r="S125" s="7">
        <f>32350+15525+4348</f>
        <v>52223</v>
      </c>
      <c r="T125" s="6"/>
      <c r="U125" s="287">
        <f t="shared" si="24"/>
        <v>8.3671798519885737E-2</v>
      </c>
      <c r="W125">
        <f t="shared" si="20"/>
        <v>115</v>
      </c>
      <c r="Y125" s="56"/>
    </row>
    <row r="126" spans="3:25" x14ac:dyDescent="0.3">
      <c r="C126" s="171">
        <f t="shared" si="15"/>
        <v>44025</v>
      </c>
      <c r="E126" s="285">
        <v>402263</v>
      </c>
      <c r="F126" s="7"/>
      <c r="G126" s="7">
        <v>175522</v>
      </c>
      <c r="H126" s="7"/>
      <c r="I126" s="7">
        <v>47510</v>
      </c>
      <c r="J126" s="288"/>
      <c r="K126" s="7">
        <f t="shared" si="21"/>
        <v>625295</v>
      </c>
      <c r="L126" s="6"/>
      <c r="M126" s="482">
        <f t="shared" si="22"/>
        <v>1.8489411847643401E-3</v>
      </c>
      <c r="N126" s="29"/>
      <c r="O126" s="29"/>
      <c r="P126" s="29"/>
      <c r="Q126" s="376">
        <f t="shared" si="23"/>
        <v>1154</v>
      </c>
      <c r="R126" s="6"/>
      <c r="S126" s="7">
        <f>32395+15560+4371</f>
        <v>52326</v>
      </c>
      <c r="T126" s="6"/>
      <c r="U126" s="287">
        <f t="shared" si="24"/>
        <v>8.3682102047833426E-2</v>
      </c>
      <c r="W126">
        <f t="shared" si="20"/>
        <v>116</v>
      </c>
      <c r="Y126" s="56"/>
    </row>
    <row r="127" spans="3:25" x14ac:dyDescent="0.3">
      <c r="C127" s="171">
        <f t="shared" si="15"/>
        <v>44026</v>
      </c>
      <c r="E127" s="285">
        <v>403175</v>
      </c>
      <c r="F127" s="7"/>
      <c r="G127" s="7">
        <v>175915</v>
      </c>
      <c r="H127" s="7"/>
      <c r="I127" s="7">
        <v>47531</v>
      </c>
      <c r="J127" s="288"/>
      <c r="K127" s="7">
        <f t="shared" si="21"/>
        <v>626621</v>
      </c>
      <c r="L127" s="6"/>
      <c r="M127" s="482">
        <f t="shared" si="22"/>
        <v>2.1205990772355447E-3</v>
      </c>
      <c r="N127" s="29"/>
      <c r="O127" s="29"/>
      <c r="P127" s="29"/>
      <c r="Q127" s="376">
        <f t="shared" si="23"/>
        <v>1326</v>
      </c>
      <c r="R127" s="6"/>
      <c r="S127" s="7">
        <f>32408+15582+4374</f>
        <v>52364</v>
      </c>
      <c r="T127" s="6"/>
      <c r="U127" s="287">
        <f t="shared" si="24"/>
        <v>8.3565664093606815E-2</v>
      </c>
      <c r="W127">
        <f t="shared" si="20"/>
        <v>117</v>
      </c>
      <c r="Y127" s="56"/>
    </row>
    <row r="128" spans="3:25" x14ac:dyDescent="0.3">
      <c r="C128" s="171">
        <f t="shared" si="15"/>
        <v>44027</v>
      </c>
      <c r="E128" s="285">
        <v>403600</v>
      </c>
      <c r="F128" s="7"/>
      <c r="G128" s="7">
        <v>176110</v>
      </c>
      <c r="H128" s="7"/>
      <c r="I128" s="7">
        <v>47620</v>
      </c>
      <c r="J128" s="288"/>
      <c r="K128" s="7">
        <f t="shared" ref="K128" si="25">SUM(E128:I128)</f>
        <v>627330</v>
      </c>
      <c r="L128" s="6"/>
      <c r="M128" s="482">
        <f t="shared" ref="M128" si="26">+(K128-K127)/K127</f>
        <v>1.1314654312574906E-3</v>
      </c>
      <c r="N128" s="29"/>
      <c r="O128" s="29"/>
      <c r="P128" s="29"/>
      <c r="Q128" s="376">
        <f t="shared" ref="Q128" si="27">+K128-K127</f>
        <v>709</v>
      </c>
      <c r="R128" s="6"/>
      <c r="S128" s="7">
        <f>32427+15634+4380</f>
        <v>52441</v>
      </c>
      <c r="T128" s="6"/>
      <c r="U128" s="287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1">
        <f t="shared" si="15"/>
        <v>44028</v>
      </c>
      <c r="E129" s="285">
        <v>404775</v>
      </c>
      <c r="F129" s="7"/>
      <c r="G129" s="7">
        <v>176501</v>
      </c>
      <c r="H129" s="7"/>
      <c r="I129" s="7">
        <v>47750</v>
      </c>
      <c r="J129" s="288"/>
      <c r="K129" s="7">
        <f t="shared" ref="K129" si="29">SUM(E129:I129)</f>
        <v>629026</v>
      </c>
      <c r="L129" s="6"/>
      <c r="M129" s="482">
        <f t="shared" ref="M129" si="30">+(K129-K128)/K128</f>
        <v>2.7035212726953914E-3</v>
      </c>
      <c r="N129" s="29"/>
      <c r="O129" s="29"/>
      <c r="P129" s="29"/>
      <c r="Q129" s="376">
        <f t="shared" ref="Q129" si="31">+K129-K128</f>
        <v>1696</v>
      </c>
      <c r="R129" s="6"/>
      <c r="S129" s="7">
        <f>32446+15665+4389</f>
        <v>52500</v>
      </c>
      <c r="T129" s="6"/>
      <c r="U129" s="287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1">
        <f t="shared" si="15"/>
        <v>44029</v>
      </c>
      <c r="E130" s="285">
        <v>405551</v>
      </c>
      <c r="F130" s="7"/>
      <c r="G130" s="7">
        <v>176551</v>
      </c>
      <c r="H130" s="7"/>
      <c r="I130" s="7">
        <v>47893</v>
      </c>
      <c r="J130" s="288"/>
      <c r="K130" s="7">
        <f>SUM(E130:I130)</f>
        <v>629995</v>
      </c>
      <c r="L130" s="6"/>
      <c r="M130" s="482">
        <f t="shared" ref="M130" si="33">+(K130-K129)/K129</f>
        <v>1.5404768642313673E-3</v>
      </c>
      <c r="N130" s="29"/>
      <c r="O130" s="29"/>
      <c r="P130" s="29"/>
      <c r="Q130" s="376">
        <f t="shared" ref="Q130" si="34">+K130-K129</f>
        <v>969</v>
      </c>
      <c r="R130" s="6"/>
      <c r="S130" s="7">
        <v>52728</v>
      </c>
      <c r="T130" s="6"/>
      <c r="U130" s="287">
        <f t="shared" ref="U130" si="35">+S130/K130</f>
        <v>8.3695902348431342E-2</v>
      </c>
      <c r="W130">
        <f t="shared" si="20"/>
        <v>120</v>
      </c>
      <c r="Y130" s="56"/>
    </row>
    <row r="131" spans="3:25" x14ac:dyDescent="0.3">
      <c r="C131" s="171">
        <f t="shared" si="15"/>
        <v>44030</v>
      </c>
      <c r="E131" s="285">
        <v>406750</v>
      </c>
      <c r="F131" s="7"/>
      <c r="G131" s="7">
        <v>176703</v>
      </c>
      <c r="H131" s="7"/>
      <c r="I131" s="7">
        <v>47929</v>
      </c>
      <c r="J131" s="288"/>
      <c r="K131" s="7">
        <f>SUM(E131:I131)</f>
        <v>631382</v>
      </c>
      <c r="L131" s="6"/>
      <c r="M131" s="482">
        <f t="shared" ref="M131" si="36">+(K131-K130)/K130</f>
        <v>2.2016047746410685E-3</v>
      </c>
      <c r="N131" s="29"/>
      <c r="O131" s="29"/>
      <c r="P131" s="29"/>
      <c r="Q131" s="376">
        <f t="shared" ref="Q131" si="37">+K131-K130</f>
        <v>1387</v>
      </c>
      <c r="R131" s="6"/>
      <c r="S131" s="7">
        <v>53361</v>
      </c>
      <c r="T131" s="6"/>
      <c r="U131" s="287">
        <f t="shared" ref="U131" si="38">+S131/K131</f>
        <v>8.4514604470827481E-2</v>
      </c>
      <c r="W131">
        <f t="shared" si="20"/>
        <v>121</v>
      </c>
      <c r="Y131" s="56"/>
    </row>
    <row r="132" spans="3:25" x14ac:dyDescent="0.3">
      <c r="C132" s="171">
        <f t="shared" si="15"/>
        <v>44031</v>
      </c>
      <c r="E132" s="285">
        <v>406807</v>
      </c>
      <c r="F132" s="7"/>
      <c r="G132" s="7">
        <v>176783</v>
      </c>
      <c r="H132" s="7"/>
      <c r="I132" s="7">
        <v>47893</v>
      </c>
      <c r="J132" s="288"/>
      <c r="K132" s="7">
        <f>SUM(E132:I132)</f>
        <v>631483</v>
      </c>
      <c r="L132" s="6"/>
      <c r="M132" s="482">
        <f t="shared" ref="M132" si="39">+(K132-K131)/K131</f>
        <v>1.599665495690406E-4</v>
      </c>
      <c r="N132" s="29"/>
      <c r="O132" s="29"/>
      <c r="P132" s="29"/>
      <c r="Q132" s="376">
        <f t="shared" ref="Q132" si="40">+K132-K131</f>
        <v>101</v>
      </c>
      <c r="R132" s="6"/>
      <c r="S132" s="7">
        <f>32463+16684+4396</f>
        <v>53543</v>
      </c>
      <c r="T132" s="6"/>
      <c r="U132" s="287">
        <f t="shared" ref="U132" si="41">+S132/K132</f>
        <v>8.4789297574123138E-2</v>
      </c>
      <c r="W132">
        <f t="shared" si="20"/>
        <v>122</v>
      </c>
      <c r="Y132" s="56"/>
    </row>
    <row r="133" spans="3:25" x14ac:dyDescent="0.3">
      <c r="C133" s="171">
        <f t="shared" si="15"/>
        <v>44032</v>
      </c>
      <c r="E133" s="285"/>
      <c r="F133" s="7"/>
      <c r="G133" s="7"/>
      <c r="H133" s="7"/>
      <c r="I133" s="7"/>
      <c r="J133" s="288"/>
      <c r="K133" s="7"/>
      <c r="L133" s="6"/>
      <c r="M133" s="482"/>
      <c r="N133" s="29"/>
      <c r="O133" s="29"/>
      <c r="P133" s="29"/>
      <c r="Q133" s="376"/>
      <c r="R133" s="6"/>
      <c r="S133" s="7"/>
      <c r="T133" s="6"/>
      <c r="U133" s="287"/>
      <c r="W133">
        <f t="shared" si="20"/>
        <v>123</v>
      </c>
      <c r="Y133" s="56"/>
    </row>
    <row r="134" spans="3:25" x14ac:dyDescent="0.3">
      <c r="C134" s="171">
        <f t="shared" si="15"/>
        <v>44033</v>
      </c>
      <c r="E134" s="285"/>
      <c r="F134" s="7"/>
      <c r="G134" s="7"/>
      <c r="H134" s="7"/>
      <c r="I134" s="7"/>
      <c r="J134" s="288"/>
      <c r="K134" s="7"/>
      <c r="L134" s="6"/>
      <c r="M134" s="482"/>
      <c r="N134" s="29"/>
      <c r="O134" s="29"/>
      <c r="P134" s="29"/>
      <c r="Q134" s="376"/>
      <c r="R134" s="6"/>
      <c r="S134" s="7"/>
      <c r="T134" s="6"/>
      <c r="U134" s="287"/>
      <c r="W134">
        <f t="shared" si="20"/>
        <v>124</v>
      </c>
      <c r="Y134" s="56"/>
    </row>
    <row r="135" spans="3:25" x14ac:dyDescent="0.3">
      <c r="C135" s="171">
        <f t="shared" si="15"/>
        <v>44034</v>
      </c>
      <c r="E135" s="285"/>
      <c r="F135" s="7"/>
      <c r="G135" s="7"/>
      <c r="H135" s="7"/>
      <c r="I135" s="7"/>
      <c r="J135" s="288"/>
      <c r="K135" s="7"/>
      <c r="L135" s="6"/>
      <c r="M135" s="475"/>
      <c r="N135" s="29"/>
      <c r="O135" s="29"/>
      <c r="P135" s="29"/>
      <c r="Q135" s="376"/>
      <c r="R135" s="6"/>
      <c r="S135" s="7"/>
      <c r="T135" s="6"/>
      <c r="U135" s="287"/>
      <c r="W135">
        <f t="shared" si="20"/>
        <v>125</v>
      </c>
      <c r="Y135" s="56"/>
    </row>
    <row r="136" spans="3:25" ht="15" thickBot="1" x14ac:dyDescent="0.35">
      <c r="C136" s="171">
        <f t="shared" si="15"/>
        <v>44035</v>
      </c>
      <c r="E136" s="289"/>
      <c r="F136" s="290"/>
      <c r="G136" s="290"/>
      <c r="H136" s="290"/>
      <c r="I136" s="290"/>
      <c r="J136" s="290"/>
      <c r="K136" s="290"/>
      <c r="L136" s="291"/>
      <c r="M136" s="292"/>
      <c r="N136" s="292"/>
      <c r="O136" s="292"/>
      <c r="P136" s="292"/>
      <c r="Q136" s="375"/>
      <c r="R136" s="291"/>
      <c r="S136" s="291"/>
      <c r="T136" s="291"/>
      <c r="U136" s="293"/>
      <c r="W136">
        <f t="shared" si="20"/>
        <v>126</v>
      </c>
      <c r="Y136" s="59"/>
    </row>
    <row r="137" spans="3:25" x14ac:dyDescent="0.3">
      <c r="E137" s="56"/>
      <c r="F137" s="1"/>
      <c r="G137" s="56"/>
      <c r="H137" s="56"/>
      <c r="I137" s="56"/>
      <c r="J137" s="1"/>
      <c r="K137" s="56"/>
      <c r="S137" s="56"/>
    </row>
    <row r="138" spans="3:25" x14ac:dyDescent="0.3">
      <c r="C138" s="180" t="s">
        <v>81</v>
      </c>
      <c r="E138" s="56">
        <f>+E129</f>
        <v>404775</v>
      </c>
      <c r="F138" s="56">
        <f>+F52</f>
        <v>0</v>
      </c>
      <c r="G138" s="56">
        <f t="shared" ref="G138:S138" si="42">+G129</f>
        <v>176501</v>
      </c>
      <c r="H138" s="56">
        <f t="shared" si="42"/>
        <v>0</v>
      </c>
      <c r="I138" s="56">
        <f t="shared" si="42"/>
        <v>47750</v>
      </c>
      <c r="J138" s="56">
        <f t="shared" si="42"/>
        <v>0</v>
      </c>
      <c r="K138" s="56">
        <f t="shared" si="42"/>
        <v>629026</v>
      </c>
      <c r="L138" s="56">
        <f t="shared" si="42"/>
        <v>0</v>
      </c>
      <c r="M138" s="56">
        <f t="shared" si="42"/>
        <v>2.7035212726953914E-3</v>
      </c>
      <c r="N138" s="56">
        <f t="shared" si="42"/>
        <v>0</v>
      </c>
      <c r="O138" s="56">
        <f t="shared" si="42"/>
        <v>0</v>
      </c>
      <c r="P138" s="56">
        <f t="shared" si="42"/>
        <v>0</v>
      </c>
      <c r="Q138" s="56">
        <f t="shared" si="42"/>
        <v>1696</v>
      </c>
      <c r="R138" s="56">
        <f t="shared" si="42"/>
        <v>0</v>
      </c>
      <c r="S138" s="56">
        <f t="shared" si="42"/>
        <v>52500</v>
      </c>
      <c r="T138" s="56">
        <f>+T60</f>
        <v>0</v>
      </c>
    </row>
    <row r="139" spans="3:25" x14ac:dyDescent="0.3">
      <c r="E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</row>
    <row r="140" spans="3:25" x14ac:dyDescent="0.3">
      <c r="E140" s="59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</row>
    <row r="141" spans="3:25" x14ac:dyDescent="0.3">
      <c r="C141" s="123"/>
      <c r="D141" s="124"/>
      <c r="E141" s="393"/>
      <c r="F141" s="10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</row>
    <row r="142" spans="3:25" x14ac:dyDescent="0.3">
      <c r="E142" s="56"/>
      <c r="K142" s="56"/>
      <c r="Q142" s="56"/>
    </row>
    <row r="143" spans="3:25" x14ac:dyDescent="0.3">
      <c r="Q143" s="56"/>
      <c r="S143" s="59"/>
    </row>
    <row r="146" spans="3:41" x14ac:dyDescent="0.3">
      <c r="AO146" s="1">
        <v>3797000</v>
      </c>
    </row>
    <row r="147" spans="3:41" x14ac:dyDescent="0.3">
      <c r="C147" s="1"/>
    </row>
    <row r="148" spans="3:41" x14ac:dyDescent="0.3">
      <c r="C148" s="1"/>
      <c r="AO148" s="1">
        <v>30000</v>
      </c>
    </row>
    <row r="149" spans="3:41" x14ac:dyDescent="0.3">
      <c r="C149" s="59"/>
    </row>
    <row r="150" spans="3:41" x14ac:dyDescent="0.3">
      <c r="AO150" s="278">
        <f>+AO148/AO146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8"/>
  <sheetViews>
    <sheetView topLeftCell="A34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46" t="s">
        <v>114</v>
      </c>
      <c r="U3" s="647"/>
      <c r="V3" s="647"/>
      <c r="W3" s="647"/>
      <c r="X3" s="647"/>
      <c r="Y3" s="647"/>
      <c r="Z3" s="647"/>
      <c r="AA3" s="647"/>
      <c r="AB3" s="647"/>
      <c r="AC3" s="647"/>
      <c r="AD3" s="648"/>
    </row>
    <row r="4" spans="2:30" ht="15.6" x14ac:dyDescent="0.3">
      <c r="B4" s="257"/>
      <c r="C4" s="257"/>
      <c r="D4" s="167"/>
      <c r="T4" s="498"/>
      <c r="U4" s="499" t="s">
        <v>78</v>
      </c>
      <c r="V4" s="500"/>
      <c r="W4" s="499" t="s">
        <v>106</v>
      </c>
      <c r="X4" s="501"/>
      <c r="Y4" s="499" t="s">
        <v>107</v>
      </c>
      <c r="Z4" s="501"/>
      <c r="AA4" s="499" t="s">
        <v>73</v>
      </c>
      <c r="AB4" s="500"/>
      <c r="AC4" s="502" t="s">
        <v>15</v>
      </c>
      <c r="AD4" s="503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0.20830024603594488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49" t="s">
        <v>104</v>
      </c>
      <c r="F15" s="649"/>
      <c r="G15" s="649"/>
      <c r="H15" s="649"/>
      <c r="I15" s="649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55" t="s">
        <v>46</v>
      </c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7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58" t="s">
        <v>75</v>
      </c>
      <c r="F19" s="658"/>
      <c r="G19" s="658"/>
      <c r="H19" s="658"/>
      <c r="I19" s="147" t="s">
        <v>74</v>
      </c>
      <c r="J19" s="148"/>
      <c r="K19" s="663" t="s">
        <v>72</v>
      </c>
      <c r="L19" s="663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Table'!H119</f>
        <v>3099225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Table'!Z143</f>
        <v>143316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16552</v>
      </c>
      <c r="J22" s="129"/>
      <c r="K22" s="140"/>
      <c r="L22" s="282">
        <v>16660</v>
      </c>
      <c r="M22" s="140"/>
      <c r="N22" s="160">
        <f>+(I22-L22)/I22</f>
        <v>-6.5248912518124699E-3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2939357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Table'!AO143</f>
        <v>1802338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59" t="s">
        <v>49</v>
      </c>
      <c r="E25" s="660"/>
      <c r="F25" s="660"/>
      <c r="G25" s="660"/>
      <c r="H25" s="660"/>
      <c r="I25" s="132">
        <f>+I23-I24</f>
        <v>1137019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1802338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59" t="s">
        <v>46</v>
      </c>
      <c r="E27" s="660"/>
      <c r="F27" s="660"/>
      <c r="G27" s="660"/>
      <c r="H27" s="660"/>
      <c r="I27" s="149">
        <f>+I25+I26</f>
        <v>2939357</v>
      </c>
      <c r="J27" s="129"/>
      <c r="K27" s="664">
        <v>2831420</v>
      </c>
      <c r="L27" s="664"/>
      <c r="M27" s="140"/>
      <c r="N27" s="150">
        <f>+I27-K27</f>
        <v>107937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61" t="s">
        <v>69</v>
      </c>
      <c r="F28" s="661"/>
      <c r="G28" s="661"/>
      <c r="H28" s="137"/>
      <c r="I28" s="275">
        <f>+I27/I32</f>
        <v>0.75489298206865374</v>
      </c>
      <c r="J28" s="140"/>
      <c r="K28" s="140"/>
      <c r="L28" s="140"/>
      <c r="M28" s="110"/>
      <c r="N28" s="507">
        <f>+N27/K27</f>
        <v>3.8121154756270703E-2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40" t="s">
        <v>114</v>
      </c>
      <c r="F31" s="641"/>
      <c r="G31" s="641"/>
      <c r="H31" s="641"/>
      <c r="I31" s="641"/>
      <c r="J31" s="642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35">
        <f>+'Main Table'!H143</f>
        <v>3893740</v>
      </c>
      <c r="J32" s="635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36">
        <f>+I27</f>
        <v>2939357</v>
      </c>
      <c r="J34" s="637"/>
      <c r="K34" s="22"/>
      <c r="L34" s="25">
        <f>+I34/$I$32</f>
        <v>0.75489298206865374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43">
        <f>+I21</f>
        <v>143316</v>
      </c>
      <c r="J35" s="644"/>
      <c r="K35" s="22"/>
      <c r="L35" s="25">
        <f>+I35/$I$32</f>
        <v>3.6806771895401338E-2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62" t="s">
        <v>114</v>
      </c>
      <c r="F36" s="662"/>
      <c r="G36" s="662"/>
      <c r="H36" s="276"/>
      <c r="I36" s="638">
        <f>+I32-I34-I35</f>
        <v>811067</v>
      </c>
      <c r="J36" s="639"/>
      <c r="K36" s="303"/>
      <c r="L36" s="277">
        <f>+I36/$I$32</f>
        <v>0.20830024603594488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50" t="s">
        <v>127</v>
      </c>
      <c r="E41" s="651"/>
      <c r="F41" s="651"/>
      <c r="G41" s="651"/>
      <c r="H41" s="651"/>
      <c r="I41" s="651"/>
      <c r="J41" s="651"/>
      <c r="K41" s="651"/>
      <c r="L41" s="651"/>
      <c r="M41" s="651"/>
      <c r="N41" s="651"/>
      <c r="O41" s="652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53" t="s">
        <v>75</v>
      </c>
      <c r="F42" s="653"/>
      <c r="G42" s="653"/>
      <c r="H42" s="653"/>
      <c r="I42" s="304" t="s">
        <v>74</v>
      </c>
      <c r="J42" s="305"/>
      <c r="K42" s="654" t="s">
        <v>37</v>
      </c>
      <c r="L42" s="654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Table'!AO161</f>
        <v>1356158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619" t="s">
        <v>49</v>
      </c>
      <c r="E48" s="620"/>
      <c r="F48" s="620"/>
      <c r="G48" s="620"/>
      <c r="H48" s="620"/>
      <c r="I48" s="313">
        <f>+I46-I47</f>
        <v>-1333986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1356158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619" t="s">
        <v>46</v>
      </c>
      <c r="E50" s="620"/>
      <c r="F50" s="620"/>
      <c r="G50" s="620"/>
      <c r="H50" s="620"/>
      <c r="I50" s="384">
        <f>+I48+I49</f>
        <v>22172</v>
      </c>
      <c r="J50" s="380"/>
      <c r="K50" s="621">
        <v>30167</v>
      </c>
      <c r="L50" s="621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622" t="s">
        <v>69</v>
      </c>
      <c r="F51" s="622"/>
      <c r="G51" s="622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96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623" t="s">
        <v>128</v>
      </c>
      <c r="F54" s="624"/>
      <c r="G54" s="624"/>
      <c r="H54" s="624"/>
      <c r="I54" s="624"/>
      <c r="J54" s="625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626">
        <f>+K50</f>
        <v>30167</v>
      </c>
      <c r="J55" s="626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627">
        <f>+I50</f>
        <v>22172</v>
      </c>
      <c r="J57" s="628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629">
        <f>+I44</f>
        <v>1836</v>
      </c>
      <c r="J58" s="630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31" t="s">
        <v>114</v>
      </c>
      <c r="F59" s="631"/>
      <c r="G59" s="631"/>
      <c r="H59" s="311"/>
      <c r="I59" s="632">
        <f>+I55-I57-I58</f>
        <v>6159</v>
      </c>
      <c r="J59" s="633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34">
        <f>+I45</f>
        <v>1397</v>
      </c>
      <c r="J60" s="634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32">
        <f>+I59-I60</f>
        <v>4762</v>
      </c>
      <c r="J61" s="632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623" t="s">
        <v>117</v>
      </c>
      <c r="F64" s="624"/>
      <c r="G64" s="624"/>
      <c r="H64" s="624"/>
      <c r="I64" s="624"/>
      <c r="J64" s="624"/>
      <c r="K64" s="624"/>
      <c r="L64" s="624"/>
      <c r="M64" s="625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:AA81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618">
        <v>11690000</v>
      </c>
      <c r="J65" s="618"/>
      <c r="K65" s="618"/>
      <c r="L65" s="618"/>
      <c r="M65" s="367"/>
      <c r="P65" s="57"/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si="5"/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v>459097</v>
      </c>
      <c r="X66" s="6"/>
      <c r="Y66" s="44">
        <v>0.17100000000000001</v>
      </c>
      <c r="Z66" s="6"/>
      <c r="AA66" s="298">
        <f t="shared" si="5"/>
        <v>-18187</v>
      </c>
      <c r="AB66" s="6"/>
      <c r="AC66" s="302"/>
      <c r="AD66" s="295"/>
    </row>
    <row r="67" spans="4:30" x14ac:dyDescent="0.3">
      <c r="E67" s="366"/>
      <c r="F67" s="645" t="s">
        <v>108</v>
      </c>
      <c r="G67" s="645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>
        <v>477287</v>
      </c>
      <c r="X67" s="6"/>
      <c r="Y67" s="44">
        <v>0.17499999999999999</v>
      </c>
      <c r="Z67" s="6"/>
      <c r="AA67" s="298">
        <f t="shared" si="5"/>
        <v>-18190</v>
      </c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>
        <v>494808</v>
      </c>
      <c r="X68" s="6"/>
      <c r="Y68" s="44">
        <v>0.17799999999999999</v>
      </c>
      <c r="Z68" s="6"/>
      <c r="AA68" s="298">
        <f t="shared" si="5"/>
        <v>-17521</v>
      </c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>
        <v>518711</v>
      </c>
      <c r="X69" s="6"/>
      <c r="Y69" s="44">
        <v>0.183</v>
      </c>
      <c r="Z69" s="6"/>
      <c r="AA69" s="298">
        <f t="shared" si="5"/>
        <v>-23903</v>
      </c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>
        <v>537924</v>
      </c>
      <c r="X70" s="6"/>
      <c r="Y70" s="44">
        <v>0.187</v>
      </c>
      <c r="Z70" s="6"/>
      <c r="AA70" s="298">
        <f t="shared" si="5"/>
        <v>-19213</v>
      </c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>
        <v>561332</v>
      </c>
      <c r="X71" s="6"/>
      <c r="Y71" s="44">
        <v>0.191</v>
      </c>
      <c r="Z71" s="6"/>
      <c r="AA71" s="298">
        <f t="shared" si="5"/>
        <v>-23408</v>
      </c>
      <c r="AB71" s="6"/>
      <c r="AC71" s="302"/>
      <c r="AD71" s="295"/>
    </row>
    <row r="72" spans="4:30" ht="15" thickBot="1" x14ac:dyDescent="0.35">
      <c r="D72" s="593" t="s">
        <v>131</v>
      </c>
      <c r="E72" s="594"/>
      <c r="F72" s="594"/>
      <c r="G72" s="594"/>
      <c r="H72" s="594"/>
      <c r="I72" s="594"/>
      <c r="J72" s="594"/>
      <c r="K72" s="594"/>
      <c r="L72" s="594"/>
      <c r="M72" s="594"/>
      <c r="N72" s="594"/>
      <c r="O72" s="595"/>
      <c r="T72" s="294"/>
      <c r="U72" s="296">
        <f t="shared" si="3"/>
        <v>44017</v>
      </c>
      <c r="V72" s="6"/>
      <c r="W72" s="297">
        <v>569824</v>
      </c>
      <c r="X72" s="6"/>
      <c r="Y72" s="44">
        <v>0.191</v>
      </c>
      <c r="Z72" s="6"/>
      <c r="AA72" s="298">
        <f t="shared" si="5"/>
        <v>-8492</v>
      </c>
      <c r="AB72" s="6"/>
      <c r="AC72" s="302"/>
      <c r="AD72" s="295"/>
    </row>
    <row r="73" spans="4:30" ht="15" thickBot="1" x14ac:dyDescent="0.35">
      <c r="D73" s="398"/>
      <c r="E73" s="596" t="s">
        <v>75</v>
      </c>
      <c r="F73" s="596"/>
      <c r="G73" s="596"/>
      <c r="H73" s="596"/>
      <c r="I73" s="399" t="s">
        <v>74</v>
      </c>
      <c r="J73" s="400"/>
      <c r="K73" s="597" t="s">
        <v>37</v>
      </c>
      <c r="L73" s="597"/>
      <c r="M73" s="401"/>
      <c r="N73" s="402" t="s">
        <v>73</v>
      </c>
      <c r="O73" s="403"/>
      <c r="T73" s="294"/>
      <c r="U73" s="296">
        <f t="shared" si="3"/>
        <v>44018</v>
      </c>
      <c r="V73" s="6"/>
      <c r="W73" s="297">
        <v>581179</v>
      </c>
      <c r="X73" s="6"/>
      <c r="Y73" s="44">
        <v>0.192</v>
      </c>
      <c r="Z73" s="6"/>
      <c r="AA73" s="298">
        <f t="shared" si="5"/>
        <v>-11355</v>
      </c>
      <c r="AB73" s="6"/>
      <c r="AC73" s="302"/>
      <c r="AD73" s="295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  <c r="T74" s="294"/>
      <c r="U74" s="296">
        <f t="shared" si="3"/>
        <v>44019</v>
      </c>
      <c r="V74" s="6"/>
      <c r="W74" s="297">
        <v>606840</v>
      </c>
      <c r="X74" s="6"/>
      <c r="Y74" s="44">
        <v>0.19600000000000001</v>
      </c>
      <c r="Z74" s="6"/>
      <c r="AA74" s="298">
        <f t="shared" si="5"/>
        <v>-25661</v>
      </c>
      <c r="AB74" s="6"/>
      <c r="AC74" s="302"/>
      <c r="AD74" s="295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  <c r="T75" s="294"/>
      <c r="U75" s="296">
        <f t="shared" si="3"/>
        <v>44020</v>
      </c>
      <c r="V75" s="6"/>
      <c r="W75" s="297">
        <v>621347</v>
      </c>
      <c r="X75" s="6"/>
      <c r="Y75" s="44">
        <v>0.19700000000000001</v>
      </c>
      <c r="Z75" s="6"/>
      <c r="AA75" s="298">
        <f t="shared" si="5"/>
        <v>-14507</v>
      </c>
      <c r="AB75" s="6"/>
      <c r="AC75" s="302"/>
      <c r="AD75" s="295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  <c r="T76" s="294"/>
      <c r="U76" s="296">
        <f t="shared" si="3"/>
        <v>44021</v>
      </c>
      <c r="V76" s="6"/>
      <c r="W76" s="297">
        <v>639107</v>
      </c>
      <c r="X76" s="6"/>
      <c r="Y76" s="44">
        <v>0.19800000000000001</v>
      </c>
      <c r="Z76" s="6"/>
      <c r="AA76" s="298">
        <f t="shared" si="5"/>
        <v>-17760</v>
      </c>
      <c r="AB76" s="6"/>
      <c r="AC76" s="302"/>
      <c r="AD76" s="295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  <c r="T77" s="294"/>
      <c r="U77" s="296">
        <f t="shared" si="3"/>
        <v>44022</v>
      </c>
      <c r="V77" s="6"/>
      <c r="W77" s="297">
        <v>670486</v>
      </c>
      <c r="X77" s="6"/>
      <c r="Y77" s="44">
        <v>0.20399999999999999</v>
      </c>
      <c r="Z77" s="6"/>
      <c r="AA77" s="298">
        <f t="shared" si="5"/>
        <v>-31379</v>
      </c>
      <c r="AB77" s="6"/>
      <c r="AC77" s="302"/>
      <c r="AD77" s="295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Table'!AO195</f>
        <v>0</v>
      </c>
      <c r="J78" s="407"/>
      <c r="K78" s="408"/>
      <c r="L78" s="408"/>
      <c r="M78" s="408"/>
      <c r="N78" s="408"/>
      <c r="O78" s="409"/>
      <c r="T78" s="294"/>
      <c r="U78" s="296">
        <f t="shared" si="3"/>
        <v>44023</v>
      </c>
      <c r="V78" s="6"/>
      <c r="W78" s="297">
        <v>687513</v>
      </c>
      <c r="X78" s="6"/>
      <c r="Y78" s="44">
        <v>0.20499999999999999</v>
      </c>
      <c r="Z78" s="6"/>
      <c r="AA78" s="298">
        <f t="shared" si="5"/>
        <v>-17027</v>
      </c>
      <c r="AB78" s="6"/>
      <c r="AC78" s="302"/>
      <c r="AD78" s="295"/>
    </row>
    <row r="79" spans="4:30" x14ac:dyDescent="0.3">
      <c r="D79" s="598" t="s">
        <v>49</v>
      </c>
      <c r="E79" s="599"/>
      <c r="F79" s="599"/>
      <c r="G79" s="599"/>
      <c r="H79" s="599"/>
      <c r="I79" s="413">
        <f>+I77-I78</f>
        <v>36684</v>
      </c>
      <c r="J79" s="407"/>
      <c r="K79" s="408"/>
      <c r="L79" s="408"/>
      <c r="M79" s="408"/>
      <c r="N79" s="408"/>
      <c r="O79" s="409"/>
      <c r="T79" s="294"/>
      <c r="U79" s="296">
        <f t="shared" si="3"/>
        <v>44024</v>
      </c>
      <c r="V79" s="6"/>
      <c r="W79" s="297">
        <v>699823</v>
      </c>
      <c r="X79" s="6"/>
      <c r="Y79" s="44">
        <v>0.20499999999999999</v>
      </c>
      <c r="Z79" s="6"/>
      <c r="AA79" s="298">
        <f t="shared" si="5"/>
        <v>-12310</v>
      </c>
      <c r="AB79" s="6"/>
      <c r="AC79" s="302"/>
      <c r="AD79" s="295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  <c r="T80" s="294"/>
      <c r="U80" s="296">
        <f t="shared" si="3"/>
        <v>44025</v>
      </c>
      <c r="V80" s="6"/>
      <c r="W80" s="297">
        <v>716467</v>
      </c>
      <c r="X80" s="6"/>
      <c r="Y80" s="44">
        <v>0.20599999999999999</v>
      </c>
      <c r="Z80" s="6"/>
      <c r="AA80" s="298">
        <f t="shared" si="5"/>
        <v>-16644</v>
      </c>
      <c r="AB80" s="6"/>
      <c r="AC80" s="302"/>
      <c r="AD80" s="295"/>
    </row>
    <row r="81" spans="3:30" ht="15" thickBot="1" x14ac:dyDescent="0.35">
      <c r="D81" s="598" t="s">
        <v>46</v>
      </c>
      <c r="E81" s="599"/>
      <c r="F81" s="599"/>
      <c r="G81" s="599"/>
      <c r="H81" s="599"/>
      <c r="I81" s="414">
        <f>+I79+I80</f>
        <v>36684</v>
      </c>
      <c r="J81" s="407"/>
      <c r="K81" s="601">
        <v>48675</v>
      </c>
      <c r="L81" s="601"/>
      <c r="M81" s="408"/>
      <c r="N81" s="415">
        <f>+K81-I81</f>
        <v>11991</v>
      </c>
      <c r="O81" s="409"/>
      <c r="S81" s="57"/>
      <c r="T81" s="294"/>
      <c r="U81" s="296">
        <f t="shared" si="3"/>
        <v>44026</v>
      </c>
      <c r="V81" s="6"/>
      <c r="W81" s="297">
        <v>720448</v>
      </c>
      <c r="X81" s="6"/>
      <c r="Y81" s="44">
        <v>0.20300000000000001</v>
      </c>
      <c r="Z81" s="6"/>
      <c r="AA81" s="298">
        <f t="shared" si="5"/>
        <v>-3981</v>
      </c>
      <c r="AB81" s="6"/>
      <c r="AC81" s="302"/>
      <c r="AD81" s="295"/>
    </row>
    <row r="82" spans="3:30" ht="15.6" thickTop="1" thickBot="1" x14ac:dyDescent="0.35">
      <c r="D82" s="416"/>
      <c r="E82" s="600" t="s">
        <v>69</v>
      </c>
      <c r="F82" s="600"/>
      <c r="G82" s="600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  <c r="T82" s="294"/>
      <c r="U82" s="296">
        <f t="shared" si="3"/>
        <v>44027</v>
      </c>
      <c r="V82" s="6"/>
      <c r="W82" s="297">
        <v>734229</v>
      </c>
      <c r="X82" s="6"/>
      <c r="Y82" s="44">
        <v>0.20300000000000001</v>
      </c>
      <c r="Z82" s="6"/>
      <c r="AA82" s="298">
        <f t="shared" ref="AA82" si="6">+W81-W82</f>
        <v>-13781</v>
      </c>
      <c r="AB82" s="6"/>
      <c r="AC82" s="302"/>
      <c r="AD82" s="295"/>
    </row>
    <row r="83" spans="3:30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  <c r="T83" s="294"/>
      <c r="U83" s="296">
        <f t="shared" si="3"/>
        <v>44028</v>
      </c>
      <c r="V83" s="6"/>
      <c r="W83" s="297">
        <v>761026</v>
      </c>
      <c r="X83" s="6"/>
      <c r="Y83" s="44">
        <v>0.20599999999999999</v>
      </c>
      <c r="Z83" s="6"/>
      <c r="AA83" s="298">
        <f t="shared" ref="AA83" si="7">+W82-W83</f>
        <v>-26797</v>
      </c>
      <c r="AB83" s="6"/>
      <c r="AC83" s="302"/>
      <c r="AD83" s="295"/>
    </row>
    <row r="84" spans="3:30" x14ac:dyDescent="0.3">
      <c r="C84" s="61"/>
      <c r="D84" s="90"/>
      <c r="E84" s="152"/>
      <c r="F84" s="152"/>
      <c r="G84" s="152"/>
      <c r="H84" s="152"/>
      <c r="I84" s="162"/>
      <c r="J84" s="533"/>
      <c r="K84" s="534"/>
      <c r="L84" s="534"/>
      <c r="M84" s="534"/>
      <c r="N84" s="534"/>
      <c r="O84" s="110"/>
      <c r="P84" s="61"/>
      <c r="T84" s="294"/>
      <c r="U84" s="296">
        <f t="shared" si="3"/>
        <v>44029</v>
      </c>
      <c r="V84" s="6"/>
      <c r="W84" s="297">
        <v>791691</v>
      </c>
      <c r="X84" s="6"/>
      <c r="Y84" s="44">
        <v>0.21</v>
      </c>
      <c r="Z84" s="6"/>
      <c r="AA84" s="298">
        <f t="shared" ref="AA84" si="8">+W83-W84</f>
        <v>-30665</v>
      </c>
      <c r="AB84" s="6"/>
      <c r="AC84" s="302"/>
      <c r="AD84" s="295"/>
    </row>
    <row r="85" spans="3:30" x14ac:dyDescent="0.3">
      <c r="C85" s="61"/>
      <c r="D85" s="90"/>
      <c r="E85" s="152"/>
      <c r="F85" s="152"/>
      <c r="G85" s="152"/>
      <c r="H85" s="152"/>
      <c r="I85" s="162"/>
      <c r="J85" s="533"/>
      <c r="K85" s="534"/>
      <c r="L85" s="534"/>
      <c r="M85" s="534"/>
      <c r="N85" s="534"/>
      <c r="O85" s="110"/>
      <c r="P85" s="61"/>
      <c r="T85" s="294"/>
      <c r="U85" s="296">
        <f t="shared" si="3"/>
        <v>44030</v>
      </c>
      <c r="V85" s="6"/>
      <c r="W85" s="297">
        <v>801338</v>
      </c>
      <c r="X85" s="6"/>
      <c r="Y85" s="44">
        <v>0.20899999999999999</v>
      </c>
      <c r="Z85" s="6"/>
      <c r="AA85" s="298">
        <f t="shared" ref="AA85" si="9">+W84-W85</f>
        <v>-9647</v>
      </c>
      <c r="AB85" s="6"/>
      <c r="AC85" s="302"/>
      <c r="AD85" s="295"/>
    </row>
    <row r="86" spans="3:30" x14ac:dyDescent="0.3">
      <c r="C86" s="61"/>
      <c r="D86" s="90"/>
      <c r="E86" s="152"/>
      <c r="F86" s="152"/>
      <c r="G86" s="152"/>
      <c r="H86" s="152"/>
      <c r="I86" s="162"/>
      <c r="J86" s="533"/>
      <c r="K86" s="534"/>
      <c r="L86" s="534"/>
      <c r="M86" s="534"/>
      <c r="N86" s="534"/>
      <c r="O86" s="110"/>
      <c r="P86" s="61"/>
      <c r="T86" s="294"/>
      <c r="U86" s="296">
        <f t="shared" si="3"/>
        <v>44031</v>
      </c>
      <c r="V86" s="6"/>
      <c r="W86" s="297">
        <f>+I$36</f>
        <v>811067</v>
      </c>
      <c r="X86" s="6"/>
      <c r="Y86" s="44">
        <f>+L$36</f>
        <v>0.20830024603594488</v>
      </c>
      <c r="Z86" s="6"/>
      <c r="AA86" s="298">
        <f t="shared" ref="AA86" si="10">+W85-W86</f>
        <v>-9729</v>
      </c>
      <c r="AB86" s="6"/>
      <c r="AC86" s="302"/>
      <c r="AD86" s="295"/>
    </row>
    <row r="87" spans="3:30" x14ac:dyDescent="0.3">
      <c r="C87" s="61"/>
      <c r="D87" s="90"/>
      <c r="E87" s="152"/>
      <c r="F87" s="152"/>
      <c r="G87" s="152"/>
      <c r="H87" s="152"/>
      <c r="I87" s="162"/>
      <c r="J87" s="533"/>
      <c r="K87" s="534"/>
      <c r="L87" s="534"/>
      <c r="M87" s="534"/>
      <c r="N87" s="534"/>
      <c r="O87" s="110"/>
      <c r="P87" s="61"/>
      <c r="T87" s="294"/>
      <c r="U87" s="296">
        <f t="shared" si="3"/>
        <v>44032</v>
      </c>
      <c r="V87" s="6"/>
      <c r="W87" s="297"/>
      <c r="X87" s="6"/>
      <c r="Y87" s="44"/>
      <c r="Z87" s="6"/>
      <c r="AA87" s="298"/>
      <c r="AB87" s="6"/>
      <c r="AC87" s="302"/>
      <c r="AD87" s="295"/>
    </row>
    <row r="88" spans="3:30" x14ac:dyDescent="0.3">
      <c r="C88" s="61"/>
      <c r="D88" s="90"/>
      <c r="E88" s="152"/>
      <c r="F88" s="152"/>
      <c r="G88" s="152"/>
      <c r="H88" s="152"/>
      <c r="I88" s="162"/>
      <c r="J88" s="533"/>
      <c r="K88" s="534"/>
      <c r="L88" s="534"/>
      <c r="M88" s="534"/>
      <c r="N88" s="534"/>
      <c r="O88" s="110"/>
      <c r="P88" s="61"/>
      <c r="T88" s="294"/>
      <c r="U88" s="296">
        <f t="shared" si="3"/>
        <v>44033</v>
      </c>
      <c r="V88" s="6"/>
      <c r="W88" s="297"/>
      <c r="X88" s="6"/>
      <c r="Y88" s="44"/>
      <c r="Z88" s="6"/>
      <c r="AA88" s="298"/>
      <c r="AB88" s="6"/>
      <c r="AC88" s="302"/>
      <c r="AD88" s="295"/>
    </row>
    <row r="89" spans="3:30" x14ac:dyDescent="0.3">
      <c r="C89" s="61"/>
      <c r="D89" s="90"/>
      <c r="E89" s="152"/>
      <c r="F89" s="152"/>
      <c r="G89" s="152"/>
      <c r="H89" s="152"/>
      <c r="I89" s="162"/>
      <c r="J89" s="533"/>
      <c r="K89" s="534"/>
      <c r="L89" s="534"/>
      <c r="M89" s="534"/>
      <c r="N89" s="534"/>
      <c r="O89" s="110"/>
      <c r="P89" s="61"/>
      <c r="T89" s="294"/>
      <c r="U89" s="296">
        <f t="shared" si="3"/>
        <v>44034</v>
      </c>
      <c r="V89" s="6"/>
      <c r="W89" s="297"/>
      <c r="X89" s="6"/>
      <c r="Y89" s="44"/>
      <c r="Z89" s="6"/>
      <c r="AA89" s="298"/>
      <c r="AB89" s="6"/>
      <c r="AC89" s="302"/>
      <c r="AD89" s="295"/>
    </row>
    <row r="90" spans="3:30" x14ac:dyDescent="0.3">
      <c r="C90" s="61"/>
      <c r="D90" s="90"/>
      <c r="E90" s="152"/>
      <c r="F90" s="152"/>
      <c r="G90" s="152"/>
      <c r="H90" s="152"/>
      <c r="I90" s="162"/>
      <c r="J90" s="533"/>
      <c r="K90" s="534"/>
      <c r="L90" s="534"/>
      <c r="M90" s="534"/>
      <c r="N90" s="534"/>
      <c r="O90" s="110"/>
      <c r="P90" s="61"/>
      <c r="T90" s="294"/>
      <c r="U90" s="296">
        <f t="shared" si="3"/>
        <v>44035</v>
      </c>
      <c r="V90" s="6"/>
      <c r="W90" s="297"/>
      <c r="X90" s="6"/>
      <c r="Y90" s="44"/>
      <c r="Z90" s="6"/>
      <c r="AA90" s="298"/>
      <c r="AB90" s="6"/>
      <c r="AC90" s="302"/>
      <c r="AD90" s="295"/>
    </row>
    <row r="91" spans="3:30" x14ac:dyDescent="0.3">
      <c r="C91" s="61"/>
      <c r="D91" s="90"/>
      <c r="E91" s="152"/>
      <c r="F91" s="152"/>
      <c r="G91" s="152"/>
      <c r="H91" s="152"/>
      <c r="I91" s="162"/>
      <c r="J91" s="533"/>
      <c r="K91" s="534"/>
      <c r="L91" s="534"/>
      <c r="M91" s="534"/>
      <c r="N91" s="534"/>
      <c r="O91" s="110"/>
      <c r="P91" s="61"/>
      <c r="T91" s="294"/>
      <c r="U91" s="296">
        <f t="shared" si="3"/>
        <v>44036</v>
      </c>
      <c r="V91" s="6"/>
      <c r="W91" s="297"/>
      <c r="X91" s="6"/>
      <c r="Y91" s="44"/>
      <c r="Z91" s="6"/>
      <c r="AA91" s="298"/>
      <c r="AB91" s="6"/>
      <c r="AC91" s="302"/>
      <c r="AD91" s="295"/>
    </row>
    <row r="92" spans="3:30" ht="15" thickBot="1" x14ac:dyDescent="0.35">
      <c r="D92" s="90"/>
      <c r="E92" s="152"/>
      <c r="F92" s="152"/>
      <c r="G92" s="152"/>
      <c r="H92" s="152"/>
      <c r="I92" s="354"/>
      <c r="J92" s="90"/>
      <c r="K92" s="110"/>
      <c r="L92" s="110"/>
      <c r="M92" s="110"/>
      <c r="N92" s="110"/>
      <c r="O92" s="110"/>
      <c r="T92" s="294"/>
      <c r="U92" s="296">
        <f t="shared" si="3"/>
        <v>44037</v>
      </c>
      <c r="V92" s="6"/>
      <c r="W92" s="297"/>
      <c r="X92" s="6"/>
      <c r="Y92" s="44"/>
      <c r="Z92" s="6"/>
      <c r="AA92" s="298"/>
      <c r="AB92" s="6"/>
      <c r="AC92" s="302"/>
      <c r="AD92" s="295"/>
    </row>
    <row r="93" spans="3:30" ht="16.2" thickBot="1" x14ac:dyDescent="0.35">
      <c r="D93" s="425"/>
      <c r="E93" s="602" t="s">
        <v>132</v>
      </c>
      <c r="F93" s="603"/>
      <c r="G93" s="603"/>
      <c r="H93" s="603"/>
      <c r="I93" s="603"/>
      <c r="J93" s="604"/>
      <c r="K93" s="426"/>
      <c r="L93" s="438" t="s">
        <v>10</v>
      </c>
      <c r="M93" s="427"/>
      <c r="N93" s="110"/>
      <c r="O93" s="110"/>
      <c r="T93" s="294"/>
      <c r="U93" s="296">
        <f t="shared" si="3"/>
        <v>44038</v>
      </c>
      <c r="V93" s="6"/>
      <c r="W93" s="297"/>
      <c r="X93" s="6"/>
      <c r="Y93" s="44"/>
      <c r="Z93" s="6"/>
      <c r="AA93" s="298"/>
      <c r="AB93" s="6"/>
      <c r="AC93" s="302"/>
      <c r="AD93" s="295"/>
    </row>
    <row r="94" spans="3:30" x14ac:dyDescent="0.3">
      <c r="D94" s="404"/>
      <c r="E94" s="428" t="s">
        <v>88</v>
      </c>
      <c r="F94" s="16"/>
      <c r="G94" s="16"/>
      <c r="H94" s="16"/>
      <c r="I94" s="605">
        <f>+K81</f>
        <v>48675</v>
      </c>
      <c r="J94" s="605"/>
      <c r="K94" s="16"/>
      <c r="L94" s="60">
        <f>+I94/$I$94</f>
        <v>1</v>
      </c>
      <c r="M94" s="429"/>
      <c r="N94" s="110"/>
      <c r="O94" s="110"/>
      <c r="T94" s="294"/>
      <c r="U94" s="296">
        <f t="shared" si="3"/>
        <v>44039</v>
      </c>
      <c r="V94" s="6"/>
      <c r="W94" s="297"/>
      <c r="X94" s="6"/>
      <c r="Y94" s="44"/>
      <c r="Z94" s="6"/>
      <c r="AA94" s="298"/>
      <c r="AB94" s="6"/>
      <c r="AC94" s="302"/>
      <c r="AD94" s="295"/>
    </row>
    <row r="95" spans="3:30" x14ac:dyDescent="0.3">
      <c r="D95" s="404"/>
      <c r="E95" s="428"/>
      <c r="F95" s="16"/>
      <c r="G95" s="16"/>
      <c r="H95" s="16"/>
      <c r="I95" s="16"/>
      <c r="J95" s="16"/>
      <c r="K95" s="16"/>
      <c r="L95" s="16"/>
      <c r="M95" s="429"/>
      <c r="N95" s="110"/>
      <c r="O95" s="110"/>
      <c r="T95" s="294"/>
      <c r="U95" s="296">
        <f t="shared" si="3"/>
        <v>44040</v>
      </c>
      <c r="V95" s="6"/>
      <c r="W95" s="297"/>
      <c r="X95" s="6"/>
      <c r="Y95" s="44"/>
      <c r="Z95" s="6"/>
      <c r="AA95" s="298"/>
      <c r="AB95" s="6"/>
      <c r="AC95" s="302"/>
      <c r="AD95" s="295"/>
    </row>
    <row r="96" spans="3:30" ht="15" thickBot="1" x14ac:dyDescent="0.35">
      <c r="D96" s="416"/>
      <c r="E96" s="15"/>
      <c r="F96" s="430" t="s">
        <v>113</v>
      </c>
      <c r="G96" s="430"/>
      <c r="H96" s="15"/>
      <c r="I96" s="606">
        <f>+I81</f>
        <v>36684</v>
      </c>
      <c r="J96" s="607"/>
      <c r="K96" s="15"/>
      <c r="L96" s="60">
        <f>+I96/$I$94</f>
        <v>0.75365177195685673</v>
      </c>
      <c r="M96" s="409"/>
      <c r="N96" s="110"/>
      <c r="O96" s="110"/>
      <c r="T96" s="299"/>
      <c r="U96" s="394">
        <f t="shared" si="3"/>
        <v>44041</v>
      </c>
      <c r="V96" s="291"/>
      <c r="W96" s="395"/>
      <c r="X96" s="291"/>
      <c r="Y96" s="300"/>
      <c r="Z96" s="291"/>
      <c r="AA96" s="396"/>
      <c r="AB96" s="291"/>
      <c r="AC96" s="397"/>
      <c r="AD96" s="301"/>
    </row>
    <row r="97" spans="4:36" x14ac:dyDescent="0.3">
      <c r="D97" s="416"/>
      <c r="E97" s="15"/>
      <c r="F97" s="15" t="s">
        <v>89</v>
      </c>
      <c r="G97" s="15"/>
      <c r="H97" s="15"/>
      <c r="I97" s="608">
        <f>+I75</f>
        <v>2144</v>
      </c>
      <c r="J97" s="609"/>
      <c r="K97" s="15"/>
      <c r="L97" s="60">
        <f>+I97/$I$94</f>
        <v>4.4047252182845401E-2</v>
      </c>
      <c r="M97" s="409"/>
      <c r="N97" s="110"/>
      <c r="O97" s="110"/>
    </row>
    <row r="98" spans="4:36" ht="15" thickBot="1" x14ac:dyDescent="0.35">
      <c r="D98" s="416"/>
      <c r="E98" s="611" t="s">
        <v>114</v>
      </c>
      <c r="F98" s="611"/>
      <c r="G98" s="611"/>
      <c r="H98" s="15"/>
      <c r="I98" s="612">
        <f>+I94-I96-I97</f>
        <v>9847</v>
      </c>
      <c r="J98" s="613"/>
      <c r="K98" s="431"/>
      <c r="L98" s="432">
        <f>+I98/$I$94</f>
        <v>0.20230097586029788</v>
      </c>
      <c r="M98" s="409"/>
      <c r="N98" s="110"/>
      <c r="O98" s="110"/>
      <c r="P98" s="57">
        <f>+I98/I103</f>
        <v>4.5847474526762295E-4</v>
      </c>
      <c r="Q98" s="57"/>
      <c r="R98" s="57"/>
    </row>
    <row r="99" spans="4:36" ht="15" thickTop="1" x14ac:dyDescent="0.3">
      <c r="D99" s="416"/>
      <c r="E99" s="433"/>
      <c r="F99" s="433"/>
      <c r="G99" s="433"/>
      <c r="H99" s="15"/>
      <c r="I99" s="434"/>
      <c r="J99" s="433"/>
      <c r="K99" s="431"/>
      <c r="L99" s="435"/>
      <c r="M99" s="409"/>
      <c r="N99" s="110"/>
      <c r="O99" s="110"/>
    </row>
    <row r="100" spans="4:36" ht="15" thickBot="1" x14ac:dyDescent="0.35">
      <c r="D100" s="436"/>
      <c r="E100" s="437"/>
      <c r="F100" s="437"/>
      <c r="G100" s="437"/>
      <c r="H100" s="437"/>
      <c r="I100" s="437"/>
      <c r="J100" s="437"/>
      <c r="K100" s="437"/>
      <c r="L100" s="437"/>
      <c r="M100" s="424"/>
      <c r="N100" s="110"/>
      <c r="O100" s="110"/>
    </row>
    <row r="101" spans="4:36" ht="15.6" thickTop="1" thickBot="1" x14ac:dyDescent="0.35">
      <c r="Q101" s="485"/>
      <c r="R101" s="486"/>
      <c r="S101" s="486"/>
      <c r="T101" s="486"/>
      <c r="U101" s="486"/>
      <c r="V101" s="486"/>
      <c r="W101" s="486"/>
      <c r="X101" s="486"/>
      <c r="Y101" s="486"/>
      <c r="Z101" s="486"/>
      <c r="AA101" s="486"/>
      <c r="AB101" s="487"/>
    </row>
    <row r="102" spans="4:36" ht="15" thickBot="1" x14ac:dyDescent="0.35">
      <c r="E102" s="614" t="s">
        <v>119</v>
      </c>
      <c r="F102" s="615"/>
      <c r="G102" s="615"/>
      <c r="H102" s="615"/>
      <c r="I102" s="615"/>
      <c r="J102" s="615"/>
      <c r="K102" s="615"/>
      <c r="L102" s="615"/>
      <c r="M102" s="616"/>
      <c r="Q102" s="488"/>
      <c r="R102" s="6"/>
      <c r="S102" s="6"/>
      <c r="T102" s="6"/>
      <c r="U102" s="5" t="s">
        <v>146</v>
      </c>
      <c r="V102" s="5"/>
      <c r="W102" s="5"/>
      <c r="X102" s="5"/>
      <c r="Y102" s="5"/>
      <c r="Z102" s="5"/>
      <c r="AA102" s="5" t="s">
        <v>30</v>
      </c>
      <c r="AB102" s="489"/>
    </row>
    <row r="103" spans="4:36" x14ac:dyDescent="0.3">
      <c r="E103" s="439"/>
      <c r="F103" s="440" t="s">
        <v>120</v>
      </c>
      <c r="G103" s="440"/>
      <c r="H103" s="440"/>
      <c r="I103" s="617">
        <v>21477737</v>
      </c>
      <c r="J103" s="617"/>
      <c r="K103" s="617"/>
      <c r="L103" s="617"/>
      <c r="M103" s="441"/>
      <c r="Q103" s="488"/>
      <c r="R103" s="481" t="s">
        <v>148</v>
      </c>
      <c r="S103" s="6"/>
      <c r="T103" s="6"/>
      <c r="U103" s="481" t="s">
        <v>147</v>
      </c>
      <c r="V103" s="5"/>
      <c r="W103" s="481" t="s">
        <v>20</v>
      </c>
      <c r="X103" s="5"/>
      <c r="Y103" s="481" t="s">
        <v>4</v>
      </c>
      <c r="Z103" s="5"/>
      <c r="AA103" s="490" t="s">
        <v>145</v>
      </c>
      <c r="AB103" s="489"/>
    </row>
    <row r="104" spans="4:36" x14ac:dyDescent="0.3">
      <c r="E104" s="439"/>
      <c r="F104" s="440" t="s">
        <v>110</v>
      </c>
      <c r="G104" s="440"/>
      <c r="H104" s="440"/>
      <c r="I104" s="440"/>
      <c r="J104" s="440"/>
      <c r="K104" s="440"/>
      <c r="L104" s="442">
        <f>+I98/I103</f>
        <v>4.5847474526762295E-4</v>
      </c>
      <c r="M104" s="441"/>
      <c r="Q104" s="488"/>
      <c r="R104" s="6" t="s">
        <v>135</v>
      </c>
      <c r="S104" s="6"/>
      <c r="T104" s="6"/>
      <c r="U104" s="7">
        <v>2003</v>
      </c>
      <c r="V104" s="6"/>
      <c r="W104" s="7">
        <v>389666</v>
      </c>
      <c r="X104" s="6"/>
      <c r="Y104" s="7">
        <v>31257</v>
      </c>
      <c r="Z104" s="6"/>
      <c r="AA104" s="297">
        <f>+AJ104</f>
        <v>19500</v>
      </c>
      <c r="AB104" s="489"/>
      <c r="AJ104" s="1">
        <v>19500</v>
      </c>
    </row>
    <row r="105" spans="4:36" x14ac:dyDescent="0.3">
      <c r="E105" s="439"/>
      <c r="F105" s="610" t="s">
        <v>108</v>
      </c>
      <c r="G105" s="610"/>
      <c r="H105" s="440"/>
      <c r="I105" s="440"/>
      <c r="J105" s="440"/>
      <c r="K105" s="440"/>
      <c r="L105" s="443">
        <f>+I98/(I103/100000)</f>
        <v>45.847474526762298</v>
      </c>
      <c r="M105" s="441"/>
      <c r="Q105" s="488"/>
      <c r="R105" s="6" t="s">
        <v>136</v>
      </c>
      <c r="S105" s="6"/>
      <c r="T105" s="6"/>
      <c r="U105" s="7">
        <v>1913</v>
      </c>
      <c r="V105" s="6"/>
      <c r="W105" s="7">
        <v>169892</v>
      </c>
      <c r="X105" s="6"/>
      <c r="Y105" s="7">
        <v>13076</v>
      </c>
      <c r="Z105" s="6"/>
      <c r="AA105" s="297">
        <f t="shared" ref="AA105:AA113" si="11">+AJ105</f>
        <v>8900</v>
      </c>
      <c r="AB105" s="489"/>
      <c r="AJ105" s="1">
        <v>8900</v>
      </c>
    </row>
    <row r="106" spans="4:36" x14ac:dyDescent="0.3">
      <c r="E106" s="439"/>
      <c r="F106" s="444"/>
      <c r="G106" s="444"/>
      <c r="H106" s="440"/>
      <c r="I106" s="440"/>
      <c r="J106" s="440"/>
      <c r="K106" s="440"/>
      <c r="L106" s="443"/>
      <c r="M106" s="441"/>
      <c r="Q106" s="488"/>
      <c r="R106" s="6" t="s">
        <v>137</v>
      </c>
      <c r="S106" s="6"/>
      <c r="T106" s="6"/>
      <c r="U106" s="7">
        <v>1568</v>
      </c>
      <c r="V106" s="6"/>
      <c r="W106" s="7">
        <v>16606</v>
      </c>
      <c r="X106" s="6"/>
      <c r="Y106" s="7">
        <v>912</v>
      </c>
      <c r="Z106" s="6"/>
      <c r="AA106" s="297">
        <f t="shared" si="11"/>
        <v>1100</v>
      </c>
      <c r="AB106" s="489"/>
      <c r="AJ106" s="1">
        <v>1100</v>
      </c>
    </row>
    <row r="107" spans="4:36" x14ac:dyDescent="0.3">
      <c r="E107" s="439"/>
      <c r="F107" s="444" t="s">
        <v>121</v>
      </c>
      <c r="G107" s="444"/>
      <c r="H107" s="610" t="s">
        <v>122</v>
      </c>
      <c r="I107" s="610"/>
      <c r="J107" s="440"/>
      <c r="K107" s="440"/>
      <c r="L107" s="443"/>
      <c r="M107" s="441"/>
      <c r="Q107" s="488"/>
      <c r="R107" s="6" t="s">
        <v>58</v>
      </c>
      <c r="S107" s="6"/>
      <c r="T107" s="6"/>
      <c r="U107" s="7">
        <v>1561</v>
      </c>
      <c r="V107" s="6"/>
      <c r="W107" s="7">
        <v>107611</v>
      </c>
      <c r="X107" s="6"/>
      <c r="Y107" s="7">
        <v>7937</v>
      </c>
      <c r="Z107" s="6"/>
      <c r="AA107" s="297">
        <f t="shared" si="11"/>
        <v>7000</v>
      </c>
      <c r="AB107" s="489"/>
      <c r="AJ107" s="1">
        <v>7000</v>
      </c>
    </row>
    <row r="108" spans="4:36" ht="15" thickBot="1" x14ac:dyDescent="0.35">
      <c r="E108" s="445"/>
      <c r="F108" s="446"/>
      <c r="G108" s="446"/>
      <c r="H108" s="446"/>
      <c r="I108" s="446"/>
      <c r="J108" s="446"/>
      <c r="K108" s="446"/>
      <c r="L108" s="446"/>
      <c r="M108" s="447"/>
      <c r="Q108" s="488"/>
      <c r="R108" s="6" t="s">
        <v>142</v>
      </c>
      <c r="S108" s="6"/>
      <c r="T108" s="6"/>
      <c r="U108" s="7">
        <v>1435</v>
      </c>
      <c r="V108" s="6"/>
      <c r="W108" s="7">
        <v>10128</v>
      </c>
      <c r="X108" s="6"/>
      <c r="Y108" s="7">
        <v>541</v>
      </c>
      <c r="Z108" s="6"/>
      <c r="AA108" s="297">
        <f t="shared" si="11"/>
        <v>700</v>
      </c>
      <c r="AB108" s="489"/>
      <c r="AJ108" s="1">
        <v>700</v>
      </c>
    </row>
    <row r="109" spans="4:36" x14ac:dyDescent="0.3">
      <c r="Q109" s="488"/>
      <c r="R109" s="6" t="s">
        <v>138</v>
      </c>
      <c r="S109" s="6"/>
      <c r="T109" s="6"/>
      <c r="U109" s="7">
        <v>1288</v>
      </c>
      <c r="V109" s="6"/>
      <c r="W109" s="7">
        <v>45913</v>
      </c>
      <c r="X109" s="6"/>
      <c r="Y109" s="7">
        <v>4287</v>
      </c>
      <c r="Z109" s="6"/>
      <c r="AA109" s="297">
        <f t="shared" si="11"/>
        <v>3600</v>
      </c>
      <c r="AB109" s="489"/>
      <c r="AJ109" s="1">
        <v>3600</v>
      </c>
    </row>
    <row r="110" spans="4:36" x14ac:dyDescent="0.3">
      <c r="Q110" s="488"/>
      <c r="R110" s="6" t="s">
        <v>143</v>
      </c>
      <c r="S110" s="6"/>
      <c r="T110" s="6"/>
      <c r="U110" s="7">
        <v>1129</v>
      </c>
      <c r="V110" s="6"/>
      <c r="W110" s="7">
        <v>52477</v>
      </c>
      <c r="X110" s="6"/>
      <c r="Y110" s="7">
        <v>3152</v>
      </c>
      <c r="Z110" s="6"/>
      <c r="AA110" s="297">
        <f t="shared" si="11"/>
        <v>4600</v>
      </c>
      <c r="AB110" s="489"/>
      <c r="AJ110" s="1">
        <v>4600</v>
      </c>
    </row>
    <row r="111" spans="4:36" x14ac:dyDescent="0.3">
      <c r="Q111" s="488"/>
      <c r="R111" s="6" t="s">
        <v>139</v>
      </c>
      <c r="S111" s="6"/>
      <c r="T111" s="6"/>
      <c r="U111" s="7">
        <v>1118</v>
      </c>
      <c r="V111" s="6"/>
      <c r="W111" s="7">
        <v>10889</v>
      </c>
      <c r="X111" s="6"/>
      <c r="Y111" s="7">
        <v>505</v>
      </c>
      <c r="Z111" s="6"/>
      <c r="AA111" s="297">
        <f t="shared" si="11"/>
        <v>980</v>
      </c>
      <c r="AB111" s="489"/>
      <c r="AJ111" s="1">
        <v>980</v>
      </c>
    </row>
    <row r="112" spans="4:36" x14ac:dyDescent="0.3">
      <c r="Q112" s="488"/>
      <c r="R112" s="6" t="s">
        <v>140</v>
      </c>
      <c r="S112" s="6"/>
      <c r="T112" s="6"/>
      <c r="U112" s="7">
        <v>1093</v>
      </c>
      <c r="V112" s="6"/>
      <c r="W112" s="7">
        <v>138546</v>
      </c>
      <c r="X112" s="6"/>
      <c r="Y112" s="7">
        <v>6770</v>
      </c>
      <c r="Z112" s="6"/>
      <c r="AA112" s="297">
        <f t="shared" si="11"/>
        <v>12700</v>
      </c>
      <c r="AB112" s="489"/>
      <c r="AJ112" s="1">
        <v>12700</v>
      </c>
    </row>
    <row r="113" spans="6:36" x14ac:dyDescent="0.3">
      <c r="Q113" s="488"/>
      <c r="R113" s="6" t="s">
        <v>141</v>
      </c>
      <c r="S113" s="6"/>
      <c r="T113" s="6"/>
      <c r="U113" s="491">
        <v>1081</v>
      </c>
      <c r="V113" s="6"/>
      <c r="W113" s="491">
        <v>65337</v>
      </c>
      <c r="X113" s="6"/>
      <c r="Y113" s="491">
        <v>3108</v>
      </c>
      <c r="Z113" s="6"/>
      <c r="AA113" s="492">
        <f t="shared" si="11"/>
        <v>6100</v>
      </c>
      <c r="AB113" s="489"/>
      <c r="AJ113" s="483">
        <v>6100</v>
      </c>
    </row>
    <row r="114" spans="6:36" x14ac:dyDescent="0.3">
      <c r="Q114" s="488"/>
      <c r="R114" s="5" t="s">
        <v>33</v>
      </c>
      <c r="S114" s="6"/>
      <c r="T114" s="6"/>
      <c r="U114" s="297">
        <f>+W114/(AA114/100)</f>
        <v>1545.0521632402579</v>
      </c>
      <c r="V114" s="6"/>
      <c r="W114" s="297">
        <f>SUM(W104:W113)</f>
        <v>1007065</v>
      </c>
      <c r="X114" s="6"/>
      <c r="Y114" s="297">
        <f>SUM(Y104:Y113)</f>
        <v>71545</v>
      </c>
      <c r="Z114" s="6"/>
      <c r="AA114" s="297">
        <f>SUM(AA104:AA113)</f>
        <v>65180</v>
      </c>
      <c r="AB114" s="489"/>
      <c r="AJ114" s="56">
        <f>SUM(AJ104:AJ113)</f>
        <v>65180</v>
      </c>
    </row>
    <row r="115" spans="6:36" x14ac:dyDescent="0.3">
      <c r="Q115" s="488"/>
      <c r="R115" s="5"/>
      <c r="S115" s="6"/>
      <c r="T115" s="6"/>
      <c r="U115" s="6"/>
      <c r="V115" s="6"/>
      <c r="W115" s="297"/>
      <c r="X115" s="6"/>
      <c r="Y115" s="297"/>
      <c r="Z115" s="6"/>
      <c r="AA115" s="6"/>
      <c r="AB115" s="489"/>
      <c r="AJ115" s="56"/>
    </row>
    <row r="116" spans="6:36" x14ac:dyDescent="0.3">
      <c r="Q116" s="488"/>
      <c r="R116" s="5" t="s">
        <v>59</v>
      </c>
      <c r="S116" s="6"/>
      <c r="T116" s="6"/>
      <c r="U116" s="7">
        <v>7441</v>
      </c>
      <c r="V116" s="6"/>
      <c r="W116" s="7">
        <f>+'Main Table'!H106</f>
        <v>2465403</v>
      </c>
      <c r="X116" s="6"/>
      <c r="Y116" s="7">
        <f>+'Main Table'!Z106</f>
        <v>126977</v>
      </c>
      <c r="Z116" s="6"/>
      <c r="AA116" s="297">
        <v>331000</v>
      </c>
      <c r="AB116" s="489"/>
      <c r="AJ116" s="56">
        <v>333000</v>
      </c>
    </row>
    <row r="117" spans="6:36" ht="15" thickBot="1" x14ac:dyDescent="0.35">
      <c r="Q117" s="488"/>
      <c r="R117" s="5" t="s">
        <v>144</v>
      </c>
      <c r="S117" s="6"/>
      <c r="T117" s="6"/>
      <c r="U117" s="493"/>
      <c r="V117" s="6"/>
      <c r="W117" s="494">
        <f>+W114/W116</f>
        <v>0.40847885720914595</v>
      </c>
      <c r="X117" s="6"/>
      <c r="Y117" s="494">
        <f>+Y114/Y116</f>
        <v>0.56344849854698098</v>
      </c>
      <c r="Z117" s="6"/>
      <c r="AA117" s="494">
        <f>+AA114/AA116</f>
        <v>0.19691842900302114</v>
      </c>
      <c r="AB117" s="489"/>
      <c r="AJ117" s="484">
        <f>+AJ114/AJ116</f>
        <v>0.19573573573573574</v>
      </c>
    </row>
    <row r="118" spans="6:36" ht="15.6" thickTop="1" thickBot="1" x14ac:dyDescent="0.35">
      <c r="Q118" s="495"/>
      <c r="R118" s="496"/>
      <c r="S118" s="496"/>
      <c r="T118" s="496"/>
      <c r="U118" s="496"/>
      <c r="V118" s="496"/>
      <c r="W118" s="496"/>
      <c r="X118" s="496"/>
      <c r="Y118" s="496"/>
      <c r="Z118" s="496"/>
      <c r="AA118" s="496"/>
      <c r="AB118" s="497"/>
    </row>
    <row r="119" spans="6:36" ht="15" thickTop="1" x14ac:dyDescent="0.3"/>
    <row r="122" spans="6:36" x14ac:dyDescent="0.3">
      <c r="F122" s="1">
        <v>1248371</v>
      </c>
    </row>
    <row r="123" spans="6:36" x14ac:dyDescent="0.3">
      <c r="W123" s="1"/>
    </row>
    <row r="124" spans="6:36" x14ac:dyDescent="0.3">
      <c r="F124">
        <v>700</v>
      </c>
    </row>
    <row r="125" spans="6:36" x14ac:dyDescent="0.3">
      <c r="F125" s="87">
        <f>+F124/F122</f>
        <v>5.6073074430597954E-4</v>
      </c>
    </row>
    <row r="127" spans="6:36" x14ac:dyDescent="0.3">
      <c r="F127" s="1">
        <v>60000</v>
      </c>
    </row>
    <row r="128" spans="6:36" x14ac:dyDescent="0.3">
      <c r="F128">
        <f>+F125*F127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93:J93"/>
    <mergeCell ref="I94:J94"/>
    <mergeCell ref="I96:J96"/>
    <mergeCell ref="I97:J97"/>
    <mergeCell ref="H107:I107"/>
    <mergeCell ref="E98:G98"/>
    <mergeCell ref="I98:J98"/>
    <mergeCell ref="E102:M102"/>
    <mergeCell ref="I103:L103"/>
    <mergeCell ref="F105:G105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54" t="s">
        <v>5</v>
      </c>
      <c r="C1" s="554"/>
      <c r="D1" s="554"/>
    </row>
    <row r="2" spans="2:31" ht="15.6" x14ac:dyDescent="0.3">
      <c r="B2" s="554" t="s">
        <v>6</v>
      </c>
      <c r="C2" s="554"/>
      <c r="D2" s="554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66" t="s">
        <v>23</v>
      </c>
      <c r="E12" s="667"/>
      <c r="F12" s="667"/>
      <c r="G12" s="667"/>
      <c r="H12" s="667"/>
      <c r="I12" s="667"/>
      <c r="J12" s="667"/>
      <c r="K12" s="667"/>
      <c r="L12" s="667"/>
      <c r="M12" s="667"/>
      <c r="N12" s="667"/>
      <c r="O12" s="667"/>
      <c r="P12" s="667"/>
      <c r="Q12" s="667"/>
      <c r="R12" s="667"/>
      <c r="S12" s="667"/>
      <c r="T12" s="667"/>
      <c r="U12" s="668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Table'!J143</f>
        <v>1.7050976880788389E-2</v>
      </c>
      <c r="U14" s="230"/>
      <c r="V14" s="1"/>
      <c r="X14" s="234"/>
      <c r="Y14" s="665" t="s">
        <v>62</v>
      </c>
      <c r="Z14" s="665"/>
      <c r="AA14" s="665"/>
      <c r="AB14" s="665"/>
      <c r="AC14" s="665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86891.750209810169</v>
      </c>
      <c r="Q15" s="81"/>
      <c r="R15" s="81"/>
      <c r="S15" s="81"/>
      <c r="T15" s="82">
        <f t="shared" ref="T15:T59" si="5">+T14</f>
        <v>1.7050976880788389E-2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88373.339433768895</v>
      </c>
      <c r="Q16" s="81"/>
      <c r="R16" s="81"/>
      <c r="S16" s="81"/>
      <c r="T16" s="82">
        <f t="shared" si="5"/>
        <v>1.7050976880788389E-2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89880.191201332156</v>
      </c>
      <c r="Q17" s="81"/>
      <c r="R17" s="81"/>
      <c r="S17" s="81"/>
      <c r="T17" s="82">
        <f t="shared" si="5"/>
        <v>1.7050976880788389E-2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91412.736263546918</v>
      </c>
      <c r="Q18" s="81"/>
      <c r="R18" s="81"/>
      <c r="S18" s="81"/>
      <c r="T18" s="82">
        <f t="shared" si="5"/>
        <v>1.7050976880788389E-2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92971.412716186271</v>
      </c>
      <c r="Q19" s="81"/>
      <c r="R19" s="81"/>
      <c r="S19" s="81"/>
      <c r="T19" s="82">
        <f t="shared" si="5"/>
        <v>1.7050976880788389E-2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94556.666124984215</v>
      </c>
      <c r="Q20" s="81"/>
      <c r="R20" s="81"/>
      <c r="S20" s="81"/>
      <c r="T20" s="82">
        <f t="shared" si="5"/>
        <v>1.7050976880788389E-2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96168.949653005751</v>
      </c>
      <c r="Q21" s="81"/>
      <c r="R21" s="81"/>
      <c r="S21" s="81"/>
      <c r="T21" s="82">
        <f t="shared" si="5"/>
        <v>1.7050976880788389E-2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97808.724190188863</v>
      </c>
      <c r="Q22" s="81"/>
      <c r="R22" s="81"/>
      <c r="S22" s="81"/>
      <c r="T22" s="82">
        <f t="shared" si="5"/>
        <v>1.7050976880788389E-2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99476.458485095194</v>
      </c>
      <c r="Q23" s="81"/>
      <c r="R23" s="81"/>
      <c r="S23" s="81"/>
      <c r="T23" s="82">
        <f t="shared" si="5"/>
        <v>1.7050976880788389E-2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101172.62927890728</v>
      </c>
      <c r="Q24" s="81"/>
      <c r="R24" s="81"/>
      <c r="S24" s="81"/>
      <c r="T24" s="82">
        <f t="shared" si="5"/>
        <v>1.7050976880788389E-2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102897.72144171051</v>
      </c>
      <c r="Q25" s="81"/>
      <c r="R25" s="81"/>
      <c r="S25" s="81"/>
      <c r="T25" s="82">
        <f t="shared" si="5"/>
        <v>1.7050976880788389E-2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104652.22811109893</v>
      </c>
      <c r="Q26" s="81"/>
      <c r="R26" s="81"/>
      <c r="S26" s="81"/>
      <c r="T26" s="82">
        <f t="shared" si="5"/>
        <v>1.7050976880788389E-2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106436.65083314427</v>
      </c>
      <c r="Q27" s="81"/>
      <c r="R27" s="81"/>
      <c r="S27" s="81"/>
      <c r="T27" s="82">
        <f t="shared" si="5"/>
        <v>1.7050976880788389E-2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108251.49970576877</v>
      </c>
      <c r="Q28" s="81"/>
      <c r="R28" s="81"/>
      <c r="S28" s="81"/>
      <c r="T28" s="82">
        <f t="shared" si="5"/>
        <v>1.7050976880788389E-2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110097.29352456251</v>
      </c>
      <c r="Q29" s="81"/>
      <c r="R29" s="81"/>
      <c r="S29" s="81"/>
      <c r="T29" s="82">
        <f t="shared" si="5"/>
        <v>1.7050976880788389E-2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111974.55993108721</v>
      </c>
      <c r="Q30" s="81"/>
      <c r="R30" s="81"/>
      <c r="S30" s="81"/>
      <c r="T30" s="82">
        <f t="shared" si="5"/>
        <v>1.7050976880788389E-2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113883.83556370864</v>
      </c>
      <c r="Q31" s="81"/>
      <c r="R31" s="81"/>
      <c r="S31" s="81"/>
      <c r="T31" s="82">
        <f t="shared" si="5"/>
        <v>1.7050976880788389E-2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115825.66621100095</v>
      </c>
      <c r="Q32" s="81"/>
      <c r="R32" s="81"/>
      <c r="S32" s="81"/>
      <c r="T32" s="82">
        <f t="shared" si="5"/>
        <v>1.7050976880788389E-2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117800.60696776665</v>
      </c>
      <c r="Q33" s="81"/>
      <c r="R33" s="81"/>
      <c r="S33" s="81"/>
      <c r="T33" s="82">
        <f t="shared" si="5"/>
        <v>1.7050976880788389E-2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119809.22239371689</v>
      </c>
      <c r="Q34" s="81"/>
      <c r="R34" s="81"/>
      <c r="S34" s="81"/>
      <c r="T34" s="82">
        <f t="shared" si="5"/>
        <v>1.7050976880788389E-2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121852.0866748574</v>
      </c>
      <c r="Q35" s="81"/>
      <c r="R35" s="81"/>
      <c r="S35" s="81"/>
      <c r="T35" s="82">
        <f t="shared" si="5"/>
        <v>1.7050976880788389E-2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123929.78378762623</v>
      </c>
      <c r="Q36" s="81"/>
      <c r="R36" s="81"/>
      <c r="S36" s="81"/>
      <c r="T36" s="82">
        <f t="shared" si="5"/>
        <v>1.7050976880788389E-2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126042.90766583016</v>
      </c>
      <c r="Q37" s="81"/>
      <c r="R37" s="81"/>
      <c r="S37" s="81"/>
      <c r="T37" s="82">
        <f t="shared" si="5"/>
        <v>1.7050976880788389E-2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128192.06237042759</v>
      </c>
      <c r="Q38" s="81"/>
      <c r="R38" s="81"/>
      <c r="S38" s="81"/>
      <c r="T38" s="82">
        <f t="shared" si="5"/>
        <v>1.7050976880788389E-2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130377.86226220636</v>
      </c>
      <c r="Q39" s="81"/>
      <c r="R39" s="81"/>
      <c r="S39" s="81"/>
      <c r="T39" s="82">
        <f t="shared" si="5"/>
        <v>1.7050976880788389E-2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132600.93217740586</v>
      </c>
      <c r="Q40" s="81"/>
      <c r="R40" s="81"/>
      <c r="S40" s="81"/>
      <c r="T40" s="82">
        <f t="shared" si="5"/>
        <v>1.7050976880788389E-2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134861.90760633381</v>
      </c>
      <c r="Q41" s="81"/>
      <c r="R41" s="81"/>
      <c r="S41" s="81"/>
      <c r="T41" s="82">
        <f t="shared" si="5"/>
        <v>1.7050976880788389E-2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137161.43487502844</v>
      </c>
      <c r="Q42" s="81"/>
      <c r="R42" s="81"/>
      <c r="S42" s="81"/>
      <c r="T42" s="82">
        <f t="shared" si="5"/>
        <v>1.7050976880788389E-2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139500.17133001832</v>
      </c>
      <c r="Q43" s="81"/>
      <c r="R43" s="81"/>
      <c r="S43" s="81"/>
      <c r="T43" s="82">
        <f t="shared" si="5"/>
        <v>1.7050976880788389E-2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141878.7855262325</v>
      </c>
      <c r="Q44" s="81"/>
      <c r="R44" s="81"/>
      <c r="S44" s="81"/>
      <c r="T44" s="82">
        <f t="shared" si="5"/>
        <v>1.7050976880788389E-2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144297.95741811465</v>
      </c>
      <c r="Q45" s="81"/>
      <c r="R45" s="81"/>
      <c r="S45" s="81"/>
      <c r="T45" s="82">
        <f t="shared" si="5"/>
        <v>1.7050976880788389E-2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146758.37855399592</v>
      </c>
      <c r="Q46" s="81"/>
      <c r="R46" s="81"/>
      <c r="S46" s="81"/>
      <c r="T46" s="82">
        <f t="shared" si="5"/>
        <v>1.7050976880788389E-2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149260.7522737821</v>
      </c>
      <c r="Q47" s="81"/>
      <c r="R47" s="81"/>
      <c r="S47" s="81"/>
      <c r="T47" s="82">
        <f t="shared" si="5"/>
        <v>1.7050976880788389E-2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151805.79391001145</v>
      </c>
      <c r="Q48" s="81"/>
      <c r="R48" s="81"/>
      <c r="S48" s="81"/>
      <c r="T48" s="82">
        <f t="shared" si="5"/>
        <v>1.7050976880788389E-2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154394.2309923408</v>
      </c>
      <c r="Q49" s="81"/>
      <c r="R49" s="81"/>
      <c r="S49" s="81"/>
      <c r="T49" s="82">
        <f t="shared" si="5"/>
        <v>1.7050976880788389E-2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157026.80345551833</v>
      </c>
      <c r="Q50" s="81"/>
      <c r="R50" s="81"/>
      <c r="S50" s="81"/>
      <c r="T50" s="82">
        <f t="shared" si="5"/>
        <v>1.7050976880788389E-2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159704.2638509025</v>
      </c>
      <c r="Q51" s="81"/>
      <c r="R51" s="81"/>
      <c r="S51" s="81"/>
      <c r="T51" s="82">
        <f t="shared" si="5"/>
        <v>1.7050976880788389E-2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162427.37756158758</v>
      </c>
      <c r="Q52" s="81"/>
      <c r="R52" s="81"/>
      <c r="S52" s="81"/>
      <c r="T52" s="82">
        <f t="shared" si="5"/>
        <v>1.7050976880788389E-2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165196.92302119732</v>
      </c>
      <c r="Q53" s="81"/>
      <c r="R53" s="81"/>
      <c r="S53" s="81"/>
      <c r="T53" s="82">
        <f t="shared" si="5"/>
        <v>1.7050976880788389E-2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168013.69193640916</v>
      </c>
      <c r="Q54" s="81"/>
      <c r="R54" s="81"/>
      <c r="S54" s="81"/>
      <c r="T54" s="82">
        <f t="shared" si="5"/>
        <v>1.7050976880788389E-2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170878.4895132728</v>
      </c>
      <c r="Q55" s="81"/>
      <c r="R55" s="81"/>
      <c r="S55" s="81"/>
      <c r="T55" s="82">
        <f t="shared" si="5"/>
        <v>1.7050976880788389E-2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173792.13468738768</v>
      </c>
      <c r="Q56" s="81"/>
      <c r="R56" s="81"/>
      <c r="S56" s="81"/>
      <c r="T56" s="82">
        <f t="shared" si="5"/>
        <v>1.7050976880788389E-2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176755.46035800519</v>
      </c>
      <c r="Q57" s="81"/>
      <c r="R57" s="81"/>
      <c r="S57" s="81"/>
      <c r="T57" s="82">
        <f t="shared" si="5"/>
        <v>1.7050976880788389E-2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179769.31362612266</v>
      </c>
      <c r="Q58" s="81"/>
      <c r="R58" s="81"/>
      <c r="S58" s="81"/>
      <c r="T58" s="82">
        <f t="shared" si="5"/>
        <v>1.7050976880788389E-2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182834.5560366369</v>
      </c>
      <c r="Q59" s="81"/>
      <c r="R59" s="81"/>
      <c r="S59" s="81"/>
      <c r="T59" s="82">
        <f t="shared" si="5"/>
        <v>1.7050976880788389E-2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2020-07-20T10:43:05Z</dcterms:modified>
</cp:coreProperties>
</file>