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B7A23699-9446-4D95-AD0E-B84970A762C5}" xr6:coauthVersionLast="47" xr6:coauthVersionMax="47" xr10:uidLastSave="{00000000-0000-0000-0000-000000000000}"/>
  <bookViews>
    <workbookView xWindow="-98" yWindow="-98" windowWidth="28996" windowHeight="157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Table'!$A$1:$CJ$874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873" i="1" l="1"/>
  <c r="BK873" i="1"/>
  <c r="BI873" i="1"/>
  <c r="AY873" i="1"/>
  <c r="AU873" i="1"/>
  <c r="AS873" i="1"/>
  <c r="AQ873" i="1"/>
  <c r="AM873" i="1"/>
  <c r="AK873" i="1"/>
  <c r="AI873" i="1"/>
  <c r="W873" i="1"/>
  <c r="U873" i="1"/>
  <c r="M873" i="1"/>
  <c r="K873" i="1"/>
  <c r="BO872" i="1"/>
  <c r="BM872" i="1"/>
  <c r="BM873" i="1" s="1"/>
  <c r="BL872" i="1"/>
  <c r="BL873" i="1" s="1"/>
  <c r="BK872" i="1"/>
  <c r="BJ872" i="1"/>
  <c r="BJ873" i="1" s="1"/>
  <c r="BI872" i="1"/>
  <c r="BH872" i="1"/>
  <c r="BH873" i="1" s="1"/>
  <c r="BF872" i="1"/>
  <c r="BF873" i="1" s="1"/>
  <c r="BE872" i="1"/>
  <c r="BE873" i="1" s="1"/>
  <c r="BD872" i="1"/>
  <c r="BD873" i="1" s="1"/>
  <c r="BC872" i="1"/>
  <c r="BC873" i="1" s="1"/>
  <c r="BB872" i="1"/>
  <c r="BB873" i="1" s="1"/>
  <c r="BA872" i="1"/>
  <c r="BA873" i="1" s="1"/>
  <c r="AZ872" i="1"/>
  <c r="AZ873" i="1" s="1"/>
  <c r="AY872" i="1"/>
  <c r="AW872" i="1"/>
  <c r="AW873" i="1" s="1"/>
  <c r="AU872" i="1"/>
  <c r="AT872" i="1"/>
  <c r="AT873" i="1" s="1"/>
  <c r="AS872" i="1"/>
  <c r="AQ872" i="1"/>
  <c r="AP872" i="1"/>
  <c r="AP873" i="1" s="1"/>
  <c r="AO872" i="1"/>
  <c r="AO873" i="1" s="1"/>
  <c r="AN872" i="1"/>
  <c r="AN873" i="1" s="1"/>
  <c r="AM872" i="1"/>
  <c r="AK872" i="1"/>
  <c r="AJ872" i="1"/>
  <c r="AJ873" i="1" s="1"/>
  <c r="AI872" i="1"/>
  <c r="AH872" i="1"/>
  <c r="AH873" i="1" s="1"/>
  <c r="AG872" i="1"/>
  <c r="AG873" i="1" s="1"/>
  <c r="AF872" i="1"/>
  <c r="AF873" i="1" s="1"/>
  <c r="AD872" i="1"/>
  <c r="AD873" i="1" s="1"/>
  <c r="AB872" i="1"/>
  <c r="AB873" i="1" s="1"/>
  <c r="Y872" i="1"/>
  <c r="Y873" i="1" s="1"/>
  <c r="X872" i="1"/>
  <c r="X873" i="1" s="1"/>
  <c r="W872" i="1"/>
  <c r="V872" i="1"/>
  <c r="V873" i="1" s="1"/>
  <c r="U872" i="1"/>
  <c r="T872" i="1"/>
  <c r="T873" i="1" s="1"/>
  <c r="R872" i="1"/>
  <c r="R873" i="1" s="1"/>
  <c r="Q872" i="1"/>
  <c r="Q873" i="1" s="1"/>
  <c r="P872" i="1"/>
  <c r="P873" i="1" s="1"/>
  <c r="O872" i="1"/>
  <c r="O873" i="1" s="1"/>
  <c r="N872" i="1"/>
  <c r="N873" i="1" s="1"/>
  <c r="M872" i="1"/>
  <c r="L872" i="1"/>
  <c r="L873" i="1" s="1"/>
  <c r="K872" i="1"/>
  <c r="I872" i="1"/>
  <c r="I873" i="1" s="1"/>
  <c r="H872" i="1"/>
  <c r="H873" i="1" s="1"/>
  <c r="D872" i="1"/>
  <c r="D873" i="1" s="1"/>
  <c r="BW866" i="1"/>
  <c r="BN866" i="1" s="1"/>
  <c r="BN872" i="1" s="1"/>
  <c r="BN873" i="1" s="1"/>
  <c r="BE866" i="1"/>
  <c r="BP866" i="1" s="1"/>
  <c r="BR866" i="1" s="1"/>
  <c r="BA866" i="1"/>
  <c r="AL866" i="1"/>
  <c r="AL872" i="1" s="1"/>
  <c r="AL873" i="1" s="1"/>
  <c r="AA866" i="1"/>
  <c r="AC866" i="1" s="1"/>
  <c r="AC872" i="1" s="1"/>
  <c r="AC873" i="1" s="1"/>
  <c r="Z866" i="1"/>
  <c r="Z872" i="1" s="1"/>
  <c r="Z873" i="1" s="1"/>
  <c r="V866" i="1"/>
  <c r="Q866" i="1"/>
  <c r="S866" i="1" s="1"/>
  <c r="S872" i="1" s="1"/>
  <c r="S873" i="1" s="1"/>
  <c r="N866" i="1"/>
  <c r="J866" i="1"/>
  <c r="J872" i="1" s="1"/>
  <c r="J873" i="1" s="1"/>
  <c r="H866" i="1"/>
  <c r="O866" i="1" s="1"/>
  <c r="I20" i="3"/>
  <c r="BW865" i="1"/>
  <c r="BN865" i="1" s="1"/>
  <c r="BE865" i="1"/>
  <c r="BP865" i="1" s="1"/>
  <c r="BR865" i="1" s="1"/>
  <c r="BA865" i="1"/>
  <c r="AL865" i="1"/>
  <c r="AR865" i="1" s="1"/>
  <c r="AA865" i="1"/>
  <c r="AC865" i="1" s="1"/>
  <c r="Z865" i="1"/>
  <c r="V865" i="1"/>
  <c r="Q865" i="1"/>
  <c r="S865" i="1" s="1"/>
  <c r="N865" i="1"/>
  <c r="J865" i="1"/>
  <c r="H865" i="1"/>
  <c r="O865" i="1" s="1"/>
  <c r="B866" i="1"/>
  <c r="B867" i="1" s="1"/>
  <c r="B868" i="1" s="1"/>
  <c r="B869" i="1" s="1"/>
  <c r="BE864" i="1"/>
  <c r="BA864" i="1"/>
  <c r="AL864" i="1"/>
  <c r="Z864" i="1"/>
  <c r="Q864" i="1"/>
  <c r="N864" i="1"/>
  <c r="U820" i="3"/>
  <c r="U821" i="3" s="1"/>
  <c r="U822" i="3" s="1"/>
  <c r="U823" i="3" s="1"/>
  <c r="BE863" i="1"/>
  <c r="BA863" i="1"/>
  <c r="AR863" i="1"/>
  <c r="AL863" i="1"/>
  <c r="Z863" i="1"/>
  <c r="Q863" i="1"/>
  <c r="N863" i="1"/>
  <c r="AR866" i="1" l="1"/>
  <c r="AR872" i="1" s="1"/>
  <c r="AR873" i="1" s="1"/>
  <c r="AA872" i="1"/>
  <c r="AA873" i="1" s="1"/>
  <c r="AV866" i="1"/>
  <c r="AV872" i="1" s="1"/>
  <c r="AV873" i="1" s="1"/>
  <c r="BP872" i="1"/>
  <c r="BP873" i="1" s="1"/>
  <c r="AX866" i="1"/>
  <c r="AX872" i="1" s="1"/>
  <c r="AX873" i="1" s="1"/>
  <c r="BG866" i="1"/>
  <c r="BG872" i="1" s="1"/>
  <c r="BG873" i="1" s="1"/>
  <c r="AE866" i="1"/>
  <c r="AE872" i="1" s="1"/>
  <c r="AE873" i="1" s="1"/>
  <c r="AV865" i="1"/>
  <c r="AX865" i="1"/>
  <c r="BG865" i="1"/>
  <c r="AE865" i="1"/>
  <c r="AR864" i="1"/>
  <c r="BG864" i="1"/>
  <c r="BG863" i="1"/>
  <c r="BE862" i="1"/>
  <c r="BA862" i="1"/>
  <c r="BG862" i="1" s="1"/>
  <c r="AL862" i="1"/>
  <c r="AR862" i="1" s="1"/>
  <c r="Z862" i="1"/>
  <c r="Q862" i="1"/>
  <c r="N862" i="1"/>
  <c r="BE861" i="1"/>
  <c r="BA861" i="1"/>
  <c r="AL861" i="1"/>
  <c r="AR861" i="1" s="1"/>
  <c r="Z861" i="1"/>
  <c r="Q861" i="1"/>
  <c r="N861" i="1"/>
  <c r="BE860" i="1"/>
  <c r="BA860" i="1"/>
  <c r="AL860" i="1"/>
  <c r="AR860" i="1" s="1"/>
  <c r="Z860" i="1"/>
  <c r="Q860" i="1"/>
  <c r="N860" i="1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E873" i="2"/>
  <c r="S867" i="2"/>
  <c r="W867" i="2"/>
  <c r="K867" i="2"/>
  <c r="Q867" i="2" s="1"/>
  <c r="C869" i="2"/>
  <c r="C870" i="2" s="1"/>
  <c r="C868" i="2"/>
  <c r="S866" i="2"/>
  <c r="K866" i="2"/>
  <c r="S865" i="2"/>
  <c r="K865" i="2"/>
  <c r="S864" i="2"/>
  <c r="K864" i="2"/>
  <c r="Q864" i="2" s="1"/>
  <c r="S863" i="2"/>
  <c r="K863" i="2"/>
  <c r="S862" i="2"/>
  <c r="K862" i="2"/>
  <c r="S861" i="2"/>
  <c r="K861" i="2"/>
  <c r="S862" i="1" l="1"/>
  <c r="BG861" i="1"/>
  <c r="BG860" i="1"/>
  <c r="M867" i="2"/>
  <c r="Q862" i="2"/>
  <c r="Q865" i="2"/>
  <c r="Q863" i="2"/>
  <c r="Q866" i="2"/>
  <c r="M866" i="2"/>
  <c r="M865" i="2"/>
  <c r="M864" i="2"/>
  <c r="M863" i="2"/>
  <c r="M862" i="2"/>
  <c r="Q861" i="2"/>
  <c r="BE859" i="1"/>
  <c r="BA859" i="1"/>
  <c r="AL859" i="1"/>
  <c r="Z859" i="1"/>
  <c r="Q859" i="1"/>
  <c r="N859" i="1"/>
  <c r="BE858" i="1"/>
  <c r="BA858" i="1"/>
  <c r="AL858" i="1"/>
  <c r="AR858" i="1" s="1"/>
  <c r="Z858" i="1"/>
  <c r="Q858" i="1"/>
  <c r="N858" i="1"/>
  <c r="BE857" i="1"/>
  <c r="BA857" i="1"/>
  <c r="AL857" i="1"/>
  <c r="AR857" i="1" s="1"/>
  <c r="Z857" i="1"/>
  <c r="Q857" i="1"/>
  <c r="S864" i="1" s="1"/>
  <c r="N857" i="1"/>
  <c r="BE856" i="1"/>
  <c r="BA856" i="1"/>
  <c r="AL856" i="1"/>
  <c r="Z856" i="1"/>
  <c r="Q856" i="1"/>
  <c r="S863" i="1" s="1"/>
  <c r="N856" i="1"/>
  <c r="BE855" i="1"/>
  <c r="BA855" i="1"/>
  <c r="AL855" i="1"/>
  <c r="Z855" i="1"/>
  <c r="Q855" i="1"/>
  <c r="N855" i="1"/>
  <c r="BE854" i="1"/>
  <c r="BA854" i="1"/>
  <c r="AL854" i="1"/>
  <c r="AR854" i="1" s="1"/>
  <c r="Z854" i="1"/>
  <c r="Q854" i="1"/>
  <c r="S861" i="1" s="1"/>
  <c r="N854" i="1"/>
  <c r="BE853" i="1"/>
  <c r="BA853" i="1"/>
  <c r="AL853" i="1"/>
  <c r="Z853" i="1"/>
  <c r="Q853" i="1"/>
  <c r="S860" i="1" s="1"/>
  <c r="N853" i="1"/>
  <c r="S860" i="2"/>
  <c r="K860" i="2"/>
  <c r="M861" i="2" s="1"/>
  <c r="S859" i="2"/>
  <c r="K859" i="2"/>
  <c r="S858" i="2"/>
  <c r="K858" i="2"/>
  <c r="S857" i="2"/>
  <c r="K857" i="2"/>
  <c r="S856" i="2"/>
  <c r="K856" i="2"/>
  <c r="S855" i="2"/>
  <c r="K855" i="2"/>
  <c r="S854" i="2"/>
  <c r="K854" i="2"/>
  <c r="BA877" i="1" l="1"/>
  <c r="BC877" i="1" s="1"/>
  <c r="S859" i="1"/>
  <c r="Q856" i="2"/>
  <c r="Q858" i="2"/>
  <c r="AR859" i="1"/>
  <c r="BG859" i="1"/>
  <c r="BG858" i="1"/>
  <c r="BG857" i="1"/>
  <c r="AR856" i="1"/>
  <c r="BG856" i="1"/>
  <c r="AR855" i="1"/>
  <c r="BG855" i="1"/>
  <c r="BG854" i="1"/>
  <c r="AR853" i="1"/>
  <c r="BG853" i="1"/>
  <c r="Q857" i="2"/>
  <c r="Q859" i="2"/>
  <c r="Q860" i="2"/>
  <c r="M855" i="2"/>
  <c r="M860" i="2"/>
  <c r="M859" i="2"/>
  <c r="M858" i="2"/>
  <c r="M857" i="2"/>
  <c r="M856" i="2"/>
  <c r="Q855" i="2"/>
  <c r="BE852" i="1"/>
  <c r="BA852" i="1"/>
  <c r="AL852" i="1"/>
  <c r="AR852" i="1" s="1"/>
  <c r="Z852" i="1"/>
  <c r="Q852" i="1"/>
  <c r="N852" i="1"/>
  <c r="BE851" i="1"/>
  <c r="BA851" i="1"/>
  <c r="AL851" i="1"/>
  <c r="AR851" i="1" s="1"/>
  <c r="Z851" i="1"/>
  <c r="Q851" i="1"/>
  <c r="N851" i="1"/>
  <c r="BE850" i="1"/>
  <c r="BA850" i="1"/>
  <c r="AL850" i="1"/>
  <c r="AR850" i="1" s="1"/>
  <c r="Z850" i="1"/>
  <c r="Q850" i="1"/>
  <c r="S857" i="1" s="1"/>
  <c r="N850" i="1"/>
  <c r="BE849" i="1"/>
  <c r="BA849" i="1"/>
  <c r="AL849" i="1"/>
  <c r="Z849" i="1"/>
  <c r="Q849" i="1"/>
  <c r="S856" i="1" s="1"/>
  <c r="N849" i="1"/>
  <c r="BE848" i="1"/>
  <c r="BA848" i="1"/>
  <c r="AL848" i="1"/>
  <c r="AR848" i="1" s="1"/>
  <c r="Z848" i="1"/>
  <c r="Q848" i="1"/>
  <c r="S855" i="1" s="1"/>
  <c r="N848" i="1"/>
  <c r="BE847" i="1"/>
  <c r="BA847" i="1"/>
  <c r="AL847" i="1"/>
  <c r="AR847" i="1" s="1"/>
  <c r="Z847" i="1"/>
  <c r="Q847" i="1"/>
  <c r="N847" i="1"/>
  <c r="BE846" i="1"/>
  <c r="BA846" i="1"/>
  <c r="AL846" i="1"/>
  <c r="AR846" i="1" s="1"/>
  <c r="Z846" i="1"/>
  <c r="Q846" i="1"/>
  <c r="S853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S853" i="2"/>
  <c r="K853" i="2"/>
  <c r="S852" i="2"/>
  <c r="K852" i="2"/>
  <c r="S851" i="2"/>
  <c r="K851" i="2"/>
  <c r="S850" i="2"/>
  <c r="K850" i="2"/>
  <c r="S849" i="2"/>
  <c r="K849" i="2"/>
  <c r="S848" i="2"/>
  <c r="K848" i="2"/>
  <c r="S847" i="2"/>
  <c r="K847" i="2"/>
  <c r="S846" i="2"/>
  <c r="K846" i="2"/>
  <c r="S845" i="2"/>
  <c r="K845" i="2"/>
  <c r="S844" i="2"/>
  <c r="K844" i="2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S839" i="2"/>
  <c r="K839" i="2"/>
  <c r="S838" i="2"/>
  <c r="K838" i="2"/>
  <c r="S837" i="2"/>
  <c r="K837" i="2"/>
  <c r="S836" i="2"/>
  <c r="K836" i="2"/>
  <c r="S835" i="2"/>
  <c r="K835" i="2"/>
  <c r="S834" i="2"/>
  <c r="K834" i="2"/>
  <c r="S833" i="2"/>
  <c r="K833" i="2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L823" i="1"/>
  <c r="AR823" i="1" s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S852" i="1" l="1"/>
  <c r="S847" i="1"/>
  <c r="S851" i="1"/>
  <c r="BY815" i="1"/>
  <c r="BG852" i="1"/>
  <c r="S858" i="1"/>
  <c r="S850" i="1"/>
  <c r="S854" i="1"/>
  <c r="S848" i="1"/>
  <c r="S846" i="1"/>
  <c r="S849" i="1"/>
  <c r="Q851" i="2"/>
  <c r="Q837" i="2"/>
  <c r="Q844" i="2"/>
  <c r="M852" i="2"/>
  <c r="M854" i="2"/>
  <c r="Q854" i="2"/>
  <c r="M847" i="2"/>
  <c r="Q853" i="2"/>
  <c r="Q833" i="2"/>
  <c r="Q849" i="2"/>
  <c r="BG851" i="1"/>
  <c r="BG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73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72" i="1"/>
  <c r="BQ873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Q734" i="2" l="1"/>
  <c r="M733" i="2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64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63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72" i="1"/>
  <c r="BU873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72" i="1"/>
  <c r="BV873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98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44" i="3"/>
  <c r="AJ842" i="3"/>
  <c r="AJ845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62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63" i="1"/>
  <c r="BG983" i="1"/>
  <c r="BG984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83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98" i="1"/>
  <c r="BP984" i="1"/>
  <c r="BG985" i="1" s="1"/>
  <c r="BN981" i="1"/>
  <c r="BP981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62" i="1"/>
  <c r="BP962" i="1" s="1"/>
  <c r="BP964" i="1"/>
  <c r="BP965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85" i="1"/>
  <c r="BG986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82" i="1"/>
  <c r="BP982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86" i="1" l="1"/>
  <c r="BY986" i="1" s="1"/>
  <c r="Q358" i="2"/>
  <c r="M357" i="2"/>
  <c r="U357" i="2"/>
  <c r="M358" i="2"/>
  <c r="CL992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66" i="1" l="1"/>
  <c r="BG990" i="1"/>
  <c r="BP989" i="1"/>
  <c r="BP991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57" i="1"/>
  <c r="N959" i="1" s="1"/>
  <c r="N960" i="1" l="1"/>
  <c r="D960" i="1" s="1"/>
  <c r="N961" i="1"/>
  <c r="N962" i="1"/>
  <c r="D961" i="1" l="1"/>
  <c r="D962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48" i="1"/>
  <c r="BG948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93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78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72" i="1"/>
  <c r="G873" i="1" s="1"/>
  <c r="F872" i="1"/>
  <c r="F873" i="1" s="1"/>
  <c r="E872" i="1"/>
  <c r="E873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96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93" i="1" l="1"/>
  <c r="AR892" i="1"/>
  <c r="AP892" i="1"/>
  <c r="AR891" i="1"/>
  <c r="AP891" i="1"/>
  <c r="AV891" i="1" l="1"/>
  <c r="AV892" i="1"/>
  <c r="AV893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37" i="1"/>
  <c r="N214" i="1"/>
  <c r="N204" i="1"/>
  <c r="BA936" i="1" s="1"/>
  <c r="N174" i="1"/>
  <c r="BA935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36" i="1" l="1"/>
  <c r="BE936" i="1" s="1"/>
  <c r="Q218" i="2"/>
  <c r="BC937" i="1"/>
  <c r="BE937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905" i="1"/>
  <c r="H905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24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77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75" i="1"/>
  <c r="BK878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25" i="1"/>
  <c r="AP926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20" i="1"/>
  <c r="H921" i="1"/>
  <c r="J921" i="1" s="1"/>
  <c r="H922" i="1"/>
  <c r="J922" i="1" s="1"/>
  <c r="S154" i="2"/>
  <c r="M156" i="2" l="1"/>
  <c r="Q156" i="2"/>
  <c r="O922" i="1"/>
  <c r="AI154" i="1"/>
  <c r="AI161" i="1"/>
  <c r="BK160" i="1"/>
  <c r="BM160" i="1" s="1"/>
  <c r="AR154" i="1"/>
  <c r="BG154" i="1"/>
  <c r="U155" i="2"/>
  <c r="J920" i="1"/>
  <c r="J927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23" i="1"/>
  <c r="AA922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59" i="3"/>
  <c r="F860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98" i="1" l="1"/>
  <c r="AR890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97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902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89" i="1" s="1"/>
  <c r="AH113" i="1"/>
  <c r="AP889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89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909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96" i="1"/>
  <c r="AP890" i="1" s="1"/>
  <c r="AV890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34" i="1"/>
  <c r="BC935" i="1" s="1"/>
  <c r="BE935" i="1" s="1"/>
  <c r="BE946" i="1"/>
  <c r="BE950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37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46" i="1" s="1"/>
  <c r="AL113" i="1"/>
  <c r="K114" i="2"/>
  <c r="V578" i="1" l="1"/>
  <c r="BA950" i="1"/>
  <c r="BC948" i="1"/>
  <c r="BG946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41" i="3"/>
  <c r="AA840" i="3"/>
  <c r="AA839" i="3"/>
  <c r="AA838" i="3"/>
  <c r="AA837" i="3"/>
  <c r="AA836" i="3"/>
  <c r="AA835" i="3"/>
  <c r="AA834" i="3"/>
  <c r="AA833" i="3"/>
  <c r="AA832" i="3"/>
  <c r="Y842" i="3"/>
  <c r="W842" i="3"/>
  <c r="S107" i="2"/>
  <c r="V621" i="1" l="1"/>
  <c r="V622" i="1" s="1"/>
  <c r="V623" i="1" s="1"/>
  <c r="V624" i="1" s="1"/>
  <c r="V625" i="1" s="1"/>
  <c r="V626" i="1" s="1"/>
  <c r="V627" i="1" s="1"/>
  <c r="V628" i="1" s="1"/>
  <c r="AA842" i="3"/>
  <c r="AA845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42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53" i="3"/>
  <c r="F856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888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Q77" i="2"/>
  <c r="M77" i="2"/>
  <c r="BG75" i="1"/>
  <c r="U76" i="2"/>
  <c r="V864" i="1" l="1"/>
  <c r="S75" i="2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88" i="1"/>
  <c r="AV888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43" i="3" l="1"/>
  <c r="I840" i="3"/>
  <c r="L840" i="3" s="1"/>
  <c r="I78" i="3"/>
  <c r="I80" i="3" s="1"/>
  <c r="I77" i="3"/>
  <c r="BE64" i="1"/>
  <c r="BA64" i="1"/>
  <c r="AL64" i="1"/>
  <c r="AR64" i="1" s="1"/>
  <c r="K65" i="2"/>
  <c r="Y19" i="3"/>
  <c r="Q66" i="2" l="1"/>
  <c r="M66" i="2"/>
  <c r="L843" i="3"/>
  <c r="I79" i="3"/>
  <c r="I81" i="3" s="1"/>
  <c r="I82" i="3" s="1"/>
  <c r="BG64" i="1"/>
  <c r="U65" i="2"/>
  <c r="S64" i="2"/>
  <c r="N81" i="3" l="1"/>
  <c r="N82" i="3" s="1"/>
  <c r="I842" i="3"/>
  <c r="L842" i="3" s="1"/>
  <c r="K64" i="2"/>
  <c r="BE63" i="1"/>
  <c r="BA63" i="1"/>
  <c r="AL63" i="1"/>
  <c r="AR63" i="1" s="1"/>
  <c r="Y18" i="3"/>
  <c r="Q65" i="2" l="1"/>
  <c r="M65" i="2"/>
  <c r="I844" i="3"/>
  <c r="U64" i="2"/>
  <c r="BG63" i="1"/>
  <c r="L833" i="3" l="1"/>
  <c r="L844" i="3"/>
  <c r="L832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85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33" i="1"/>
  <c r="B936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887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95" i="1"/>
  <c r="AR897" i="1" s="1"/>
  <c r="AV897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87" i="1"/>
  <c r="AV887" i="1" s="1"/>
  <c r="BA893" i="1" s="1"/>
  <c r="BA894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71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C850" i="2" l="1"/>
  <c r="C851" i="2" s="1"/>
  <c r="C852" i="2" s="1"/>
  <c r="C853" i="2" s="1"/>
  <c r="C854" i="2" s="1"/>
  <c r="U717" i="3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C855" i="2" l="1"/>
  <c r="U730" i="3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C856" i="2" l="1"/>
  <c r="C857" i="2" s="1"/>
  <c r="C858" i="2" s="1"/>
  <c r="C859" i="2" s="1"/>
  <c r="C860" i="2" s="1"/>
  <c r="U732" i="3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C861" i="2" l="1"/>
  <c r="U735" i="3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C862" i="2" l="1"/>
  <c r="C863" i="2" s="1"/>
  <c r="C864" i="2" s="1"/>
  <c r="C865" i="2" s="1"/>
  <c r="C866" i="2" s="1"/>
  <c r="C867" i="2" s="1"/>
  <c r="C871" i="2" s="1"/>
  <c r="U739" i="3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44" i="3"/>
  <c r="Y845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44" i="3"/>
  <c r="W845" i="3" s="1"/>
  <c r="AC106" i="1"/>
  <c r="U803" i="3" l="1"/>
  <c r="U804" i="3" s="1"/>
  <c r="U805" i="3" s="1"/>
  <c r="U806" i="3" s="1"/>
  <c r="U807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U808" i="3" l="1"/>
  <c r="B687" i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U809" i="3" l="1"/>
  <c r="U810" i="3" s="1"/>
  <c r="U811" i="3" s="1"/>
  <c r="U812" i="3" s="1"/>
  <c r="U813" i="3" s="1"/>
  <c r="B691" i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U814" i="3" l="1"/>
  <c r="U815" i="3" s="1"/>
  <c r="U816" i="3" s="1"/>
  <c r="B694" i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U817" i="3" l="1"/>
  <c r="U818" i="3" s="1"/>
  <c r="U819" i="3" s="1"/>
  <c r="U824" i="3" s="1"/>
  <c r="B699" i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850" i="1" l="1"/>
  <c r="B851" i="1" s="1"/>
  <c r="B852" i="1" s="1"/>
  <c r="B853" i="1" s="1"/>
  <c r="BN215" i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854" i="1" l="1"/>
  <c r="B855" i="1" s="1"/>
  <c r="B856" i="1" s="1"/>
  <c r="BW217" i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B857" i="1" l="1"/>
  <c r="B858" i="1" s="1"/>
  <c r="B859" i="1" s="1"/>
  <c r="B860" i="1" s="1"/>
  <c r="AX217" i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B861" i="1" l="1"/>
  <c r="B862" i="1" s="1"/>
  <c r="B863" i="1" s="1"/>
  <c r="B864" i="1" s="1"/>
  <c r="B865" i="1" s="1"/>
  <c r="B870" i="1" s="1"/>
  <c r="AX218" i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906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59" i="1" s="1"/>
  <c r="O173" i="1"/>
  <c r="AV173" i="1"/>
  <c r="AC173" i="1"/>
  <c r="BE959" i="1" l="1"/>
  <c r="BA981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81" i="1" l="1"/>
  <c r="BP959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81" i="1" l="1"/>
  <c r="CA981" i="1" s="1"/>
  <c r="BC981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72" i="1" s="1"/>
  <c r="BA960" i="1" s="1"/>
  <c r="J235" i="1"/>
  <c r="O234" i="1"/>
  <c r="AC234" i="1"/>
  <c r="BE960" i="1" l="1"/>
  <c r="BA982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60" i="1" l="1"/>
  <c r="BE982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82" i="1" l="1"/>
  <c r="BC982" i="1"/>
  <c r="BC986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74" i="1"/>
  <c r="BA961" i="1" s="1"/>
  <c r="BA965" i="1" s="1"/>
  <c r="BR969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67" i="1"/>
  <c r="AA403" i="1"/>
  <c r="AA404" i="1" s="1"/>
  <c r="AE402" i="1"/>
  <c r="BE961" i="1"/>
  <c r="BA983" i="1"/>
  <c r="BA984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68" i="1"/>
  <c r="AA405" i="1"/>
  <c r="AE404" i="1"/>
  <c r="AE403" i="1"/>
  <c r="BE965" i="1"/>
  <c r="BE983" i="1"/>
  <c r="BP961" i="1"/>
  <c r="AC329" i="1"/>
  <c r="J330" i="1"/>
  <c r="H330" i="1"/>
  <c r="AV329" i="1"/>
  <c r="O329" i="1"/>
  <c r="BE985" i="1" l="1"/>
  <c r="BA986" i="1"/>
  <c r="BE986" i="1" s="1"/>
  <c r="BR986" i="1" s="1"/>
  <c r="CL987" i="1" s="1"/>
  <c r="BE984" i="1"/>
  <c r="BC983" i="1"/>
  <c r="AX439" i="1"/>
  <c r="BW440" i="1"/>
  <c r="BW441" i="1" s="1"/>
  <c r="BN439" i="1"/>
  <c r="BR424" i="1"/>
  <c r="BP425" i="1"/>
  <c r="BP426" i="1" s="1"/>
  <c r="AE405" i="1"/>
  <c r="AA406" i="1"/>
  <c r="AA407" i="1" s="1"/>
  <c r="BR983" i="1"/>
  <c r="D965" i="1"/>
  <c r="AH580" i="1" s="1"/>
  <c r="BG965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84" i="1"/>
  <c r="BC984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65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85" i="1"/>
  <c r="CL1001" i="1" s="1"/>
  <c r="CL1003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89" i="1"/>
  <c r="BC989" i="1" s="1"/>
  <c r="CL989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870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BW850" i="1" s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W851" i="1" l="1"/>
  <c r="AX850" i="1"/>
  <c r="BN850" i="1"/>
  <c r="BN849" i="1"/>
  <c r="AX849" i="1"/>
  <c r="BP827" i="1"/>
  <c r="BR826" i="1"/>
  <c r="AE815" i="1"/>
  <c r="AA816" i="1"/>
  <c r="AV638" i="1"/>
  <c r="J639" i="1"/>
  <c r="H639" i="1"/>
  <c r="O638" i="1"/>
  <c r="AC638" i="1"/>
  <c r="BN851" i="1" l="1"/>
  <c r="BW852" i="1"/>
  <c r="AX851" i="1"/>
  <c r="BR827" i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W853" i="1" l="1"/>
  <c r="BW854" i="1" s="1"/>
  <c r="AX852" i="1"/>
  <c r="BN852" i="1"/>
  <c r="BR828" i="1"/>
  <c r="BP829" i="1"/>
  <c r="AE818" i="1"/>
  <c r="AA819" i="1"/>
  <c r="AE817" i="1"/>
  <c r="H641" i="1"/>
  <c r="J641" i="1"/>
  <c r="O640" i="1"/>
  <c r="AV640" i="1"/>
  <c r="AC640" i="1"/>
  <c r="BN854" i="1" l="1"/>
  <c r="BW855" i="1"/>
  <c r="AX854" i="1"/>
  <c r="BN853" i="1"/>
  <c r="AX853" i="1"/>
  <c r="BR829" i="1"/>
  <c r="BP830" i="1"/>
  <c r="AE819" i="1"/>
  <c r="AA820" i="1"/>
  <c r="J642" i="1"/>
  <c r="H642" i="1"/>
  <c r="O641" i="1"/>
  <c r="AV641" i="1"/>
  <c r="AC641" i="1"/>
  <c r="BN855" i="1" l="1"/>
  <c r="BW856" i="1"/>
  <c r="BW857" i="1" s="1"/>
  <c r="AX855" i="1"/>
  <c r="BR830" i="1"/>
  <c r="BP831" i="1"/>
  <c r="BP832" i="1" s="1"/>
  <c r="AE820" i="1"/>
  <c r="AA821" i="1"/>
  <c r="AA822" i="1" s="1"/>
  <c r="J643" i="1"/>
  <c r="AV642" i="1"/>
  <c r="H643" i="1"/>
  <c r="O642" i="1"/>
  <c r="AC642" i="1"/>
  <c r="BN857" i="1" l="1"/>
  <c r="BW858" i="1"/>
  <c r="AX857" i="1"/>
  <c r="BN856" i="1"/>
  <c r="AX856" i="1"/>
  <c r="BR832" i="1"/>
  <c r="BP833" i="1"/>
  <c r="BR831" i="1"/>
  <c r="AE822" i="1"/>
  <c r="AA823" i="1"/>
  <c r="AE821" i="1"/>
  <c r="J644" i="1"/>
  <c r="H644" i="1"/>
  <c r="AV643" i="1"/>
  <c r="O643" i="1"/>
  <c r="AC643" i="1"/>
  <c r="BN858" i="1" l="1"/>
  <c r="AX858" i="1"/>
  <c r="BW859" i="1"/>
  <c r="BW860" i="1" s="1"/>
  <c r="BR833" i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W861" i="1" l="1"/>
  <c r="BN860" i="1"/>
  <c r="AX860" i="1"/>
  <c r="BN859" i="1"/>
  <c r="AX859" i="1"/>
  <c r="BW869" i="1"/>
  <c r="BR834" i="1"/>
  <c r="BP835" i="1"/>
  <c r="AE825" i="1"/>
  <c r="AA826" i="1"/>
  <c r="AE824" i="1"/>
  <c r="J646" i="1"/>
  <c r="H646" i="1"/>
  <c r="O645" i="1"/>
  <c r="AV645" i="1"/>
  <c r="AC645" i="1"/>
  <c r="BW862" i="1" l="1"/>
  <c r="AX861" i="1"/>
  <c r="BN861" i="1"/>
  <c r="BR835" i="1"/>
  <c r="BP836" i="1"/>
  <c r="AE826" i="1"/>
  <c r="AA827" i="1"/>
  <c r="O646" i="1"/>
  <c r="AV646" i="1"/>
  <c r="J647" i="1"/>
  <c r="H647" i="1"/>
  <c r="AC646" i="1"/>
  <c r="BN862" i="1" l="1"/>
  <c r="BW863" i="1"/>
  <c r="AX862" i="1"/>
  <c r="BR836" i="1"/>
  <c r="BP837" i="1"/>
  <c r="AE827" i="1"/>
  <c r="AA828" i="1"/>
  <c r="H648" i="1"/>
  <c r="J648" i="1"/>
  <c r="AV647" i="1"/>
  <c r="O647" i="1"/>
  <c r="AC647" i="1"/>
  <c r="BN863" i="1" l="1"/>
  <c r="BW864" i="1"/>
  <c r="AX863" i="1"/>
  <c r="BR837" i="1"/>
  <c r="BP838" i="1"/>
  <c r="BP839" i="1" s="1"/>
  <c r="AE828" i="1"/>
  <c r="AA829" i="1"/>
  <c r="AV648" i="1"/>
  <c r="J649" i="1"/>
  <c r="H649" i="1"/>
  <c r="O648" i="1"/>
  <c r="AC648" i="1"/>
  <c r="AX864" i="1" l="1"/>
  <c r="BN864" i="1"/>
  <c r="BR839" i="1"/>
  <c r="BP840" i="1"/>
  <c r="BR838" i="1"/>
  <c r="AE829" i="1"/>
  <c r="AA830" i="1"/>
  <c r="J650" i="1"/>
  <c r="H650" i="1"/>
  <c r="O649" i="1"/>
  <c r="AV649" i="1"/>
  <c r="AC649" i="1"/>
  <c r="BR840" i="1" l="1"/>
  <c r="BP841" i="1"/>
  <c r="AE830" i="1"/>
  <c r="AA831" i="1"/>
  <c r="AA832" i="1" s="1"/>
  <c r="O650" i="1"/>
  <c r="H651" i="1"/>
  <c r="J651" i="1"/>
  <c r="AV650" i="1"/>
  <c r="AC650" i="1"/>
  <c r="BR841" i="1" l="1"/>
  <c r="BP842" i="1"/>
  <c r="AE832" i="1"/>
  <c r="AA833" i="1"/>
  <c r="AE831" i="1"/>
  <c r="O651" i="1"/>
  <c r="H652" i="1"/>
  <c r="J652" i="1"/>
  <c r="AV651" i="1"/>
  <c r="AC651" i="1"/>
  <c r="BR842" i="1" l="1"/>
  <c r="BP843" i="1"/>
  <c r="BP844" i="1" s="1"/>
  <c r="AA834" i="1"/>
  <c r="AE833" i="1"/>
  <c r="J653" i="1"/>
  <c r="H653" i="1"/>
  <c r="O652" i="1"/>
  <c r="AV652" i="1"/>
  <c r="AC652" i="1"/>
  <c r="AA606" i="3"/>
  <c r="AA605" i="3"/>
  <c r="BR844" i="1" l="1"/>
  <c r="BP845" i="1"/>
  <c r="BR843" i="1"/>
  <c r="AE834" i="1"/>
  <c r="AA835" i="1"/>
  <c r="O653" i="1"/>
  <c r="H654" i="1"/>
  <c r="J654" i="1"/>
  <c r="AV653" i="1"/>
  <c r="AC653" i="1"/>
  <c r="AA607" i="3"/>
  <c r="BR845" i="1" l="1"/>
  <c r="BP846" i="1"/>
  <c r="BP847" i="1" s="1"/>
  <c r="AE835" i="1"/>
  <c r="AA836" i="1"/>
  <c r="O654" i="1"/>
  <c r="J655" i="1"/>
  <c r="H655" i="1"/>
  <c r="AV654" i="1"/>
  <c r="AC654" i="1"/>
  <c r="BR847" i="1" l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R848" i="1" l="1"/>
  <c r="BP849" i="1"/>
  <c r="BP850" i="1" s="1"/>
  <c r="AE837" i="1"/>
  <c r="AA838" i="1"/>
  <c r="AA839" i="1" s="1"/>
  <c r="AV656" i="1"/>
  <c r="J657" i="1"/>
  <c r="H657" i="1"/>
  <c r="O656" i="1"/>
  <c r="AC656" i="1"/>
  <c r="BR850" i="1" l="1"/>
  <c r="BP851" i="1"/>
  <c r="BR849" i="1"/>
  <c r="AA840" i="1"/>
  <c r="AE839" i="1"/>
  <c r="AE838" i="1"/>
  <c r="J658" i="1"/>
  <c r="H658" i="1"/>
  <c r="AV657" i="1"/>
  <c r="O657" i="1"/>
  <c r="AC657" i="1"/>
  <c r="BR851" i="1" l="1"/>
  <c r="BP852" i="1"/>
  <c r="AE840" i="1"/>
  <c r="AA841" i="1"/>
  <c r="O658" i="1"/>
  <c r="J659" i="1"/>
  <c r="AV658" i="1"/>
  <c r="H659" i="1"/>
  <c r="AC658" i="1"/>
  <c r="BR852" i="1" l="1"/>
  <c r="BP853" i="1"/>
  <c r="BP854" i="1" s="1"/>
  <c r="AE841" i="1"/>
  <c r="AA842" i="1"/>
  <c r="AV659" i="1"/>
  <c r="H660" i="1"/>
  <c r="J660" i="1"/>
  <c r="O659" i="1"/>
  <c r="AC659" i="1"/>
  <c r="AA615" i="3"/>
  <c r="AA616" i="3"/>
  <c r="AA613" i="3"/>
  <c r="AA614" i="3"/>
  <c r="AA612" i="3"/>
  <c r="BR854" i="1" l="1"/>
  <c r="BP855" i="1"/>
  <c r="BR853" i="1"/>
  <c r="AE842" i="1"/>
  <c r="AA843" i="1"/>
  <c r="AA844" i="1" s="1"/>
  <c r="AV660" i="1"/>
  <c r="H661" i="1"/>
  <c r="J661" i="1"/>
  <c r="O660" i="1"/>
  <c r="AC660" i="1"/>
  <c r="BR855" i="1" l="1"/>
  <c r="BP856" i="1"/>
  <c r="BP857" i="1" s="1"/>
  <c r="AA845" i="1"/>
  <c r="AE844" i="1"/>
  <c r="AE843" i="1"/>
  <c r="H662" i="1"/>
  <c r="J662" i="1"/>
  <c r="O661" i="1"/>
  <c r="AV661" i="1"/>
  <c r="AC661" i="1"/>
  <c r="BR857" i="1" l="1"/>
  <c r="BP858" i="1"/>
  <c r="BR856" i="1"/>
  <c r="AA846" i="1"/>
  <c r="AA847" i="1" s="1"/>
  <c r="AE845" i="1"/>
  <c r="O662" i="1"/>
  <c r="AV662" i="1"/>
  <c r="J663" i="1"/>
  <c r="H663" i="1"/>
  <c r="AC662" i="1"/>
  <c r="BR858" i="1" l="1"/>
  <c r="BP859" i="1"/>
  <c r="BP860" i="1" s="1"/>
  <c r="AA848" i="1"/>
  <c r="AE847" i="1"/>
  <c r="AE846" i="1"/>
  <c r="O663" i="1"/>
  <c r="J664" i="1"/>
  <c r="H664" i="1"/>
  <c r="AV663" i="1"/>
  <c r="AC663" i="1"/>
  <c r="BP861" i="1" l="1"/>
  <c r="BR860" i="1"/>
  <c r="BR859" i="1"/>
  <c r="AE848" i="1"/>
  <c r="AA849" i="1"/>
  <c r="AA850" i="1" s="1"/>
  <c r="H665" i="1"/>
  <c r="J665" i="1"/>
  <c r="O664" i="1"/>
  <c r="AV664" i="1"/>
  <c r="AC664" i="1"/>
  <c r="AA618" i="3"/>
  <c r="AA617" i="3"/>
  <c r="BR861" i="1" l="1"/>
  <c r="BP862" i="1"/>
  <c r="AE850" i="1"/>
  <c r="AA851" i="1"/>
  <c r="AE849" i="1"/>
  <c r="O665" i="1"/>
  <c r="J666" i="1"/>
  <c r="H666" i="1"/>
  <c r="AV665" i="1"/>
  <c r="AC665" i="1"/>
  <c r="AA619" i="3"/>
  <c r="BR862" i="1" l="1"/>
  <c r="BP863" i="1"/>
  <c r="AE851" i="1"/>
  <c r="AA852" i="1"/>
  <c r="AV666" i="1"/>
  <c r="H667" i="1"/>
  <c r="J667" i="1"/>
  <c r="O666" i="1"/>
  <c r="AC666" i="1"/>
  <c r="BR863" i="1" l="1"/>
  <c r="BP864" i="1"/>
  <c r="AE852" i="1"/>
  <c r="AA853" i="1"/>
  <c r="AA854" i="1" s="1"/>
  <c r="AV667" i="1"/>
  <c r="H668" i="1"/>
  <c r="J668" i="1"/>
  <c r="O667" i="1"/>
  <c r="AC667" i="1"/>
  <c r="AA621" i="3"/>
  <c r="AA622" i="3"/>
  <c r="AA620" i="3"/>
  <c r="BR864" i="1" l="1"/>
  <c r="AA855" i="1"/>
  <c r="AE854" i="1"/>
  <c r="AE853" i="1"/>
  <c r="J669" i="1"/>
  <c r="H669" i="1"/>
  <c r="O668" i="1"/>
  <c r="AV668" i="1"/>
  <c r="AC668" i="1"/>
  <c r="AE855" i="1" l="1"/>
  <c r="AA856" i="1"/>
  <c r="AA857" i="1" s="1"/>
  <c r="AV669" i="1"/>
  <c r="J670" i="1"/>
  <c r="H670" i="1"/>
  <c r="O669" i="1"/>
  <c r="AC669" i="1"/>
  <c r="AE857" i="1" l="1"/>
  <c r="AA858" i="1"/>
  <c r="AE856" i="1"/>
  <c r="O670" i="1"/>
  <c r="J671" i="1"/>
  <c r="H671" i="1"/>
  <c r="AV670" i="1"/>
  <c r="AC670" i="1"/>
  <c r="AA859" i="1" l="1"/>
  <c r="AA860" i="1" s="1"/>
  <c r="AE858" i="1"/>
  <c r="AV671" i="1"/>
  <c r="H672" i="1"/>
  <c r="J672" i="1"/>
  <c r="O671" i="1"/>
  <c r="AC671" i="1"/>
  <c r="AA625" i="3"/>
  <c r="AA626" i="3"/>
  <c r="AA623" i="3"/>
  <c r="AE860" i="1" l="1"/>
  <c r="AA861" i="1"/>
  <c r="AE859" i="1"/>
  <c r="J673" i="1"/>
  <c r="H673" i="1"/>
  <c r="O672" i="1"/>
  <c r="AV672" i="1"/>
  <c r="AC672" i="1"/>
  <c r="AA624" i="3"/>
  <c r="AA862" i="1" l="1"/>
  <c r="AE861" i="1"/>
  <c r="AV673" i="1"/>
  <c r="J674" i="1"/>
  <c r="H674" i="1"/>
  <c r="O673" i="1"/>
  <c r="AC673" i="1"/>
  <c r="AE862" i="1" l="1"/>
  <c r="AA863" i="1"/>
  <c r="H675" i="1"/>
  <c r="J675" i="1"/>
  <c r="O674" i="1"/>
  <c r="AV674" i="1"/>
  <c r="AC674" i="1"/>
  <c r="AE863" i="1" l="1"/>
  <c r="AA864" i="1"/>
  <c r="O675" i="1"/>
  <c r="AV675" i="1"/>
  <c r="J676" i="1"/>
  <c r="H676" i="1"/>
  <c r="AC675" i="1"/>
  <c r="AA628" i="3"/>
  <c r="AA627" i="3"/>
  <c r="AE864" i="1" l="1"/>
  <c r="O676" i="1"/>
  <c r="J677" i="1"/>
  <c r="H677" i="1"/>
  <c r="AV676" i="1"/>
  <c r="AC676" i="1"/>
  <c r="AD49" i="2" l="1"/>
  <c r="AD51" i="2" s="1"/>
  <c r="AD53" i="2" s="1"/>
  <c r="AD55" i="2" s="1"/>
  <c r="AD57" i="2" s="1"/>
  <c r="AJ21" i="2"/>
  <c r="I21" i="3"/>
  <c r="I35" i="3" s="1"/>
  <c r="O677" i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AV836" i="1"/>
  <c r="J837" i="1"/>
  <c r="AC836" i="1"/>
  <c r="AV837" i="1" l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AV845" i="1"/>
  <c r="AC845" i="1"/>
  <c r="AA801" i="3"/>
  <c r="AA799" i="3"/>
  <c r="AA800" i="3"/>
  <c r="AA798" i="3"/>
  <c r="J847" i="1" l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J850" i="1" l="1"/>
  <c r="H850" i="1"/>
  <c r="O849" i="1"/>
  <c r="AV849" i="1"/>
  <c r="AC849" i="1"/>
  <c r="AA803" i="3"/>
  <c r="AA802" i="3"/>
  <c r="AV850" i="1" l="1"/>
  <c r="J851" i="1"/>
  <c r="H851" i="1"/>
  <c r="O850" i="1"/>
  <c r="AC850" i="1"/>
  <c r="AV851" i="1" l="1"/>
  <c r="J852" i="1"/>
  <c r="H852" i="1"/>
  <c r="O851" i="1"/>
  <c r="AC851" i="1"/>
  <c r="AV852" i="1" l="1"/>
  <c r="H853" i="1"/>
  <c r="J853" i="1"/>
  <c r="O852" i="1"/>
  <c r="AC852" i="1"/>
  <c r="AA807" i="3"/>
  <c r="AE793" i="3"/>
  <c r="AF793" i="3" s="1"/>
  <c r="AE777" i="3"/>
  <c r="AF777" i="3" s="1"/>
  <c r="AA805" i="3"/>
  <c r="AA806" i="3"/>
  <c r="AA804" i="3"/>
  <c r="J854" i="1" l="1"/>
  <c r="H854" i="1"/>
  <c r="I23" i="3" s="1"/>
  <c r="I25" i="3" s="1"/>
  <c r="I27" i="3" s="1"/>
  <c r="O853" i="1"/>
  <c r="AV853" i="1"/>
  <c r="AC853" i="1"/>
  <c r="I34" i="3" l="1"/>
  <c r="N27" i="3"/>
  <c r="N28" i="3" s="1"/>
  <c r="AV854" i="1"/>
  <c r="H855" i="1"/>
  <c r="J855" i="1"/>
  <c r="O854" i="1"/>
  <c r="AC854" i="1"/>
  <c r="AV855" i="1" l="1"/>
  <c r="J856" i="1"/>
  <c r="H856" i="1"/>
  <c r="O855" i="1"/>
  <c r="AC855" i="1"/>
  <c r="J857" i="1" l="1"/>
  <c r="H857" i="1"/>
  <c r="O856" i="1"/>
  <c r="AV856" i="1"/>
  <c r="AC856" i="1"/>
  <c r="AA811" i="3"/>
  <c r="AA809" i="3"/>
  <c r="AA810" i="3"/>
  <c r="AA808" i="3"/>
  <c r="O857" i="1" l="1"/>
  <c r="H858" i="1"/>
  <c r="J858" i="1"/>
  <c r="AV857" i="1"/>
  <c r="AC857" i="1"/>
  <c r="O858" i="1" l="1"/>
  <c r="AV858" i="1"/>
  <c r="H859" i="1"/>
  <c r="J859" i="1"/>
  <c r="AC858" i="1"/>
  <c r="H860" i="1" l="1"/>
  <c r="J860" i="1"/>
  <c r="O859" i="1"/>
  <c r="AV859" i="1"/>
  <c r="AC859" i="1"/>
  <c r="AA812" i="3"/>
  <c r="J861" i="1" l="1"/>
  <c r="H861" i="1"/>
  <c r="AV860" i="1"/>
  <c r="O860" i="1"/>
  <c r="AC860" i="1"/>
  <c r="AA813" i="3"/>
  <c r="AV861" i="1" l="1"/>
  <c r="J862" i="1"/>
  <c r="H862" i="1"/>
  <c r="O861" i="1"/>
  <c r="AC861" i="1"/>
  <c r="J863" i="1" l="1"/>
  <c r="H863" i="1"/>
  <c r="AV862" i="1"/>
  <c r="O862" i="1"/>
  <c r="AC862" i="1"/>
  <c r="AA818" i="3"/>
  <c r="AA819" i="3"/>
  <c r="AA816" i="3"/>
  <c r="O863" i="1" l="1"/>
  <c r="J864" i="1"/>
  <c r="H864" i="1"/>
  <c r="AV863" i="1"/>
  <c r="AC863" i="1"/>
  <c r="AA817" i="3"/>
  <c r="O864" i="1" l="1"/>
  <c r="AV864" i="1"/>
  <c r="AC864" i="1"/>
  <c r="I32" i="3" l="1"/>
  <c r="AF21" i="2"/>
  <c r="I28" i="3" l="1"/>
  <c r="L34" i="3"/>
  <c r="I36" i="3"/>
  <c r="W821" i="3" s="1"/>
  <c r="AA821" i="3" s="1"/>
  <c r="L35" i="3"/>
  <c r="L32" i="3"/>
  <c r="AA820" i="3" l="1"/>
  <c r="L36" i="3"/>
  <c r="Y121" i="3" l="1"/>
  <c r="Y214" i="3"/>
  <c r="Y12" i="3"/>
  <c r="Y244" i="3"/>
  <c r="Y350" i="3"/>
  <c r="AA814" i="3"/>
  <c r="AA815" i="3"/>
</calcChain>
</file>

<file path=xl/sharedStrings.xml><?xml version="1.0" encoding="utf-8"?>
<sst xmlns="http://schemas.openxmlformats.org/spreadsheetml/2006/main" count="396" uniqueCount="190">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</sst>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Table'!$BA$976:$BA$980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Table'!$AS$981:$AT$986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Table'!$BA$981:$BA$986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Table'!$BC$976:$BC$980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Table'!$AS$981:$AT$986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Table'!$BC$981:$BC$986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Table'!$BJ$976:$BJ$980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Table'!$AS$981:$AT$986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Table'!$BJ$981:$BJ$985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Table'!$BK$976:$BK$980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Table'!$AS$981:$AT$986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Table'!$BK$981:$BK$985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Table'!$BL$976:$BL$980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Table'!$AS$981:$AT$986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Table'!$BL$981:$BL$985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Table'!$BM$976:$BM$980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Table'!$AS$981:$AT$986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Table'!$BM$981:$BM$985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Table'!$BP$976:$BP$980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Table'!$AS$981:$AT$986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Table'!$BP$981:$BP$986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Table'!$AU$976:$AU$980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Table'!$AU$981:$AU$986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Table'!$AV$976:$AV$980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Table'!$AV$981:$AV$985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Table'!$AW$976:$AW$980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Table'!$AW$981:$AW$985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Table'!$AX$976:$AX$980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Table'!$AX$981:$AX$985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Table'!$AY$976:$AY$980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Table'!$AY$981:$AY$985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Table'!$AZ$976:$AZ$980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Table'!$AZ$981:$AZ$985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Table'!$BB$976:$BB$980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Table'!$BB$981:$BB$985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Table'!$BD$976:$BD$980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Table'!$BD$981:$BD$985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Table'!$BE$976:$BE$980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Table'!$BE$981:$BE$985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Table'!$BF$976:$BF$980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Table'!$BF$981:$BF$985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Table'!$BG$976:$BG$980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Table'!$BG$981:$BG$985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Table'!$BH$976:$BH$980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Table'!$BH$981:$BH$985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Table'!$BI$976:$BI$980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Table'!$BI$981:$BI$985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Table'!$BN$976:$BN$980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Table'!$BN$981:$BN$985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Table'!$BO$976:$BO$980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Table'!$BO$981:$BO$985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Table'!$BQ$976:$BQ$980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Table'!$BQ$981:$BQ$985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Table'!$BR$976:$BR$980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Table'!$BR$981:$BR$985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Table'!$BS$976:$BS$980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Table'!$BS$981:$BS$985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Table'!$BT$976:$BT$980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Table'!$BR$981:$BR$986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Table'!$BU$976:$BU$980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Table'!$BU$981:$BU$985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Table'!$BV$976:$BV$980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Table'!$AS$981:$AT$986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Table'!$BV$981:$BV$985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885</xdr:row>
      <xdr:rowOff>99060</xdr:rowOff>
    </xdr:from>
    <xdr:to>
      <xdr:col>22</xdr:col>
      <xdr:colOff>312420</xdr:colOff>
      <xdr:row>886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885</xdr:row>
      <xdr:rowOff>129540</xdr:rowOff>
    </xdr:from>
    <xdr:to>
      <xdr:col>23</xdr:col>
      <xdr:colOff>68580</xdr:colOff>
      <xdr:row>886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903</xdr:row>
      <xdr:rowOff>125730</xdr:rowOff>
    </xdr:from>
    <xdr:to>
      <xdr:col>54</xdr:col>
      <xdr:colOff>213360</xdr:colOff>
      <xdr:row>918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993</xdr:row>
      <xdr:rowOff>91440</xdr:rowOff>
    </xdr:from>
    <xdr:to>
      <xdr:col>76</xdr:col>
      <xdr:colOff>472440</xdr:colOff>
      <xdr:row>1016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997</xdr:row>
      <xdr:rowOff>60960</xdr:rowOff>
    </xdr:from>
    <xdr:to>
      <xdr:col>76</xdr:col>
      <xdr:colOff>60960</xdr:colOff>
      <xdr:row>997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852</xdr:row>
      <xdr:rowOff>0</xdr:rowOff>
    </xdr:from>
    <xdr:to>
      <xdr:col>64</xdr:col>
      <xdr:colOff>83820</xdr:colOff>
      <xdr:row>852</xdr:row>
      <xdr:rowOff>114300</xdr:rowOff>
    </xdr:to>
    <xdr:sp macro="" textlink="">
      <xdr:nvSpPr>
        <xdr:cNvPr id="6196" name="Arrow: Down 6195">
          <a:extLst>
            <a:ext uri="{FF2B5EF4-FFF2-40B4-BE49-F238E27FC236}">
              <a16:creationId xmlns:a16="http://schemas.microsoft.com/office/drawing/2014/main" id="{AC5DC445-5BB1-4315-AED2-63C4A35482E6}"/>
            </a:ext>
          </a:extLst>
        </xdr:cNvPr>
        <xdr:cNvSpPr/>
      </xdr:nvSpPr>
      <xdr:spPr>
        <a:xfrm rot="10800000">
          <a:off x="19726275" y="1581864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852</xdr:row>
      <xdr:rowOff>0</xdr:rowOff>
    </xdr:from>
    <xdr:to>
      <xdr:col>45</xdr:col>
      <xdr:colOff>83820</xdr:colOff>
      <xdr:row>852</xdr:row>
      <xdr:rowOff>114300</xdr:rowOff>
    </xdr:to>
    <xdr:sp macro="" textlink="">
      <xdr:nvSpPr>
        <xdr:cNvPr id="6281" name="Arrow: Down 6280">
          <a:extLst>
            <a:ext uri="{FF2B5EF4-FFF2-40B4-BE49-F238E27FC236}">
              <a16:creationId xmlns:a16="http://schemas.microsoft.com/office/drawing/2014/main" id="{A4F269EB-8170-4D21-897E-76B7DF979067}"/>
            </a:ext>
          </a:extLst>
        </xdr:cNvPr>
        <xdr:cNvSpPr/>
      </xdr:nvSpPr>
      <xdr:spPr>
        <a:xfrm rot="10800000">
          <a:off x="13644563" y="1581864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852</xdr:row>
      <xdr:rowOff>0</xdr:rowOff>
    </xdr:from>
    <xdr:to>
      <xdr:col>71</xdr:col>
      <xdr:colOff>83820</xdr:colOff>
      <xdr:row>852</xdr:row>
      <xdr:rowOff>114300</xdr:rowOff>
    </xdr:to>
    <xdr:sp macro="" textlink="">
      <xdr:nvSpPr>
        <xdr:cNvPr id="6282" name="Arrow: Down 6281">
          <a:extLst>
            <a:ext uri="{FF2B5EF4-FFF2-40B4-BE49-F238E27FC236}">
              <a16:creationId xmlns:a16="http://schemas.microsoft.com/office/drawing/2014/main" id="{4CA2A1BE-45D8-49DF-B907-F3CF41151558}"/>
            </a:ext>
          </a:extLst>
        </xdr:cNvPr>
        <xdr:cNvSpPr/>
      </xdr:nvSpPr>
      <xdr:spPr>
        <a:xfrm rot="10800000">
          <a:off x="22383750" y="1581864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852</xdr:row>
      <xdr:rowOff>0</xdr:rowOff>
    </xdr:from>
    <xdr:to>
      <xdr:col>60</xdr:col>
      <xdr:colOff>83820</xdr:colOff>
      <xdr:row>852</xdr:row>
      <xdr:rowOff>114300</xdr:rowOff>
    </xdr:to>
    <xdr:sp macro="" textlink="">
      <xdr:nvSpPr>
        <xdr:cNvPr id="6315" name="Arrow: Down 6314">
          <a:extLst>
            <a:ext uri="{FF2B5EF4-FFF2-40B4-BE49-F238E27FC236}">
              <a16:creationId xmlns:a16="http://schemas.microsoft.com/office/drawing/2014/main" id="{E9C372F3-AE7B-4FF8-AF10-B610038576BF}"/>
            </a:ext>
          </a:extLst>
        </xdr:cNvPr>
        <xdr:cNvSpPr/>
      </xdr:nvSpPr>
      <xdr:spPr>
        <a:xfrm>
          <a:off x="19454813" y="158186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853</xdr:row>
      <xdr:rowOff>0</xdr:rowOff>
    </xdr:from>
    <xdr:to>
      <xdr:col>64</xdr:col>
      <xdr:colOff>83820</xdr:colOff>
      <xdr:row>853</xdr:row>
      <xdr:rowOff>114300</xdr:rowOff>
    </xdr:to>
    <xdr:sp macro="" textlink="">
      <xdr:nvSpPr>
        <xdr:cNvPr id="6338" name="Arrow: Down 6337">
          <a:extLst>
            <a:ext uri="{FF2B5EF4-FFF2-40B4-BE49-F238E27FC236}">
              <a16:creationId xmlns:a16="http://schemas.microsoft.com/office/drawing/2014/main" id="{384CA95C-22FA-4006-9943-757B33630475}"/>
            </a:ext>
          </a:extLst>
        </xdr:cNvPr>
        <xdr:cNvSpPr/>
      </xdr:nvSpPr>
      <xdr:spPr>
        <a:xfrm rot="10800000">
          <a:off x="19754850" y="158372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853</xdr:row>
      <xdr:rowOff>0</xdr:rowOff>
    </xdr:from>
    <xdr:to>
      <xdr:col>45</xdr:col>
      <xdr:colOff>83820</xdr:colOff>
      <xdr:row>853</xdr:row>
      <xdr:rowOff>114300</xdr:rowOff>
    </xdr:to>
    <xdr:sp macro="" textlink="">
      <xdr:nvSpPr>
        <xdr:cNvPr id="6441" name="Arrow: Down 6440">
          <a:extLst>
            <a:ext uri="{FF2B5EF4-FFF2-40B4-BE49-F238E27FC236}">
              <a16:creationId xmlns:a16="http://schemas.microsoft.com/office/drawing/2014/main" id="{168A5633-9577-4A3E-966C-F468081010BE}"/>
            </a:ext>
          </a:extLst>
        </xdr:cNvPr>
        <xdr:cNvSpPr/>
      </xdr:nvSpPr>
      <xdr:spPr>
        <a:xfrm rot="10800000">
          <a:off x="13644563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853</xdr:row>
      <xdr:rowOff>0</xdr:rowOff>
    </xdr:from>
    <xdr:to>
      <xdr:col>71</xdr:col>
      <xdr:colOff>83820</xdr:colOff>
      <xdr:row>853</xdr:row>
      <xdr:rowOff>114300</xdr:rowOff>
    </xdr:to>
    <xdr:sp macro="" textlink="">
      <xdr:nvSpPr>
        <xdr:cNvPr id="6442" name="Arrow: Down 6441">
          <a:extLst>
            <a:ext uri="{FF2B5EF4-FFF2-40B4-BE49-F238E27FC236}">
              <a16:creationId xmlns:a16="http://schemas.microsoft.com/office/drawing/2014/main" id="{018EF3A4-9A33-4184-8B15-6060A4853369}"/>
            </a:ext>
          </a:extLst>
        </xdr:cNvPr>
        <xdr:cNvSpPr/>
      </xdr:nvSpPr>
      <xdr:spPr>
        <a:xfrm rot="10800000">
          <a:off x="2241232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853</xdr:row>
      <xdr:rowOff>0</xdr:rowOff>
    </xdr:from>
    <xdr:to>
      <xdr:col>39</xdr:col>
      <xdr:colOff>83820</xdr:colOff>
      <xdr:row>853</xdr:row>
      <xdr:rowOff>114300</xdr:rowOff>
    </xdr:to>
    <xdr:sp macro="" textlink="">
      <xdr:nvSpPr>
        <xdr:cNvPr id="6443" name="Arrow: Down 6442">
          <a:extLst>
            <a:ext uri="{FF2B5EF4-FFF2-40B4-BE49-F238E27FC236}">
              <a16:creationId xmlns:a16="http://schemas.microsoft.com/office/drawing/2014/main" id="{16EA2230-D6C2-483A-8187-F373AB5E1DCE}"/>
            </a:ext>
          </a:extLst>
        </xdr:cNvPr>
        <xdr:cNvSpPr/>
      </xdr:nvSpPr>
      <xdr:spPr>
        <a:xfrm>
          <a:off x="117538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854</xdr:row>
      <xdr:rowOff>0</xdr:rowOff>
    </xdr:from>
    <xdr:to>
      <xdr:col>64</xdr:col>
      <xdr:colOff>83820</xdr:colOff>
      <xdr:row>854</xdr:row>
      <xdr:rowOff>114300</xdr:rowOff>
    </xdr:to>
    <xdr:sp macro="" textlink="">
      <xdr:nvSpPr>
        <xdr:cNvPr id="6445" name="Arrow: Down 6444">
          <a:extLst>
            <a:ext uri="{FF2B5EF4-FFF2-40B4-BE49-F238E27FC236}">
              <a16:creationId xmlns:a16="http://schemas.microsoft.com/office/drawing/2014/main" id="{3941B20C-A6E0-43D8-A270-186C6489643D}"/>
            </a:ext>
          </a:extLst>
        </xdr:cNvPr>
        <xdr:cNvSpPr/>
      </xdr:nvSpPr>
      <xdr:spPr>
        <a:xfrm rot="10800000">
          <a:off x="19754850" y="1585579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854</xdr:row>
      <xdr:rowOff>0</xdr:rowOff>
    </xdr:from>
    <xdr:to>
      <xdr:col>45</xdr:col>
      <xdr:colOff>83820</xdr:colOff>
      <xdr:row>854</xdr:row>
      <xdr:rowOff>114300</xdr:rowOff>
    </xdr:to>
    <xdr:sp macro="" textlink="">
      <xdr:nvSpPr>
        <xdr:cNvPr id="6450" name="Arrow: Down 6449">
          <a:extLst>
            <a:ext uri="{FF2B5EF4-FFF2-40B4-BE49-F238E27FC236}">
              <a16:creationId xmlns:a16="http://schemas.microsoft.com/office/drawing/2014/main" id="{F02EE974-FC33-4CAA-853B-2F235F005320}"/>
            </a:ext>
          </a:extLst>
        </xdr:cNvPr>
        <xdr:cNvSpPr/>
      </xdr:nvSpPr>
      <xdr:spPr>
        <a:xfrm rot="10800000">
          <a:off x="13644563" y="1585579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854</xdr:row>
      <xdr:rowOff>0</xdr:rowOff>
    </xdr:from>
    <xdr:to>
      <xdr:col>71</xdr:col>
      <xdr:colOff>83820</xdr:colOff>
      <xdr:row>854</xdr:row>
      <xdr:rowOff>114300</xdr:rowOff>
    </xdr:to>
    <xdr:sp macro="" textlink="">
      <xdr:nvSpPr>
        <xdr:cNvPr id="6451" name="Arrow: Down 6450">
          <a:extLst>
            <a:ext uri="{FF2B5EF4-FFF2-40B4-BE49-F238E27FC236}">
              <a16:creationId xmlns:a16="http://schemas.microsoft.com/office/drawing/2014/main" id="{3B6B6498-B7F1-4572-AE92-BC62ED4AF946}"/>
            </a:ext>
          </a:extLst>
        </xdr:cNvPr>
        <xdr:cNvSpPr/>
      </xdr:nvSpPr>
      <xdr:spPr>
        <a:xfrm rot="10800000">
          <a:off x="2241232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854</xdr:row>
      <xdr:rowOff>0</xdr:rowOff>
    </xdr:from>
    <xdr:to>
      <xdr:col>60</xdr:col>
      <xdr:colOff>83820</xdr:colOff>
      <xdr:row>854</xdr:row>
      <xdr:rowOff>114300</xdr:rowOff>
    </xdr:to>
    <xdr:sp macro="" textlink="">
      <xdr:nvSpPr>
        <xdr:cNvPr id="6453" name="Arrow: Down 6452">
          <a:extLst>
            <a:ext uri="{FF2B5EF4-FFF2-40B4-BE49-F238E27FC236}">
              <a16:creationId xmlns:a16="http://schemas.microsoft.com/office/drawing/2014/main" id="{08A81D67-89BF-4ABC-BF0E-2A7D17DDDDD5}"/>
            </a:ext>
          </a:extLst>
        </xdr:cNvPr>
        <xdr:cNvSpPr/>
      </xdr:nvSpPr>
      <xdr:spPr>
        <a:xfrm>
          <a:off x="19483388" y="158557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855</xdr:row>
      <xdr:rowOff>0</xdr:rowOff>
    </xdr:from>
    <xdr:to>
      <xdr:col>64</xdr:col>
      <xdr:colOff>83820</xdr:colOff>
      <xdr:row>855</xdr:row>
      <xdr:rowOff>114300</xdr:rowOff>
    </xdr:to>
    <xdr:sp macro="" textlink="">
      <xdr:nvSpPr>
        <xdr:cNvPr id="6455" name="Arrow: Down 6454">
          <a:extLst>
            <a:ext uri="{FF2B5EF4-FFF2-40B4-BE49-F238E27FC236}">
              <a16:creationId xmlns:a16="http://schemas.microsoft.com/office/drawing/2014/main" id="{909D6639-17FE-45D2-B7C8-32B50B3828F2}"/>
            </a:ext>
          </a:extLst>
        </xdr:cNvPr>
        <xdr:cNvSpPr/>
      </xdr:nvSpPr>
      <xdr:spPr>
        <a:xfrm rot="10800000">
          <a:off x="19754850" y="158743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855</xdr:row>
      <xdr:rowOff>0</xdr:rowOff>
    </xdr:from>
    <xdr:to>
      <xdr:col>24</xdr:col>
      <xdr:colOff>83820</xdr:colOff>
      <xdr:row>855</xdr:row>
      <xdr:rowOff>114300</xdr:rowOff>
    </xdr:to>
    <xdr:sp macro="" textlink="">
      <xdr:nvSpPr>
        <xdr:cNvPr id="6456" name="Arrow: Down 6455">
          <a:extLst>
            <a:ext uri="{FF2B5EF4-FFF2-40B4-BE49-F238E27FC236}">
              <a16:creationId xmlns:a16="http://schemas.microsoft.com/office/drawing/2014/main" id="{DF4532BF-BCB1-430E-AD88-2FE796C75EB6}"/>
            </a:ext>
          </a:extLst>
        </xdr:cNvPr>
        <xdr:cNvSpPr/>
      </xdr:nvSpPr>
      <xdr:spPr>
        <a:xfrm>
          <a:off x="8486775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855</xdr:row>
      <xdr:rowOff>0</xdr:rowOff>
    </xdr:from>
    <xdr:to>
      <xdr:col>5</xdr:col>
      <xdr:colOff>83820</xdr:colOff>
      <xdr:row>855</xdr:row>
      <xdr:rowOff>114300</xdr:rowOff>
    </xdr:to>
    <xdr:sp macro="" textlink="">
      <xdr:nvSpPr>
        <xdr:cNvPr id="6461" name="Arrow: Down 6460">
          <a:extLst>
            <a:ext uri="{FF2B5EF4-FFF2-40B4-BE49-F238E27FC236}">
              <a16:creationId xmlns:a16="http://schemas.microsoft.com/office/drawing/2014/main" id="{70296EFC-7764-4688-97A2-66ECF4AD78E2}"/>
            </a:ext>
          </a:extLst>
        </xdr:cNvPr>
        <xdr:cNvSpPr/>
      </xdr:nvSpPr>
      <xdr:spPr>
        <a:xfrm>
          <a:off x="1962150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855</xdr:row>
      <xdr:rowOff>0</xdr:rowOff>
    </xdr:from>
    <xdr:to>
      <xdr:col>11</xdr:col>
      <xdr:colOff>83820</xdr:colOff>
      <xdr:row>855</xdr:row>
      <xdr:rowOff>114300</xdr:rowOff>
    </xdr:to>
    <xdr:sp macro="" textlink="">
      <xdr:nvSpPr>
        <xdr:cNvPr id="6472" name="Arrow: Down 6471">
          <a:extLst>
            <a:ext uri="{FF2B5EF4-FFF2-40B4-BE49-F238E27FC236}">
              <a16:creationId xmlns:a16="http://schemas.microsoft.com/office/drawing/2014/main" id="{8AF84F50-DCA3-4DF0-B9D6-3B98EFA1185E}"/>
            </a:ext>
          </a:extLst>
        </xdr:cNvPr>
        <xdr:cNvSpPr/>
      </xdr:nvSpPr>
      <xdr:spPr>
        <a:xfrm>
          <a:off x="3757613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855</xdr:row>
      <xdr:rowOff>0</xdr:rowOff>
    </xdr:from>
    <xdr:to>
      <xdr:col>45</xdr:col>
      <xdr:colOff>83820</xdr:colOff>
      <xdr:row>855</xdr:row>
      <xdr:rowOff>114300</xdr:rowOff>
    </xdr:to>
    <xdr:sp macro="" textlink="">
      <xdr:nvSpPr>
        <xdr:cNvPr id="6473" name="Arrow: Down 6472">
          <a:extLst>
            <a:ext uri="{FF2B5EF4-FFF2-40B4-BE49-F238E27FC236}">
              <a16:creationId xmlns:a16="http://schemas.microsoft.com/office/drawing/2014/main" id="{3D1AF784-F89C-4C3F-8179-4B7AE868F429}"/>
            </a:ext>
          </a:extLst>
        </xdr:cNvPr>
        <xdr:cNvSpPr/>
      </xdr:nvSpPr>
      <xdr:spPr>
        <a:xfrm rot="10800000">
          <a:off x="13644563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855</xdr:row>
      <xdr:rowOff>0</xdr:rowOff>
    </xdr:from>
    <xdr:to>
      <xdr:col>71</xdr:col>
      <xdr:colOff>83820</xdr:colOff>
      <xdr:row>855</xdr:row>
      <xdr:rowOff>114300</xdr:rowOff>
    </xdr:to>
    <xdr:sp macro="" textlink="">
      <xdr:nvSpPr>
        <xdr:cNvPr id="6474" name="Arrow: Down 6473">
          <a:extLst>
            <a:ext uri="{FF2B5EF4-FFF2-40B4-BE49-F238E27FC236}">
              <a16:creationId xmlns:a16="http://schemas.microsoft.com/office/drawing/2014/main" id="{AACD973C-FF02-4F24-AFB3-0DAC534E66A1}"/>
            </a:ext>
          </a:extLst>
        </xdr:cNvPr>
        <xdr:cNvSpPr/>
      </xdr:nvSpPr>
      <xdr:spPr>
        <a:xfrm rot="10800000">
          <a:off x="2241232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856</xdr:row>
      <xdr:rowOff>0</xdr:rowOff>
    </xdr:from>
    <xdr:to>
      <xdr:col>64</xdr:col>
      <xdr:colOff>83820</xdr:colOff>
      <xdr:row>856</xdr:row>
      <xdr:rowOff>114300</xdr:rowOff>
    </xdr:to>
    <xdr:sp macro="" textlink="">
      <xdr:nvSpPr>
        <xdr:cNvPr id="6477" name="Arrow: Down 6476">
          <a:extLst>
            <a:ext uri="{FF2B5EF4-FFF2-40B4-BE49-F238E27FC236}">
              <a16:creationId xmlns:a16="http://schemas.microsoft.com/office/drawing/2014/main" id="{7B745BC6-157E-4C30-9C02-17F37B19CC02}"/>
            </a:ext>
          </a:extLst>
        </xdr:cNvPr>
        <xdr:cNvSpPr/>
      </xdr:nvSpPr>
      <xdr:spPr>
        <a:xfrm rot="10800000">
          <a:off x="19754850" y="1589293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856</xdr:row>
      <xdr:rowOff>0</xdr:rowOff>
    </xdr:from>
    <xdr:to>
      <xdr:col>24</xdr:col>
      <xdr:colOff>83820</xdr:colOff>
      <xdr:row>856</xdr:row>
      <xdr:rowOff>114300</xdr:rowOff>
    </xdr:to>
    <xdr:sp macro="" textlink="">
      <xdr:nvSpPr>
        <xdr:cNvPr id="6478" name="Arrow: Down 6477">
          <a:extLst>
            <a:ext uri="{FF2B5EF4-FFF2-40B4-BE49-F238E27FC236}">
              <a16:creationId xmlns:a16="http://schemas.microsoft.com/office/drawing/2014/main" id="{7502E7FD-DE83-4B95-B99E-6314E2A0786E}"/>
            </a:ext>
          </a:extLst>
        </xdr:cNvPr>
        <xdr:cNvSpPr/>
      </xdr:nvSpPr>
      <xdr:spPr>
        <a:xfrm>
          <a:off x="8486775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856</xdr:row>
      <xdr:rowOff>0</xdr:rowOff>
    </xdr:from>
    <xdr:to>
      <xdr:col>5</xdr:col>
      <xdr:colOff>83820</xdr:colOff>
      <xdr:row>856</xdr:row>
      <xdr:rowOff>114300</xdr:rowOff>
    </xdr:to>
    <xdr:sp macro="" textlink="">
      <xdr:nvSpPr>
        <xdr:cNvPr id="6479" name="Arrow: Down 6478">
          <a:extLst>
            <a:ext uri="{FF2B5EF4-FFF2-40B4-BE49-F238E27FC236}">
              <a16:creationId xmlns:a16="http://schemas.microsoft.com/office/drawing/2014/main" id="{3BC62A5C-2DF5-4359-8463-118F0FCC03BD}"/>
            </a:ext>
          </a:extLst>
        </xdr:cNvPr>
        <xdr:cNvSpPr/>
      </xdr:nvSpPr>
      <xdr:spPr>
        <a:xfrm>
          <a:off x="1962150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856</xdr:row>
      <xdr:rowOff>0</xdr:rowOff>
    </xdr:from>
    <xdr:to>
      <xdr:col>11</xdr:col>
      <xdr:colOff>83820</xdr:colOff>
      <xdr:row>856</xdr:row>
      <xdr:rowOff>114300</xdr:rowOff>
    </xdr:to>
    <xdr:sp macro="" textlink="">
      <xdr:nvSpPr>
        <xdr:cNvPr id="6480" name="Arrow: Down 6479">
          <a:extLst>
            <a:ext uri="{FF2B5EF4-FFF2-40B4-BE49-F238E27FC236}">
              <a16:creationId xmlns:a16="http://schemas.microsoft.com/office/drawing/2014/main" id="{3CE3CD50-3816-4410-976A-542EAF8E7EB5}"/>
            </a:ext>
          </a:extLst>
        </xdr:cNvPr>
        <xdr:cNvSpPr/>
      </xdr:nvSpPr>
      <xdr:spPr>
        <a:xfrm>
          <a:off x="3757613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856</xdr:row>
      <xdr:rowOff>0</xdr:rowOff>
    </xdr:from>
    <xdr:to>
      <xdr:col>45</xdr:col>
      <xdr:colOff>83820</xdr:colOff>
      <xdr:row>856</xdr:row>
      <xdr:rowOff>114300</xdr:rowOff>
    </xdr:to>
    <xdr:sp macro="" textlink="">
      <xdr:nvSpPr>
        <xdr:cNvPr id="6482" name="Arrow: Down 6481">
          <a:extLst>
            <a:ext uri="{FF2B5EF4-FFF2-40B4-BE49-F238E27FC236}">
              <a16:creationId xmlns:a16="http://schemas.microsoft.com/office/drawing/2014/main" id="{295A5067-01F3-4F74-BFDB-E4E8A2D682B7}"/>
            </a:ext>
          </a:extLst>
        </xdr:cNvPr>
        <xdr:cNvSpPr/>
      </xdr:nvSpPr>
      <xdr:spPr>
        <a:xfrm rot="10800000">
          <a:off x="13644563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856</xdr:row>
      <xdr:rowOff>0</xdr:rowOff>
    </xdr:from>
    <xdr:to>
      <xdr:col>71</xdr:col>
      <xdr:colOff>83820</xdr:colOff>
      <xdr:row>856</xdr:row>
      <xdr:rowOff>114300</xdr:rowOff>
    </xdr:to>
    <xdr:sp macro="" textlink="">
      <xdr:nvSpPr>
        <xdr:cNvPr id="6483" name="Arrow: Down 6482">
          <a:extLst>
            <a:ext uri="{FF2B5EF4-FFF2-40B4-BE49-F238E27FC236}">
              <a16:creationId xmlns:a16="http://schemas.microsoft.com/office/drawing/2014/main" id="{B54397CD-1FBA-44E9-9C47-77107C3A293D}"/>
            </a:ext>
          </a:extLst>
        </xdr:cNvPr>
        <xdr:cNvSpPr/>
      </xdr:nvSpPr>
      <xdr:spPr>
        <a:xfrm rot="10800000">
          <a:off x="22412325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856</xdr:row>
      <xdr:rowOff>0</xdr:rowOff>
    </xdr:from>
    <xdr:to>
      <xdr:col>39</xdr:col>
      <xdr:colOff>83820</xdr:colOff>
      <xdr:row>856</xdr:row>
      <xdr:rowOff>114300</xdr:rowOff>
    </xdr:to>
    <xdr:sp macro="" textlink="">
      <xdr:nvSpPr>
        <xdr:cNvPr id="6484" name="Arrow: Down 6483">
          <a:extLst>
            <a:ext uri="{FF2B5EF4-FFF2-40B4-BE49-F238E27FC236}">
              <a16:creationId xmlns:a16="http://schemas.microsoft.com/office/drawing/2014/main" id="{AE325EFE-604E-4DCA-98A2-19111893E327}"/>
            </a:ext>
          </a:extLst>
        </xdr:cNvPr>
        <xdr:cNvSpPr/>
      </xdr:nvSpPr>
      <xdr:spPr>
        <a:xfrm>
          <a:off x="11753850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857</xdr:row>
      <xdr:rowOff>0</xdr:rowOff>
    </xdr:from>
    <xdr:to>
      <xdr:col>64</xdr:col>
      <xdr:colOff>83820</xdr:colOff>
      <xdr:row>857</xdr:row>
      <xdr:rowOff>114300</xdr:rowOff>
    </xdr:to>
    <xdr:sp macro="" textlink="">
      <xdr:nvSpPr>
        <xdr:cNvPr id="6489" name="Arrow: Down 6488">
          <a:extLst>
            <a:ext uri="{FF2B5EF4-FFF2-40B4-BE49-F238E27FC236}">
              <a16:creationId xmlns:a16="http://schemas.microsoft.com/office/drawing/2014/main" id="{B80A5FF4-85B3-4E18-B5C1-F247BBC8A7C7}"/>
            </a:ext>
          </a:extLst>
        </xdr:cNvPr>
        <xdr:cNvSpPr/>
      </xdr:nvSpPr>
      <xdr:spPr>
        <a:xfrm rot="10800000">
          <a:off x="19754850" y="159115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857</xdr:row>
      <xdr:rowOff>0</xdr:rowOff>
    </xdr:from>
    <xdr:to>
      <xdr:col>24</xdr:col>
      <xdr:colOff>83820</xdr:colOff>
      <xdr:row>857</xdr:row>
      <xdr:rowOff>114300</xdr:rowOff>
    </xdr:to>
    <xdr:sp macro="" textlink="">
      <xdr:nvSpPr>
        <xdr:cNvPr id="6490" name="Arrow: Down 6489">
          <a:extLst>
            <a:ext uri="{FF2B5EF4-FFF2-40B4-BE49-F238E27FC236}">
              <a16:creationId xmlns:a16="http://schemas.microsoft.com/office/drawing/2014/main" id="{298827E8-BA01-482A-8F4C-DF52BA06C1C7}"/>
            </a:ext>
          </a:extLst>
        </xdr:cNvPr>
        <xdr:cNvSpPr/>
      </xdr:nvSpPr>
      <xdr:spPr>
        <a:xfrm>
          <a:off x="8486775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857</xdr:row>
      <xdr:rowOff>0</xdr:rowOff>
    </xdr:from>
    <xdr:to>
      <xdr:col>5</xdr:col>
      <xdr:colOff>83820</xdr:colOff>
      <xdr:row>857</xdr:row>
      <xdr:rowOff>114300</xdr:rowOff>
    </xdr:to>
    <xdr:sp macro="" textlink="">
      <xdr:nvSpPr>
        <xdr:cNvPr id="6491" name="Arrow: Down 6490">
          <a:extLst>
            <a:ext uri="{FF2B5EF4-FFF2-40B4-BE49-F238E27FC236}">
              <a16:creationId xmlns:a16="http://schemas.microsoft.com/office/drawing/2014/main" id="{095A288F-08A9-4C46-AB7D-1841FEFFDA25}"/>
            </a:ext>
          </a:extLst>
        </xdr:cNvPr>
        <xdr:cNvSpPr/>
      </xdr:nvSpPr>
      <xdr:spPr>
        <a:xfrm>
          <a:off x="1962150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857</xdr:row>
      <xdr:rowOff>0</xdr:rowOff>
    </xdr:from>
    <xdr:to>
      <xdr:col>11</xdr:col>
      <xdr:colOff>83820</xdr:colOff>
      <xdr:row>857</xdr:row>
      <xdr:rowOff>114300</xdr:rowOff>
    </xdr:to>
    <xdr:sp macro="" textlink="">
      <xdr:nvSpPr>
        <xdr:cNvPr id="6492" name="Arrow: Down 6491">
          <a:extLst>
            <a:ext uri="{FF2B5EF4-FFF2-40B4-BE49-F238E27FC236}">
              <a16:creationId xmlns:a16="http://schemas.microsoft.com/office/drawing/2014/main" id="{5390CDB2-52F2-4417-AD00-C6FB1825EBEA}"/>
            </a:ext>
          </a:extLst>
        </xdr:cNvPr>
        <xdr:cNvSpPr/>
      </xdr:nvSpPr>
      <xdr:spPr>
        <a:xfrm>
          <a:off x="3757613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857</xdr:row>
      <xdr:rowOff>0</xdr:rowOff>
    </xdr:from>
    <xdr:to>
      <xdr:col>45</xdr:col>
      <xdr:colOff>83820</xdr:colOff>
      <xdr:row>857</xdr:row>
      <xdr:rowOff>114300</xdr:rowOff>
    </xdr:to>
    <xdr:sp macro="" textlink="">
      <xdr:nvSpPr>
        <xdr:cNvPr id="6493" name="Arrow: Down 6492">
          <a:extLst>
            <a:ext uri="{FF2B5EF4-FFF2-40B4-BE49-F238E27FC236}">
              <a16:creationId xmlns:a16="http://schemas.microsoft.com/office/drawing/2014/main" id="{78EDEDC6-D53A-42C1-81BD-60DE3E022C41}"/>
            </a:ext>
          </a:extLst>
        </xdr:cNvPr>
        <xdr:cNvSpPr/>
      </xdr:nvSpPr>
      <xdr:spPr>
        <a:xfrm rot="10800000">
          <a:off x="13644563" y="1591151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857</xdr:row>
      <xdr:rowOff>0</xdr:rowOff>
    </xdr:from>
    <xdr:to>
      <xdr:col>71</xdr:col>
      <xdr:colOff>83820</xdr:colOff>
      <xdr:row>857</xdr:row>
      <xdr:rowOff>114300</xdr:rowOff>
    </xdr:to>
    <xdr:sp macro="" textlink="">
      <xdr:nvSpPr>
        <xdr:cNvPr id="6494" name="Arrow: Down 6493">
          <a:extLst>
            <a:ext uri="{FF2B5EF4-FFF2-40B4-BE49-F238E27FC236}">
              <a16:creationId xmlns:a16="http://schemas.microsoft.com/office/drawing/2014/main" id="{47B41E6E-E9B5-4A15-B9E9-64ADB8424FDA}"/>
            </a:ext>
          </a:extLst>
        </xdr:cNvPr>
        <xdr:cNvSpPr/>
      </xdr:nvSpPr>
      <xdr:spPr>
        <a:xfrm rot="10800000">
          <a:off x="22412325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857</xdr:row>
      <xdr:rowOff>0</xdr:rowOff>
    </xdr:from>
    <xdr:to>
      <xdr:col>39</xdr:col>
      <xdr:colOff>83820</xdr:colOff>
      <xdr:row>857</xdr:row>
      <xdr:rowOff>114300</xdr:rowOff>
    </xdr:to>
    <xdr:sp macro="" textlink="">
      <xdr:nvSpPr>
        <xdr:cNvPr id="6495" name="Arrow: Down 6494">
          <a:extLst>
            <a:ext uri="{FF2B5EF4-FFF2-40B4-BE49-F238E27FC236}">
              <a16:creationId xmlns:a16="http://schemas.microsoft.com/office/drawing/2014/main" id="{2292F9CB-D517-4C59-B222-81AD86EDC1AB}"/>
            </a:ext>
          </a:extLst>
        </xdr:cNvPr>
        <xdr:cNvSpPr/>
      </xdr:nvSpPr>
      <xdr:spPr>
        <a:xfrm>
          <a:off x="11753850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857</xdr:row>
      <xdr:rowOff>0</xdr:rowOff>
    </xdr:from>
    <xdr:to>
      <xdr:col>60</xdr:col>
      <xdr:colOff>83820</xdr:colOff>
      <xdr:row>857</xdr:row>
      <xdr:rowOff>114300</xdr:rowOff>
    </xdr:to>
    <xdr:sp macro="" textlink="">
      <xdr:nvSpPr>
        <xdr:cNvPr id="6496" name="Arrow: Down 6495">
          <a:extLst>
            <a:ext uri="{FF2B5EF4-FFF2-40B4-BE49-F238E27FC236}">
              <a16:creationId xmlns:a16="http://schemas.microsoft.com/office/drawing/2014/main" id="{C79873A2-E273-43AD-A8FC-B12741421772}"/>
            </a:ext>
          </a:extLst>
        </xdr:cNvPr>
        <xdr:cNvSpPr/>
      </xdr:nvSpPr>
      <xdr:spPr>
        <a:xfrm>
          <a:off x="19483388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858</xdr:row>
      <xdr:rowOff>0</xdr:rowOff>
    </xdr:from>
    <xdr:to>
      <xdr:col>64</xdr:col>
      <xdr:colOff>83820</xdr:colOff>
      <xdr:row>858</xdr:row>
      <xdr:rowOff>114300</xdr:rowOff>
    </xdr:to>
    <xdr:sp macro="" textlink="">
      <xdr:nvSpPr>
        <xdr:cNvPr id="6499" name="Arrow: Down 6498">
          <a:extLst>
            <a:ext uri="{FF2B5EF4-FFF2-40B4-BE49-F238E27FC236}">
              <a16:creationId xmlns:a16="http://schemas.microsoft.com/office/drawing/2014/main" id="{7927A256-51F4-4164-9450-4739931EFBC1}"/>
            </a:ext>
          </a:extLst>
        </xdr:cNvPr>
        <xdr:cNvSpPr/>
      </xdr:nvSpPr>
      <xdr:spPr>
        <a:xfrm rot="10800000">
          <a:off x="19754850" y="1593008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858</xdr:row>
      <xdr:rowOff>0</xdr:rowOff>
    </xdr:from>
    <xdr:to>
      <xdr:col>24</xdr:col>
      <xdr:colOff>83820</xdr:colOff>
      <xdr:row>858</xdr:row>
      <xdr:rowOff>114300</xdr:rowOff>
    </xdr:to>
    <xdr:sp macro="" textlink="">
      <xdr:nvSpPr>
        <xdr:cNvPr id="6500" name="Arrow: Down 6499">
          <a:extLst>
            <a:ext uri="{FF2B5EF4-FFF2-40B4-BE49-F238E27FC236}">
              <a16:creationId xmlns:a16="http://schemas.microsoft.com/office/drawing/2014/main" id="{4C647A37-822F-469E-993E-43C66FAC5E39}"/>
            </a:ext>
          </a:extLst>
        </xdr:cNvPr>
        <xdr:cNvSpPr/>
      </xdr:nvSpPr>
      <xdr:spPr>
        <a:xfrm>
          <a:off x="8486775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858</xdr:row>
      <xdr:rowOff>0</xdr:rowOff>
    </xdr:from>
    <xdr:to>
      <xdr:col>5</xdr:col>
      <xdr:colOff>83820</xdr:colOff>
      <xdr:row>858</xdr:row>
      <xdr:rowOff>114300</xdr:rowOff>
    </xdr:to>
    <xdr:sp macro="" textlink="">
      <xdr:nvSpPr>
        <xdr:cNvPr id="6501" name="Arrow: Down 6500">
          <a:extLst>
            <a:ext uri="{FF2B5EF4-FFF2-40B4-BE49-F238E27FC236}">
              <a16:creationId xmlns:a16="http://schemas.microsoft.com/office/drawing/2014/main" id="{04172354-E130-4043-87B3-278C08955F39}"/>
            </a:ext>
          </a:extLst>
        </xdr:cNvPr>
        <xdr:cNvSpPr/>
      </xdr:nvSpPr>
      <xdr:spPr>
        <a:xfrm>
          <a:off x="1962150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858</xdr:row>
      <xdr:rowOff>0</xdr:rowOff>
    </xdr:from>
    <xdr:to>
      <xdr:col>11</xdr:col>
      <xdr:colOff>83820</xdr:colOff>
      <xdr:row>858</xdr:row>
      <xdr:rowOff>114300</xdr:rowOff>
    </xdr:to>
    <xdr:sp macro="" textlink="">
      <xdr:nvSpPr>
        <xdr:cNvPr id="6503" name="Arrow: Down 6502">
          <a:extLst>
            <a:ext uri="{FF2B5EF4-FFF2-40B4-BE49-F238E27FC236}">
              <a16:creationId xmlns:a16="http://schemas.microsoft.com/office/drawing/2014/main" id="{2B3D466E-740E-4CB1-A668-1C68290E8D5F}"/>
            </a:ext>
          </a:extLst>
        </xdr:cNvPr>
        <xdr:cNvSpPr/>
      </xdr:nvSpPr>
      <xdr:spPr>
        <a:xfrm>
          <a:off x="3757613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858</xdr:row>
      <xdr:rowOff>0</xdr:rowOff>
    </xdr:from>
    <xdr:to>
      <xdr:col>45</xdr:col>
      <xdr:colOff>83820</xdr:colOff>
      <xdr:row>858</xdr:row>
      <xdr:rowOff>114300</xdr:rowOff>
    </xdr:to>
    <xdr:sp macro="" textlink="">
      <xdr:nvSpPr>
        <xdr:cNvPr id="6504" name="Arrow: Down 6503">
          <a:extLst>
            <a:ext uri="{FF2B5EF4-FFF2-40B4-BE49-F238E27FC236}">
              <a16:creationId xmlns:a16="http://schemas.microsoft.com/office/drawing/2014/main" id="{E0A74927-0945-4F50-967F-B8801618FD60}"/>
            </a:ext>
          </a:extLst>
        </xdr:cNvPr>
        <xdr:cNvSpPr/>
      </xdr:nvSpPr>
      <xdr:spPr>
        <a:xfrm rot="10800000">
          <a:off x="13644563" y="1593008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858</xdr:row>
      <xdr:rowOff>0</xdr:rowOff>
    </xdr:from>
    <xdr:to>
      <xdr:col>71</xdr:col>
      <xdr:colOff>83820</xdr:colOff>
      <xdr:row>858</xdr:row>
      <xdr:rowOff>114300</xdr:rowOff>
    </xdr:to>
    <xdr:sp macro="" textlink="">
      <xdr:nvSpPr>
        <xdr:cNvPr id="6506" name="Arrow: Down 6505">
          <a:extLst>
            <a:ext uri="{FF2B5EF4-FFF2-40B4-BE49-F238E27FC236}">
              <a16:creationId xmlns:a16="http://schemas.microsoft.com/office/drawing/2014/main" id="{E03468D6-995E-4FB3-A261-2D0F3ECB9BD6}"/>
            </a:ext>
          </a:extLst>
        </xdr:cNvPr>
        <xdr:cNvSpPr/>
      </xdr:nvSpPr>
      <xdr:spPr>
        <a:xfrm rot="10800000">
          <a:off x="22412325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858</xdr:row>
      <xdr:rowOff>0</xdr:rowOff>
    </xdr:from>
    <xdr:to>
      <xdr:col>39</xdr:col>
      <xdr:colOff>83820</xdr:colOff>
      <xdr:row>858</xdr:row>
      <xdr:rowOff>114300</xdr:rowOff>
    </xdr:to>
    <xdr:sp macro="" textlink="">
      <xdr:nvSpPr>
        <xdr:cNvPr id="6507" name="Arrow: Down 6506">
          <a:extLst>
            <a:ext uri="{FF2B5EF4-FFF2-40B4-BE49-F238E27FC236}">
              <a16:creationId xmlns:a16="http://schemas.microsoft.com/office/drawing/2014/main" id="{978F7BF1-E9BB-4ABF-A42F-8B95995A8C6B}"/>
            </a:ext>
          </a:extLst>
        </xdr:cNvPr>
        <xdr:cNvSpPr/>
      </xdr:nvSpPr>
      <xdr:spPr>
        <a:xfrm>
          <a:off x="11753850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853</xdr:row>
      <xdr:rowOff>0</xdr:rowOff>
    </xdr:from>
    <xdr:to>
      <xdr:col>60</xdr:col>
      <xdr:colOff>82233</xdr:colOff>
      <xdr:row>853</xdr:row>
      <xdr:rowOff>114300</xdr:rowOff>
    </xdr:to>
    <xdr:sp macro="" textlink="">
      <xdr:nvSpPr>
        <xdr:cNvPr id="6517" name="Arrow: Down 6516">
          <a:extLst>
            <a:ext uri="{FF2B5EF4-FFF2-40B4-BE49-F238E27FC236}">
              <a16:creationId xmlns:a16="http://schemas.microsoft.com/office/drawing/2014/main" id="{D5900485-133D-4A38-B75A-7786D5688653}"/>
            </a:ext>
          </a:extLst>
        </xdr:cNvPr>
        <xdr:cNvSpPr/>
      </xdr:nvSpPr>
      <xdr:spPr>
        <a:xfrm rot="10800000">
          <a:off x="19483388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858</xdr:row>
      <xdr:rowOff>0</xdr:rowOff>
    </xdr:from>
    <xdr:to>
      <xdr:col>60</xdr:col>
      <xdr:colOff>82233</xdr:colOff>
      <xdr:row>858</xdr:row>
      <xdr:rowOff>114300</xdr:rowOff>
    </xdr:to>
    <xdr:sp macro="" textlink="">
      <xdr:nvSpPr>
        <xdr:cNvPr id="6521" name="Arrow: Down 6520">
          <a:extLst>
            <a:ext uri="{FF2B5EF4-FFF2-40B4-BE49-F238E27FC236}">
              <a16:creationId xmlns:a16="http://schemas.microsoft.com/office/drawing/2014/main" id="{FF4F5CF2-B11C-4452-BABB-64F0DEDB1724}"/>
            </a:ext>
          </a:extLst>
        </xdr:cNvPr>
        <xdr:cNvSpPr/>
      </xdr:nvSpPr>
      <xdr:spPr>
        <a:xfrm rot="10800000">
          <a:off x="19483388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855</xdr:row>
      <xdr:rowOff>0</xdr:rowOff>
    </xdr:from>
    <xdr:to>
      <xdr:col>60</xdr:col>
      <xdr:colOff>82233</xdr:colOff>
      <xdr:row>855</xdr:row>
      <xdr:rowOff>114300</xdr:rowOff>
    </xdr:to>
    <xdr:sp macro="" textlink="">
      <xdr:nvSpPr>
        <xdr:cNvPr id="6522" name="Arrow: Down 6521">
          <a:extLst>
            <a:ext uri="{FF2B5EF4-FFF2-40B4-BE49-F238E27FC236}">
              <a16:creationId xmlns:a16="http://schemas.microsoft.com/office/drawing/2014/main" id="{B524CB2B-0E9C-4D9F-ADFC-B22B23A2A790}"/>
            </a:ext>
          </a:extLst>
        </xdr:cNvPr>
        <xdr:cNvSpPr/>
      </xdr:nvSpPr>
      <xdr:spPr>
        <a:xfrm rot="10800000">
          <a:off x="19483388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856</xdr:row>
      <xdr:rowOff>0</xdr:rowOff>
    </xdr:from>
    <xdr:to>
      <xdr:col>60</xdr:col>
      <xdr:colOff>82233</xdr:colOff>
      <xdr:row>856</xdr:row>
      <xdr:rowOff>114300</xdr:rowOff>
    </xdr:to>
    <xdr:sp macro="" textlink="">
      <xdr:nvSpPr>
        <xdr:cNvPr id="6524" name="Arrow: Down 6523">
          <a:extLst>
            <a:ext uri="{FF2B5EF4-FFF2-40B4-BE49-F238E27FC236}">
              <a16:creationId xmlns:a16="http://schemas.microsoft.com/office/drawing/2014/main" id="{19EB9C85-7F82-4919-B287-40E21DBEADBF}"/>
            </a:ext>
          </a:extLst>
        </xdr:cNvPr>
        <xdr:cNvSpPr/>
      </xdr:nvSpPr>
      <xdr:spPr>
        <a:xfrm rot="10800000">
          <a:off x="19483388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852</xdr:row>
      <xdr:rowOff>0</xdr:rowOff>
    </xdr:from>
    <xdr:to>
      <xdr:col>5</xdr:col>
      <xdr:colOff>82233</xdr:colOff>
      <xdr:row>852</xdr:row>
      <xdr:rowOff>114300</xdr:rowOff>
    </xdr:to>
    <xdr:sp macro="" textlink="">
      <xdr:nvSpPr>
        <xdr:cNvPr id="6525" name="Arrow: Down 6524">
          <a:extLst>
            <a:ext uri="{FF2B5EF4-FFF2-40B4-BE49-F238E27FC236}">
              <a16:creationId xmlns:a16="http://schemas.microsoft.com/office/drawing/2014/main" id="{DC6CC252-33C4-4F8F-9CF8-9AC841196580}"/>
            </a:ext>
          </a:extLst>
        </xdr:cNvPr>
        <xdr:cNvSpPr/>
      </xdr:nvSpPr>
      <xdr:spPr>
        <a:xfrm rot="10800000">
          <a:off x="19621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854</xdr:row>
      <xdr:rowOff>0</xdr:rowOff>
    </xdr:from>
    <xdr:to>
      <xdr:col>11</xdr:col>
      <xdr:colOff>82233</xdr:colOff>
      <xdr:row>854</xdr:row>
      <xdr:rowOff>114300</xdr:rowOff>
    </xdr:to>
    <xdr:sp macro="" textlink="">
      <xdr:nvSpPr>
        <xdr:cNvPr id="6526" name="Arrow: Down 6525">
          <a:extLst>
            <a:ext uri="{FF2B5EF4-FFF2-40B4-BE49-F238E27FC236}">
              <a16:creationId xmlns:a16="http://schemas.microsoft.com/office/drawing/2014/main" id="{8CF3ACDB-29D3-454C-BE23-7932E7A9BC2F}"/>
            </a:ext>
          </a:extLst>
        </xdr:cNvPr>
        <xdr:cNvSpPr/>
      </xdr:nvSpPr>
      <xdr:spPr>
        <a:xfrm rot="10800000">
          <a:off x="3757613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854</xdr:row>
      <xdr:rowOff>0</xdr:rowOff>
    </xdr:from>
    <xdr:to>
      <xdr:col>5</xdr:col>
      <xdr:colOff>82233</xdr:colOff>
      <xdr:row>854</xdr:row>
      <xdr:rowOff>114300</xdr:rowOff>
    </xdr:to>
    <xdr:sp macro="" textlink="">
      <xdr:nvSpPr>
        <xdr:cNvPr id="6527" name="Arrow: Down 6526">
          <a:extLst>
            <a:ext uri="{FF2B5EF4-FFF2-40B4-BE49-F238E27FC236}">
              <a16:creationId xmlns:a16="http://schemas.microsoft.com/office/drawing/2014/main" id="{35B19E38-22A3-49E9-B9DA-7127A76ACBDA}"/>
            </a:ext>
          </a:extLst>
        </xdr:cNvPr>
        <xdr:cNvSpPr/>
      </xdr:nvSpPr>
      <xdr:spPr>
        <a:xfrm rot="10800000">
          <a:off x="1962150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852</xdr:row>
      <xdr:rowOff>0</xdr:rowOff>
    </xdr:from>
    <xdr:to>
      <xdr:col>11</xdr:col>
      <xdr:colOff>82233</xdr:colOff>
      <xdr:row>852</xdr:row>
      <xdr:rowOff>114300</xdr:rowOff>
    </xdr:to>
    <xdr:sp macro="" textlink="">
      <xdr:nvSpPr>
        <xdr:cNvPr id="6528" name="Arrow: Down 6527">
          <a:extLst>
            <a:ext uri="{FF2B5EF4-FFF2-40B4-BE49-F238E27FC236}">
              <a16:creationId xmlns:a16="http://schemas.microsoft.com/office/drawing/2014/main" id="{C792AC58-8B33-4EDF-B924-4EB389934BD2}"/>
            </a:ext>
          </a:extLst>
        </xdr:cNvPr>
        <xdr:cNvSpPr/>
      </xdr:nvSpPr>
      <xdr:spPr>
        <a:xfrm rot="10800000">
          <a:off x="3757613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853</xdr:row>
      <xdr:rowOff>0</xdr:rowOff>
    </xdr:from>
    <xdr:to>
      <xdr:col>5</xdr:col>
      <xdr:colOff>82233</xdr:colOff>
      <xdr:row>853</xdr:row>
      <xdr:rowOff>114300</xdr:rowOff>
    </xdr:to>
    <xdr:sp macro="" textlink="">
      <xdr:nvSpPr>
        <xdr:cNvPr id="6531" name="Arrow: Down 6530">
          <a:extLst>
            <a:ext uri="{FF2B5EF4-FFF2-40B4-BE49-F238E27FC236}">
              <a16:creationId xmlns:a16="http://schemas.microsoft.com/office/drawing/2014/main" id="{0E8895D2-D034-40C9-9310-42E36254FF99}"/>
            </a:ext>
          </a:extLst>
        </xdr:cNvPr>
        <xdr:cNvSpPr/>
      </xdr:nvSpPr>
      <xdr:spPr>
        <a:xfrm rot="10800000">
          <a:off x="1962150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853</xdr:row>
      <xdr:rowOff>0</xdr:rowOff>
    </xdr:from>
    <xdr:to>
      <xdr:col>11</xdr:col>
      <xdr:colOff>82233</xdr:colOff>
      <xdr:row>853</xdr:row>
      <xdr:rowOff>114300</xdr:rowOff>
    </xdr:to>
    <xdr:sp macro="" textlink="">
      <xdr:nvSpPr>
        <xdr:cNvPr id="6532" name="Arrow: Down 6531">
          <a:extLst>
            <a:ext uri="{FF2B5EF4-FFF2-40B4-BE49-F238E27FC236}">
              <a16:creationId xmlns:a16="http://schemas.microsoft.com/office/drawing/2014/main" id="{D2326759-E0E3-4B72-AEBE-03C794B6EFB0}"/>
            </a:ext>
          </a:extLst>
        </xdr:cNvPr>
        <xdr:cNvSpPr/>
      </xdr:nvSpPr>
      <xdr:spPr>
        <a:xfrm rot="10800000">
          <a:off x="3757613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852</xdr:row>
      <xdr:rowOff>0</xdr:rowOff>
    </xdr:from>
    <xdr:to>
      <xdr:col>24</xdr:col>
      <xdr:colOff>82233</xdr:colOff>
      <xdr:row>852</xdr:row>
      <xdr:rowOff>114300</xdr:rowOff>
    </xdr:to>
    <xdr:sp macro="" textlink="">
      <xdr:nvSpPr>
        <xdr:cNvPr id="6533" name="Arrow: Down 6532">
          <a:extLst>
            <a:ext uri="{FF2B5EF4-FFF2-40B4-BE49-F238E27FC236}">
              <a16:creationId xmlns:a16="http://schemas.microsoft.com/office/drawing/2014/main" id="{E27AA8D1-6620-450C-91B0-FC8B66F9C9E8}"/>
            </a:ext>
          </a:extLst>
        </xdr:cNvPr>
        <xdr:cNvSpPr/>
      </xdr:nvSpPr>
      <xdr:spPr>
        <a:xfrm rot="10800000">
          <a:off x="848677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853</xdr:row>
      <xdr:rowOff>0</xdr:rowOff>
    </xdr:from>
    <xdr:to>
      <xdr:col>24</xdr:col>
      <xdr:colOff>82233</xdr:colOff>
      <xdr:row>853</xdr:row>
      <xdr:rowOff>114300</xdr:rowOff>
    </xdr:to>
    <xdr:sp macro="" textlink="">
      <xdr:nvSpPr>
        <xdr:cNvPr id="6541" name="Arrow: Down 6540">
          <a:extLst>
            <a:ext uri="{FF2B5EF4-FFF2-40B4-BE49-F238E27FC236}">
              <a16:creationId xmlns:a16="http://schemas.microsoft.com/office/drawing/2014/main" id="{70A18A9F-B5C0-4DB0-9062-934BE4EC9EB7}"/>
            </a:ext>
          </a:extLst>
        </xdr:cNvPr>
        <xdr:cNvSpPr/>
      </xdr:nvSpPr>
      <xdr:spPr>
        <a:xfrm rot="10800000">
          <a:off x="848677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854</xdr:row>
      <xdr:rowOff>0</xdr:rowOff>
    </xdr:from>
    <xdr:to>
      <xdr:col>24</xdr:col>
      <xdr:colOff>82233</xdr:colOff>
      <xdr:row>854</xdr:row>
      <xdr:rowOff>114300</xdr:rowOff>
    </xdr:to>
    <xdr:sp macro="" textlink="">
      <xdr:nvSpPr>
        <xdr:cNvPr id="6552" name="Arrow: Down 6551">
          <a:extLst>
            <a:ext uri="{FF2B5EF4-FFF2-40B4-BE49-F238E27FC236}">
              <a16:creationId xmlns:a16="http://schemas.microsoft.com/office/drawing/2014/main" id="{A61BC8B5-F17D-49B9-AA19-F00019EBF902}"/>
            </a:ext>
          </a:extLst>
        </xdr:cNvPr>
        <xdr:cNvSpPr/>
      </xdr:nvSpPr>
      <xdr:spPr>
        <a:xfrm rot="10800000">
          <a:off x="848677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855</xdr:row>
      <xdr:rowOff>0</xdr:rowOff>
    </xdr:from>
    <xdr:to>
      <xdr:col>39</xdr:col>
      <xdr:colOff>82233</xdr:colOff>
      <xdr:row>855</xdr:row>
      <xdr:rowOff>114300</xdr:rowOff>
    </xdr:to>
    <xdr:sp macro="" textlink="">
      <xdr:nvSpPr>
        <xdr:cNvPr id="6566" name="Arrow: Down 6565">
          <a:extLst>
            <a:ext uri="{FF2B5EF4-FFF2-40B4-BE49-F238E27FC236}">
              <a16:creationId xmlns:a16="http://schemas.microsoft.com/office/drawing/2014/main" id="{BA2D9D3E-9C09-422C-83A6-F4381C55D6A9}"/>
            </a:ext>
          </a:extLst>
        </xdr:cNvPr>
        <xdr:cNvSpPr/>
      </xdr:nvSpPr>
      <xdr:spPr>
        <a:xfrm rot="10800000">
          <a:off x="11753850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0" name="Arrow: Down 6569">
          <a:extLst>
            <a:ext uri="{FF2B5EF4-FFF2-40B4-BE49-F238E27FC236}">
              <a16:creationId xmlns:a16="http://schemas.microsoft.com/office/drawing/2014/main" id="{6190A5A5-0879-4AB2-821B-108848936780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5" name="Arrow: Down 6574">
          <a:extLst>
            <a:ext uri="{FF2B5EF4-FFF2-40B4-BE49-F238E27FC236}">
              <a16:creationId xmlns:a16="http://schemas.microsoft.com/office/drawing/2014/main" id="{A150C807-0E09-48A8-9FDC-95FA712349DF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854</xdr:row>
      <xdr:rowOff>0</xdr:rowOff>
    </xdr:from>
    <xdr:to>
      <xdr:col>39</xdr:col>
      <xdr:colOff>82233</xdr:colOff>
      <xdr:row>854</xdr:row>
      <xdr:rowOff>114300</xdr:rowOff>
    </xdr:to>
    <xdr:sp macro="" textlink="">
      <xdr:nvSpPr>
        <xdr:cNvPr id="6577" name="Arrow: Down 6576">
          <a:extLst>
            <a:ext uri="{FF2B5EF4-FFF2-40B4-BE49-F238E27FC236}">
              <a16:creationId xmlns:a16="http://schemas.microsoft.com/office/drawing/2014/main" id="{A8C51FED-A8BA-43F7-A694-0FA479F1B8A4}"/>
            </a:ext>
          </a:extLst>
        </xdr:cNvPr>
        <xdr:cNvSpPr/>
      </xdr:nvSpPr>
      <xdr:spPr>
        <a:xfrm rot="10800000">
          <a:off x="11753850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859</xdr:row>
      <xdr:rowOff>0</xdr:rowOff>
    </xdr:from>
    <xdr:to>
      <xdr:col>64</xdr:col>
      <xdr:colOff>83820</xdr:colOff>
      <xdr:row>859</xdr:row>
      <xdr:rowOff>114300</xdr:rowOff>
    </xdr:to>
    <xdr:sp macro="" textlink="">
      <xdr:nvSpPr>
        <xdr:cNvPr id="6272" name="Arrow: Down 6271">
          <a:extLst>
            <a:ext uri="{FF2B5EF4-FFF2-40B4-BE49-F238E27FC236}">
              <a16:creationId xmlns:a16="http://schemas.microsoft.com/office/drawing/2014/main" id="{17B07950-D45E-409E-A52A-1E7FDB296488}"/>
            </a:ext>
          </a:extLst>
        </xdr:cNvPr>
        <xdr:cNvSpPr/>
      </xdr:nvSpPr>
      <xdr:spPr>
        <a:xfrm rot="10800000">
          <a:off x="19754850" y="159486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859</xdr:row>
      <xdr:rowOff>0</xdr:rowOff>
    </xdr:from>
    <xdr:to>
      <xdr:col>71</xdr:col>
      <xdr:colOff>83820</xdr:colOff>
      <xdr:row>859</xdr:row>
      <xdr:rowOff>114300</xdr:rowOff>
    </xdr:to>
    <xdr:sp macro="" textlink="">
      <xdr:nvSpPr>
        <xdr:cNvPr id="6418" name="Arrow: Down 6417">
          <a:extLst>
            <a:ext uri="{FF2B5EF4-FFF2-40B4-BE49-F238E27FC236}">
              <a16:creationId xmlns:a16="http://schemas.microsoft.com/office/drawing/2014/main" id="{98899509-4DED-4450-B514-8B7225D87CE6}"/>
            </a:ext>
          </a:extLst>
        </xdr:cNvPr>
        <xdr:cNvSpPr/>
      </xdr:nvSpPr>
      <xdr:spPr>
        <a:xfrm rot="10800000">
          <a:off x="22412325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860</xdr:row>
      <xdr:rowOff>0</xdr:rowOff>
    </xdr:from>
    <xdr:to>
      <xdr:col>64</xdr:col>
      <xdr:colOff>83820</xdr:colOff>
      <xdr:row>860</xdr:row>
      <xdr:rowOff>114300</xdr:rowOff>
    </xdr:to>
    <xdr:sp macro="" textlink="">
      <xdr:nvSpPr>
        <xdr:cNvPr id="6536" name="Arrow: Down 6535">
          <a:extLst>
            <a:ext uri="{FF2B5EF4-FFF2-40B4-BE49-F238E27FC236}">
              <a16:creationId xmlns:a16="http://schemas.microsoft.com/office/drawing/2014/main" id="{F4041BC5-6341-43C5-87DA-190DA70C4AA9}"/>
            </a:ext>
          </a:extLst>
        </xdr:cNvPr>
        <xdr:cNvSpPr/>
      </xdr:nvSpPr>
      <xdr:spPr>
        <a:xfrm rot="10800000">
          <a:off x="19754850" y="1596723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860</xdr:row>
      <xdr:rowOff>0</xdr:rowOff>
    </xdr:from>
    <xdr:to>
      <xdr:col>71</xdr:col>
      <xdr:colOff>83820</xdr:colOff>
      <xdr:row>860</xdr:row>
      <xdr:rowOff>114300</xdr:rowOff>
    </xdr:to>
    <xdr:sp macro="" textlink="">
      <xdr:nvSpPr>
        <xdr:cNvPr id="6583" name="Arrow: Down 6582">
          <a:extLst>
            <a:ext uri="{FF2B5EF4-FFF2-40B4-BE49-F238E27FC236}">
              <a16:creationId xmlns:a16="http://schemas.microsoft.com/office/drawing/2014/main" id="{55A50865-ADE2-4ECC-9809-B151E0A2E284}"/>
            </a:ext>
          </a:extLst>
        </xdr:cNvPr>
        <xdr:cNvSpPr/>
      </xdr:nvSpPr>
      <xdr:spPr>
        <a:xfrm rot="10800000">
          <a:off x="22412325" y="1596723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860</xdr:row>
      <xdr:rowOff>0</xdr:rowOff>
    </xdr:from>
    <xdr:to>
      <xdr:col>60</xdr:col>
      <xdr:colOff>82233</xdr:colOff>
      <xdr:row>860</xdr:row>
      <xdr:rowOff>114300</xdr:rowOff>
    </xdr:to>
    <xdr:sp macro="" textlink="">
      <xdr:nvSpPr>
        <xdr:cNvPr id="6593" name="Arrow: Down 6592">
          <a:extLst>
            <a:ext uri="{FF2B5EF4-FFF2-40B4-BE49-F238E27FC236}">
              <a16:creationId xmlns:a16="http://schemas.microsoft.com/office/drawing/2014/main" id="{541199F9-DB8A-473C-A201-820821058D5F}"/>
            </a:ext>
          </a:extLst>
        </xdr:cNvPr>
        <xdr:cNvSpPr/>
      </xdr:nvSpPr>
      <xdr:spPr>
        <a:xfrm rot="10800000">
          <a:off x="19483388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861</xdr:row>
      <xdr:rowOff>0</xdr:rowOff>
    </xdr:from>
    <xdr:to>
      <xdr:col>64</xdr:col>
      <xdr:colOff>83820</xdr:colOff>
      <xdr:row>861</xdr:row>
      <xdr:rowOff>114300</xdr:rowOff>
    </xdr:to>
    <xdr:sp macro="" textlink="">
      <xdr:nvSpPr>
        <xdr:cNvPr id="6598" name="Arrow: Down 6597">
          <a:extLst>
            <a:ext uri="{FF2B5EF4-FFF2-40B4-BE49-F238E27FC236}">
              <a16:creationId xmlns:a16="http://schemas.microsoft.com/office/drawing/2014/main" id="{BB8B33AB-DEBB-480D-B126-4BBC07C46CC0}"/>
            </a:ext>
          </a:extLst>
        </xdr:cNvPr>
        <xdr:cNvSpPr/>
      </xdr:nvSpPr>
      <xdr:spPr>
        <a:xfrm rot="10800000">
          <a:off x="19754850" y="1598580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861</xdr:row>
      <xdr:rowOff>0</xdr:rowOff>
    </xdr:from>
    <xdr:to>
      <xdr:col>71</xdr:col>
      <xdr:colOff>83820</xdr:colOff>
      <xdr:row>861</xdr:row>
      <xdr:rowOff>114300</xdr:rowOff>
    </xdr:to>
    <xdr:sp macro="" textlink="">
      <xdr:nvSpPr>
        <xdr:cNvPr id="6609" name="Arrow: Down 6608">
          <a:extLst>
            <a:ext uri="{FF2B5EF4-FFF2-40B4-BE49-F238E27FC236}">
              <a16:creationId xmlns:a16="http://schemas.microsoft.com/office/drawing/2014/main" id="{61DCDAAD-53A8-4189-BA8C-3181AD05AB9C}"/>
            </a:ext>
          </a:extLst>
        </xdr:cNvPr>
        <xdr:cNvSpPr/>
      </xdr:nvSpPr>
      <xdr:spPr>
        <a:xfrm rot="10800000">
          <a:off x="22412325" y="1598580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862</xdr:row>
      <xdr:rowOff>0</xdr:rowOff>
    </xdr:from>
    <xdr:to>
      <xdr:col>64</xdr:col>
      <xdr:colOff>83820</xdr:colOff>
      <xdr:row>862</xdr:row>
      <xdr:rowOff>114300</xdr:rowOff>
    </xdr:to>
    <xdr:sp macro="" textlink="">
      <xdr:nvSpPr>
        <xdr:cNvPr id="6612" name="Arrow: Down 6611">
          <a:extLst>
            <a:ext uri="{FF2B5EF4-FFF2-40B4-BE49-F238E27FC236}">
              <a16:creationId xmlns:a16="http://schemas.microsoft.com/office/drawing/2014/main" id="{F9511543-7BFD-47EE-8272-0254EC923369}"/>
            </a:ext>
          </a:extLst>
        </xdr:cNvPr>
        <xdr:cNvSpPr/>
      </xdr:nvSpPr>
      <xdr:spPr>
        <a:xfrm rot="10800000">
          <a:off x="19754850" y="1600438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862</xdr:row>
      <xdr:rowOff>0</xdr:rowOff>
    </xdr:from>
    <xdr:to>
      <xdr:col>24</xdr:col>
      <xdr:colOff>83820</xdr:colOff>
      <xdr:row>862</xdr:row>
      <xdr:rowOff>114300</xdr:rowOff>
    </xdr:to>
    <xdr:sp macro="" textlink="">
      <xdr:nvSpPr>
        <xdr:cNvPr id="6613" name="Arrow: Down 6612">
          <a:extLst>
            <a:ext uri="{FF2B5EF4-FFF2-40B4-BE49-F238E27FC236}">
              <a16:creationId xmlns:a16="http://schemas.microsoft.com/office/drawing/2014/main" id="{9C36F744-8FBB-416D-ABB9-2095244AFA9E}"/>
            </a:ext>
          </a:extLst>
        </xdr:cNvPr>
        <xdr:cNvSpPr/>
      </xdr:nvSpPr>
      <xdr:spPr>
        <a:xfrm>
          <a:off x="8486775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862</xdr:row>
      <xdr:rowOff>0</xdr:rowOff>
    </xdr:from>
    <xdr:to>
      <xdr:col>5</xdr:col>
      <xdr:colOff>83820</xdr:colOff>
      <xdr:row>862</xdr:row>
      <xdr:rowOff>114300</xdr:rowOff>
    </xdr:to>
    <xdr:sp macro="" textlink="">
      <xdr:nvSpPr>
        <xdr:cNvPr id="6614" name="Arrow: Down 6613">
          <a:extLst>
            <a:ext uri="{FF2B5EF4-FFF2-40B4-BE49-F238E27FC236}">
              <a16:creationId xmlns:a16="http://schemas.microsoft.com/office/drawing/2014/main" id="{02F5CC55-AE68-4E60-8B9F-72E7C83A5C40}"/>
            </a:ext>
          </a:extLst>
        </xdr:cNvPr>
        <xdr:cNvSpPr/>
      </xdr:nvSpPr>
      <xdr:spPr>
        <a:xfrm>
          <a:off x="1962150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862</xdr:row>
      <xdr:rowOff>0</xdr:rowOff>
    </xdr:from>
    <xdr:to>
      <xdr:col>11</xdr:col>
      <xdr:colOff>83820</xdr:colOff>
      <xdr:row>862</xdr:row>
      <xdr:rowOff>114300</xdr:rowOff>
    </xdr:to>
    <xdr:sp macro="" textlink="">
      <xdr:nvSpPr>
        <xdr:cNvPr id="6615" name="Arrow: Down 6614">
          <a:extLst>
            <a:ext uri="{FF2B5EF4-FFF2-40B4-BE49-F238E27FC236}">
              <a16:creationId xmlns:a16="http://schemas.microsoft.com/office/drawing/2014/main" id="{7A7E6E33-6541-4138-9BEC-0214D2EDC8D8}"/>
            </a:ext>
          </a:extLst>
        </xdr:cNvPr>
        <xdr:cNvSpPr/>
      </xdr:nvSpPr>
      <xdr:spPr>
        <a:xfrm>
          <a:off x="3757613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862</xdr:row>
      <xdr:rowOff>0</xdr:rowOff>
    </xdr:from>
    <xdr:to>
      <xdr:col>71</xdr:col>
      <xdr:colOff>83820</xdr:colOff>
      <xdr:row>862</xdr:row>
      <xdr:rowOff>114300</xdr:rowOff>
    </xdr:to>
    <xdr:sp macro="" textlink="">
      <xdr:nvSpPr>
        <xdr:cNvPr id="6617" name="Arrow: Down 6616">
          <a:extLst>
            <a:ext uri="{FF2B5EF4-FFF2-40B4-BE49-F238E27FC236}">
              <a16:creationId xmlns:a16="http://schemas.microsoft.com/office/drawing/2014/main" id="{25EAD849-07CE-4881-B1FA-AB1A83D2A38E}"/>
            </a:ext>
          </a:extLst>
        </xdr:cNvPr>
        <xdr:cNvSpPr/>
      </xdr:nvSpPr>
      <xdr:spPr>
        <a:xfrm rot="10800000">
          <a:off x="22412325" y="1600438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862</xdr:row>
      <xdr:rowOff>0</xdr:rowOff>
    </xdr:from>
    <xdr:to>
      <xdr:col>60</xdr:col>
      <xdr:colOff>82233</xdr:colOff>
      <xdr:row>862</xdr:row>
      <xdr:rowOff>114300</xdr:rowOff>
    </xdr:to>
    <xdr:sp macro="" textlink="">
      <xdr:nvSpPr>
        <xdr:cNvPr id="6619" name="Arrow: Down 6618">
          <a:extLst>
            <a:ext uri="{FF2B5EF4-FFF2-40B4-BE49-F238E27FC236}">
              <a16:creationId xmlns:a16="http://schemas.microsoft.com/office/drawing/2014/main" id="{00202632-304C-45C3-856D-AD9CE4A43613}"/>
            </a:ext>
          </a:extLst>
        </xdr:cNvPr>
        <xdr:cNvSpPr/>
      </xdr:nvSpPr>
      <xdr:spPr>
        <a:xfrm rot="10800000">
          <a:off x="19483388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863</xdr:row>
      <xdr:rowOff>0</xdr:rowOff>
    </xdr:from>
    <xdr:to>
      <xdr:col>64</xdr:col>
      <xdr:colOff>83820</xdr:colOff>
      <xdr:row>863</xdr:row>
      <xdr:rowOff>114300</xdr:rowOff>
    </xdr:to>
    <xdr:sp macro="" textlink="">
      <xdr:nvSpPr>
        <xdr:cNvPr id="6628" name="Arrow: Down 6627">
          <a:extLst>
            <a:ext uri="{FF2B5EF4-FFF2-40B4-BE49-F238E27FC236}">
              <a16:creationId xmlns:a16="http://schemas.microsoft.com/office/drawing/2014/main" id="{F90607E7-9AD8-47B9-8DE7-9E2AB90FAE72}"/>
            </a:ext>
          </a:extLst>
        </xdr:cNvPr>
        <xdr:cNvSpPr/>
      </xdr:nvSpPr>
      <xdr:spPr>
        <a:xfrm rot="10800000">
          <a:off x="19754850" y="160229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863</xdr:row>
      <xdr:rowOff>0</xdr:rowOff>
    </xdr:from>
    <xdr:to>
      <xdr:col>45</xdr:col>
      <xdr:colOff>83820</xdr:colOff>
      <xdr:row>863</xdr:row>
      <xdr:rowOff>114300</xdr:rowOff>
    </xdr:to>
    <xdr:sp macro="" textlink="">
      <xdr:nvSpPr>
        <xdr:cNvPr id="6632" name="Arrow: Down 6631">
          <a:extLst>
            <a:ext uri="{FF2B5EF4-FFF2-40B4-BE49-F238E27FC236}">
              <a16:creationId xmlns:a16="http://schemas.microsoft.com/office/drawing/2014/main" id="{167D2A6B-C9B7-496C-B1A8-24B296A0B64B}"/>
            </a:ext>
          </a:extLst>
        </xdr:cNvPr>
        <xdr:cNvSpPr/>
      </xdr:nvSpPr>
      <xdr:spPr>
        <a:xfrm rot="10800000">
          <a:off x="13644563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863</xdr:row>
      <xdr:rowOff>0</xdr:rowOff>
    </xdr:from>
    <xdr:to>
      <xdr:col>39</xdr:col>
      <xdr:colOff>83820</xdr:colOff>
      <xdr:row>863</xdr:row>
      <xdr:rowOff>114300</xdr:rowOff>
    </xdr:to>
    <xdr:sp macro="" textlink="">
      <xdr:nvSpPr>
        <xdr:cNvPr id="6634" name="Arrow: Down 6633">
          <a:extLst>
            <a:ext uri="{FF2B5EF4-FFF2-40B4-BE49-F238E27FC236}">
              <a16:creationId xmlns:a16="http://schemas.microsoft.com/office/drawing/2014/main" id="{D00346B2-9B19-4D92-BE7E-1F4C9D193B59}"/>
            </a:ext>
          </a:extLst>
        </xdr:cNvPr>
        <xdr:cNvSpPr/>
      </xdr:nvSpPr>
      <xdr:spPr>
        <a:xfrm>
          <a:off x="11753850" y="1602295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864</xdr:row>
      <xdr:rowOff>0</xdr:rowOff>
    </xdr:from>
    <xdr:to>
      <xdr:col>64</xdr:col>
      <xdr:colOff>83820</xdr:colOff>
      <xdr:row>864</xdr:row>
      <xdr:rowOff>114300</xdr:rowOff>
    </xdr:to>
    <xdr:sp macro="" textlink="">
      <xdr:nvSpPr>
        <xdr:cNvPr id="6636" name="Arrow: Down 6635">
          <a:extLst>
            <a:ext uri="{FF2B5EF4-FFF2-40B4-BE49-F238E27FC236}">
              <a16:creationId xmlns:a16="http://schemas.microsoft.com/office/drawing/2014/main" id="{ABBDB947-2760-4EED-BDD5-17D35B423BD1}"/>
            </a:ext>
          </a:extLst>
        </xdr:cNvPr>
        <xdr:cNvSpPr/>
      </xdr:nvSpPr>
      <xdr:spPr>
        <a:xfrm rot="10800000">
          <a:off x="19754850" y="1604152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864</xdr:row>
      <xdr:rowOff>0</xdr:rowOff>
    </xdr:from>
    <xdr:to>
      <xdr:col>24</xdr:col>
      <xdr:colOff>83820</xdr:colOff>
      <xdr:row>864</xdr:row>
      <xdr:rowOff>114300</xdr:rowOff>
    </xdr:to>
    <xdr:sp macro="" textlink="">
      <xdr:nvSpPr>
        <xdr:cNvPr id="6637" name="Arrow: Down 6636">
          <a:extLst>
            <a:ext uri="{FF2B5EF4-FFF2-40B4-BE49-F238E27FC236}">
              <a16:creationId xmlns:a16="http://schemas.microsoft.com/office/drawing/2014/main" id="{E55EE662-D605-4691-BFE6-5DAC9ACEA21D}"/>
            </a:ext>
          </a:extLst>
        </xdr:cNvPr>
        <xdr:cNvSpPr/>
      </xdr:nvSpPr>
      <xdr:spPr>
        <a:xfrm>
          <a:off x="848677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864</xdr:row>
      <xdr:rowOff>0</xdr:rowOff>
    </xdr:from>
    <xdr:to>
      <xdr:col>5</xdr:col>
      <xdr:colOff>83820</xdr:colOff>
      <xdr:row>864</xdr:row>
      <xdr:rowOff>114300</xdr:rowOff>
    </xdr:to>
    <xdr:sp macro="" textlink="">
      <xdr:nvSpPr>
        <xdr:cNvPr id="6638" name="Arrow: Down 6637">
          <a:extLst>
            <a:ext uri="{FF2B5EF4-FFF2-40B4-BE49-F238E27FC236}">
              <a16:creationId xmlns:a16="http://schemas.microsoft.com/office/drawing/2014/main" id="{8C21834C-C62C-4309-995A-06F2AB8CA2B8}"/>
            </a:ext>
          </a:extLst>
        </xdr:cNvPr>
        <xdr:cNvSpPr/>
      </xdr:nvSpPr>
      <xdr:spPr>
        <a:xfrm>
          <a:off x="1962150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864</xdr:row>
      <xdr:rowOff>0</xdr:rowOff>
    </xdr:from>
    <xdr:to>
      <xdr:col>11</xdr:col>
      <xdr:colOff>83820</xdr:colOff>
      <xdr:row>864</xdr:row>
      <xdr:rowOff>114300</xdr:rowOff>
    </xdr:to>
    <xdr:sp macro="" textlink="">
      <xdr:nvSpPr>
        <xdr:cNvPr id="6639" name="Arrow: Down 6638">
          <a:extLst>
            <a:ext uri="{FF2B5EF4-FFF2-40B4-BE49-F238E27FC236}">
              <a16:creationId xmlns:a16="http://schemas.microsoft.com/office/drawing/2014/main" id="{374BC7FC-0719-469A-B7DB-72932B57F980}"/>
            </a:ext>
          </a:extLst>
        </xdr:cNvPr>
        <xdr:cNvSpPr/>
      </xdr:nvSpPr>
      <xdr:spPr>
        <a:xfrm>
          <a:off x="3757613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864</xdr:row>
      <xdr:rowOff>0</xdr:rowOff>
    </xdr:from>
    <xdr:to>
      <xdr:col>45</xdr:col>
      <xdr:colOff>83820</xdr:colOff>
      <xdr:row>864</xdr:row>
      <xdr:rowOff>114300</xdr:rowOff>
    </xdr:to>
    <xdr:sp macro="" textlink="">
      <xdr:nvSpPr>
        <xdr:cNvPr id="6640" name="Arrow: Down 6639">
          <a:extLst>
            <a:ext uri="{FF2B5EF4-FFF2-40B4-BE49-F238E27FC236}">
              <a16:creationId xmlns:a16="http://schemas.microsoft.com/office/drawing/2014/main" id="{236C9CAA-489D-4538-ACF7-1D3F5C61E0AF}"/>
            </a:ext>
          </a:extLst>
        </xdr:cNvPr>
        <xdr:cNvSpPr/>
      </xdr:nvSpPr>
      <xdr:spPr>
        <a:xfrm rot="10800000">
          <a:off x="13644563" y="1604152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864</xdr:row>
      <xdr:rowOff>0</xdr:rowOff>
    </xdr:from>
    <xdr:to>
      <xdr:col>71</xdr:col>
      <xdr:colOff>83820</xdr:colOff>
      <xdr:row>864</xdr:row>
      <xdr:rowOff>114300</xdr:rowOff>
    </xdr:to>
    <xdr:sp macro="" textlink="">
      <xdr:nvSpPr>
        <xdr:cNvPr id="6641" name="Arrow: Down 6640">
          <a:extLst>
            <a:ext uri="{FF2B5EF4-FFF2-40B4-BE49-F238E27FC236}">
              <a16:creationId xmlns:a16="http://schemas.microsoft.com/office/drawing/2014/main" id="{AF1FF8DE-5146-4313-8469-BEB9BA4A865A}"/>
            </a:ext>
          </a:extLst>
        </xdr:cNvPr>
        <xdr:cNvSpPr/>
      </xdr:nvSpPr>
      <xdr:spPr>
        <a:xfrm rot="10800000">
          <a:off x="22412325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864</xdr:row>
      <xdr:rowOff>0</xdr:rowOff>
    </xdr:from>
    <xdr:to>
      <xdr:col>39</xdr:col>
      <xdr:colOff>83820</xdr:colOff>
      <xdr:row>864</xdr:row>
      <xdr:rowOff>114300</xdr:rowOff>
    </xdr:to>
    <xdr:sp macro="" textlink="">
      <xdr:nvSpPr>
        <xdr:cNvPr id="6642" name="Arrow: Down 6641">
          <a:extLst>
            <a:ext uri="{FF2B5EF4-FFF2-40B4-BE49-F238E27FC236}">
              <a16:creationId xmlns:a16="http://schemas.microsoft.com/office/drawing/2014/main" id="{AC122A85-7A0E-4FAB-B63B-3D3F737206C0}"/>
            </a:ext>
          </a:extLst>
        </xdr:cNvPr>
        <xdr:cNvSpPr/>
      </xdr:nvSpPr>
      <xdr:spPr>
        <a:xfrm>
          <a:off x="11753850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864</xdr:row>
      <xdr:rowOff>0</xdr:rowOff>
    </xdr:from>
    <xdr:to>
      <xdr:col>60</xdr:col>
      <xdr:colOff>82233</xdr:colOff>
      <xdr:row>864</xdr:row>
      <xdr:rowOff>114300</xdr:rowOff>
    </xdr:to>
    <xdr:sp macro="" textlink="">
      <xdr:nvSpPr>
        <xdr:cNvPr id="6643" name="Arrow: Down 6642">
          <a:extLst>
            <a:ext uri="{FF2B5EF4-FFF2-40B4-BE49-F238E27FC236}">
              <a16:creationId xmlns:a16="http://schemas.microsoft.com/office/drawing/2014/main" id="{11D5876D-EC27-4824-8AF3-02F50645739B}"/>
            </a:ext>
          </a:extLst>
        </xdr:cNvPr>
        <xdr:cNvSpPr/>
      </xdr:nvSpPr>
      <xdr:spPr>
        <a:xfrm rot="10800000">
          <a:off x="19483388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865</xdr:row>
      <xdr:rowOff>0</xdr:rowOff>
    </xdr:from>
    <xdr:to>
      <xdr:col>64</xdr:col>
      <xdr:colOff>83820</xdr:colOff>
      <xdr:row>865</xdr:row>
      <xdr:rowOff>114300</xdr:rowOff>
    </xdr:to>
    <xdr:sp macro="" textlink="">
      <xdr:nvSpPr>
        <xdr:cNvPr id="6644" name="Arrow: Down 6643">
          <a:extLst>
            <a:ext uri="{FF2B5EF4-FFF2-40B4-BE49-F238E27FC236}">
              <a16:creationId xmlns:a16="http://schemas.microsoft.com/office/drawing/2014/main" id="{5E833829-002B-4ABA-855A-3AA9D307EB19}"/>
            </a:ext>
          </a:extLst>
        </xdr:cNvPr>
        <xdr:cNvSpPr/>
      </xdr:nvSpPr>
      <xdr:spPr>
        <a:xfrm rot="10800000">
          <a:off x="19754850" y="1606010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865</xdr:row>
      <xdr:rowOff>0</xdr:rowOff>
    </xdr:from>
    <xdr:to>
      <xdr:col>24</xdr:col>
      <xdr:colOff>83820</xdr:colOff>
      <xdr:row>865</xdr:row>
      <xdr:rowOff>114300</xdr:rowOff>
    </xdr:to>
    <xdr:sp macro="" textlink="">
      <xdr:nvSpPr>
        <xdr:cNvPr id="6645" name="Arrow: Down 6644">
          <a:extLst>
            <a:ext uri="{FF2B5EF4-FFF2-40B4-BE49-F238E27FC236}">
              <a16:creationId xmlns:a16="http://schemas.microsoft.com/office/drawing/2014/main" id="{70472204-20B9-45EC-9CCC-EC42DDD0A909}"/>
            </a:ext>
          </a:extLst>
        </xdr:cNvPr>
        <xdr:cNvSpPr/>
      </xdr:nvSpPr>
      <xdr:spPr>
        <a:xfrm>
          <a:off x="8486775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865</xdr:row>
      <xdr:rowOff>0</xdr:rowOff>
    </xdr:from>
    <xdr:to>
      <xdr:col>5</xdr:col>
      <xdr:colOff>83820</xdr:colOff>
      <xdr:row>865</xdr:row>
      <xdr:rowOff>114300</xdr:rowOff>
    </xdr:to>
    <xdr:sp macro="" textlink="">
      <xdr:nvSpPr>
        <xdr:cNvPr id="6646" name="Arrow: Down 6645">
          <a:extLst>
            <a:ext uri="{FF2B5EF4-FFF2-40B4-BE49-F238E27FC236}">
              <a16:creationId xmlns:a16="http://schemas.microsoft.com/office/drawing/2014/main" id="{54CD8A46-EBA6-411E-9049-636C84F255EA}"/>
            </a:ext>
          </a:extLst>
        </xdr:cNvPr>
        <xdr:cNvSpPr/>
      </xdr:nvSpPr>
      <xdr:spPr>
        <a:xfrm>
          <a:off x="1962150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865</xdr:row>
      <xdr:rowOff>0</xdr:rowOff>
    </xdr:from>
    <xdr:to>
      <xdr:col>11</xdr:col>
      <xdr:colOff>83820</xdr:colOff>
      <xdr:row>865</xdr:row>
      <xdr:rowOff>114300</xdr:rowOff>
    </xdr:to>
    <xdr:sp macro="" textlink="">
      <xdr:nvSpPr>
        <xdr:cNvPr id="6647" name="Arrow: Down 6646">
          <a:extLst>
            <a:ext uri="{FF2B5EF4-FFF2-40B4-BE49-F238E27FC236}">
              <a16:creationId xmlns:a16="http://schemas.microsoft.com/office/drawing/2014/main" id="{FDF78900-18FC-4074-83E9-C5DBC979FF0C}"/>
            </a:ext>
          </a:extLst>
        </xdr:cNvPr>
        <xdr:cNvSpPr/>
      </xdr:nvSpPr>
      <xdr:spPr>
        <a:xfrm>
          <a:off x="3757613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865</xdr:row>
      <xdr:rowOff>0</xdr:rowOff>
    </xdr:from>
    <xdr:to>
      <xdr:col>45</xdr:col>
      <xdr:colOff>83820</xdr:colOff>
      <xdr:row>865</xdr:row>
      <xdr:rowOff>114300</xdr:rowOff>
    </xdr:to>
    <xdr:sp macro="" textlink="">
      <xdr:nvSpPr>
        <xdr:cNvPr id="6648" name="Arrow: Down 6647">
          <a:extLst>
            <a:ext uri="{FF2B5EF4-FFF2-40B4-BE49-F238E27FC236}">
              <a16:creationId xmlns:a16="http://schemas.microsoft.com/office/drawing/2014/main" id="{D1CBD68D-E398-4839-911B-3BBDA99A505E}"/>
            </a:ext>
          </a:extLst>
        </xdr:cNvPr>
        <xdr:cNvSpPr/>
      </xdr:nvSpPr>
      <xdr:spPr>
        <a:xfrm rot="10800000">
          <a:off x="13644563" y="1606010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865</xdr:row>
      <xdr:rowOff>0</xdr:rowOff>
    </xdr:from>
    <xdr:to>
      <xdr:col>71</xdr:col>
      <xdr:colOff>83820</xdr:colOff>
      <xdr:row>865</xdr:row>
      <xdr:rowOff>114300</xdr:rowOff>
    </xdr:to>
    <xdr:sp macro="" textlink="">
      <xdr:nvSpPr>
        <xdr:cNvPr id="6649" name="Arrow: Down 6648">
          <a:extLst>
            <a:ext uri="{FF2B5EF4-FFF2-40B4-BE49-F238E27FC236}">
              <a16:creationId xmlns:a16="http://schemas.microsoft.com/office/drawing/2014/main" id="{F030DD43-806A-4151-BCEE-958001053BA2}"/>
            </a:ext>
          </a:extLst>
        </xdr:cNvPr>
        <xdr:cNvSpPr/>
      </xdr:nvSpPr>
      <xdr:spPr>
        <a:xfrm rot="10800000">
          <a:off x="22412325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865</xdr:row>
      <xdr:rowOff>0</xdr:rowOff>
    </xdr:from>
    <xdr:to>
      <xdr:col>39</xdr:col>
      <xdr:colOff>83820</xdr:colOff>
      <xdr:row>865</xdr:row>
      <xdr:rowOff>114300</xdr:rowOff>
    </xdr:to>
    <xdr:sp macro="" textlink="">
      <xdr:nvSpPr>
        <xdr:cNvPr id="6650" name="Arrow: Down 6649">
          <a:extLst>
            <a:ext uri="{FF2B5EF4-FFF2-40B4-BE49-F238E27FC236}">
              <a16:creationId xmlns:a16="http://schemas.microsoft.com/office/drawing/2014/main" id="{5E87210C-F7B3-4AF6-9BE6-34F38AF2EA62}"/>
            </a:ext>
          </a:extLst>
        </xdr:cNvPr>
        <xdr:cNvSpPr/>
      </xdr:nvSpPr>
      <xdr:spPr>
        <a:xfrm>
          <a:off x="11753850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863</xdr:row>
      <xdr:rowOff>0</xdr:rowOff>
    </xdr:from>
    <xdr:to>
      <xdr:col>71</xdr:col>
      <xdr:colOff>82233</xdr:colOff>
      <xdr:row>863</xdr:row>
      <xdr:rowOff>114300</xdr:rowOff>
    </xdr:to>
    <xdr:sp macro="" textlink="">
      <xdr:nvSpPr>
        <xdr:cNvPr id="6653" name="Arrow: Down 6652">
          <a:extLst>
            <a:ext uri="{FF2B5EF4-FFF2-40B4-BE49-F238E27FC236}">
              <a16:creationId xmlns:a16="http://schemas.microsoft.com/office/drawing/2014/main" id="{8D2F1AD0-3D20-4B69-9072-C0407673D3C2}"/>
            </a:ext>
          </a:extLst>
        </xdr:cNvPr>
        <xdr:cNvSpPr/>
      </xdr:nvSpPr>
      <xdr:spPr>
        <a:xfrm>
          <a:off x="2241232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865</xdr:row>
      <xdr:rowOff>0</xdr:rowOff>
    </xdr:from>
    <xdr:to>
      <xdr:col>60</xdr:col>
      <xdr:colOff>82233</xdr:colOff>
      <xdr:row>865</xdr:row>
      <xdr:rowOff>114300</xdr:rowOff>
    </xdr:to>
    <xdr:sp macro="" textlink="">
      <xdr:nvSpPr>
        <xdr:cNvPr id="6654" name="Arrow: Down 6653">
          <a:extLst>
            <a:ext uri="{FF2B5EF4-FFF2-40B4-BE49-F238E27FC236}">
              <a16:creationId xmlns:a16="http://schemas.microsoft.com/office/drawing/2014/main" id="{50E3264C-DFC2-45C7-A802-72ECED175D18}"/>
            </a:ext>
          </a:extLst>
        </xdr:cNvPr>
        <xdr:cNvSpPr/>
      </xdr:nvSpPr>
      <xdr:spPr>
        <a:xfrm>
          <a:off x="19483388" y="160786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859</xdr:row>
      <xdr:rowOff>0</xdr:rowOff>
    </xdr:from>
    <xdr:to>
      <xdr:col>60</xdr:col>
      <xdr:colOff>82233</xdr:colOff>
      <xdr:row>859</xdr:row>
      <xdr:rowOff>114300</xdr:rowOff>
    </xdr:to>
    <xdr:sp macro="" textlink="">
      <xdr:nvSpPr>
        <xdr:cNvPr id="6655" name="Arrow: Down 6654">
          <a:extLst>
            <a:ext uri="{FF2B5EF4-FFF2-40B4-BE49-F238E27FC236}">
              <a16:creationId xmlns:a16="http://schemas.microsoft.com/office/drawing/2014/main" id="{357A3162-CCD3-4D88-9CFC-60E0C4F8BD97}"/>
            </a:ext>
          </a:extLst>
        </xdr:cNvPr>
        <xdr:cNvSpPr/>
      </xdr:nvSpPr>
      <xdr:spPr>
        <a:xfrm>
          <a:off x="19483388" y="159672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861</xdr:row>
      <xdr:rowOff>0</xdr:rowOff>
    </xdr:from>
    <xdr:to>
      <xdr:col>60</xdr:col>
      <xdr:colOff>82233</xdr:colOff>
      <xdr:row>861</xdr:row>
      <xdr:rowOff>114300</xdr:rowOff>
    </xdr:to>
    <xdr:sp macro="" textlink="">
      <xdr:nvSpPr>
        <xdr:cNvPr id="6656" name="Arrow: Down 6655">
          <a:extLst>
            <a:ext uri="{FF2B5EF4-FFF2-40B4-BE49-F238E27FC236}">
              <a16:creationId xmlns:a16="http://schemas.microsoft.com/office/drawing/2014/main" id="{9206ACAB-9A1A-427B-8594-4FB80B03716F}"/>
            </a:ext>
          </a:extLst>
        </xdr:cNvPr>
        <xdr:cNvSpPr/>
      </xdr:nvSpPr>
      <xdr:spPr>
        <a:xfrm>
          <a:off x="19483388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863</xdr:row>
      <xdr:rowOff>0</xdr:rowOff>
    </xdr:from>
    <xdr:to>
      <xdr:col>60</xdr:col>
      <xdr:colOff>82233</xdr:colOff>
      <xdr:row>863</xdr:row>
      <xdr:rowOff>114300</xdr:rowOff>
    </xdr:to>
    <xdr:sp macro="" textlink="">
      <xdr:nvSpPr>
        <xdr:cNvPr id="6657" name="Arrow: Down 6656">
          <a:extLst>
            <a:ext uri="{FF2B5EF4-FFF2-40B4-BE49-F238E27FC236}">
              <a16:creationId xmlns:a16="http://schemas.microsoft.com/office/drawing/2014/main" id="{AB924EAD-BCBF-4A0B-B374-6C2E22F81627}"/>
            </a:ext>
          </a:extLst>
        </xdr:cNvPr>
        <xdr:cNvSpPr/>
      </xdr:nvSpPr>
      <xdr:spPr>
        <a:xfrm>
          <a:off x="19483388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859</xdr:row>
      <xdr:rowOff>0</xdr:rowOff>
    </xdr:from>
    <xdr:to>
      <xdr:col>39</xdr:col>
      <xdr:colOff>82233</xdr:colOff>
      <xdr:row>859</xdr:row>
      <xdr:rowOff>114300</xdr:rowOff>
    </xdr:to>
    <xdr:sp macro="" textlink="">
      <xdr:nvSpPr>
        <xdr:cNvPr id="6659" name="Arrow: Down 6658">
          <a:extLst>
            <a:ext uri="{FF2B5EF4-FFF2-40B4-BE49-F238E27FC236}">
              <a16:creationId xmlns:a16="http://schemas.microsoft.com/office/drawing/2014/main" id="{A6E5865F-DA19-479D-BC30-9F60DE8C6E40}"/>
            </a:ext>
          </a:extLst>
        </xdr:cNvPr>
        <xdr:cNvSpPr/>
      </xdr:nvSpPr>
      <xdr:spPr>
        <a:xfrm rot="10800000">
          <a:off x="11753850" y="1596723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862</xdr:row>
      <xdr:rowOff>0</xdr:rowOff>
    </xdr:from>
    <xdr:to>
      <xdr:col>39</xdr:col>
      <xdr:colOff>82233</xdr:colOff>
      <xdr:row>862</xdr:row>
      <xdr:rowOff>114300</xdr:rowOff>
    </xdr:to>
    <xdr:sp macro="" textlink="">
      <xdr:nvSpPr>
        <xdr:cNvPr id="6661" name="Arrow: Down 6660">
          <a:extLst>
            <a:ext uri="{FF2B5EF4-FFF2-40B4-BE49-F238E27FC236}">
              <a16:creationId xmlns:a16="http://schemas.microsoft.com/office/drawing/2014/main" id="{F177EF58-82C4-4E9C-8B07-58BC2615FB10}"/>
            </a:ext>
          </a:extLst>
        </xdr:cNvPr>
        <xdr:cNvSpPr/>
      </xdr:nvSpPr>
      <xdr:spPr>
        <a:xfrm rot="10800000">
          <a:off x="11753850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860</xdr:row>
      <xdr:rowOff>0</xdr:rowOff>
    </xdr:from>
    <xdr:to>
      <xdr:col>39</xdr:col>
      <xdr:colOff>82233</xdr:colOff>
      <xdr:row>860</xdr:row>
      <xdr:rowOff>114300</xdr:rowOff>
    </xdr:to>
    <xdr:sp macro="" textlink="">
      <xdr:nvSpPr>
        <xdr:cNvPr id="6663" name="Arrow: Down 6662">
          <a:extLst>
            <a:ext uri="{FF2B5EF4-FFF2-40B4-BE49-F238E27FC236}">
              <a16:creationId xmlns:a16="http://schemas.microsoft.com/office/drawing/2014/main" id="{EFC5401A-F5C6-4147-941E-7FA6878D0D53}"/>
            </a:ext>
          </a:extLst>
        </xdr:cNvPr>
        <xdr:cNvSpPr/>
      </xdr:nvSpPr>
      <xdr:spPr>
        <a:xfrm rot="10800000">
          <a:off x="11753850" y="1598580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861</xdr:row>
      <xdr:rowOff>0</xdr:rowOff>
    </xdr:from>
    <xdr:to>
      <xdr:col>39</xdr:col>
      <xdr:colOff>82233</xdr:colOff>
      <xdr:row>861</xdr:row>
      <xdr:rowOff>114300</xdr:rowOff>
    </xdr:to>
    <xdr:sp macro="" textlink="">
      <xdr:nvSpPr>
        <xdr:cNvPr id="6665" name="Arrow: Down 6664">
          <a:extLst>
            <a:ext uri="{FF2B5EF4-FFF2-40B4-BE49-F238E27FC236}">
              <a16:creationId xmlns:a16="http://schemas.microsoft.com/office/drawing/2014/main" id="{35FFB62E-E754-43BD-B71E-B697C8E1618B}"/>
            </a:ext>
          </a:extLst>
        </xdr:cNvPr>
        <xdr:cNvSpPr/>
      </xdr:nvSpPr>
      <xdr:spPr>
        <a:xfrm rot="10800000">
          <a:off x="11753850" y="1600438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859</xdr:row>
      <xdr:rowOff>0</xdr:rowOff>
    </xdr:from>
    <xdr:to>
      <xdr:col>45</xdr:col>
      <xdr:colOff>80646</xdr:colOff>
      <xdr:row>859</xdr:row>
      <xdr:rowOff>114300</xdr:rowOff>
    </xdr:to>
    <xdr:sp macro="" textlink="">
      <xdr:nvSpPr>
        <xdr:cNvPr id="6667" name="Arrow: Down 6666">
          <a:extLst>
            <a:ext uri="{FF2B5EF4-FFF2-40B4-BE49-F238E27FC236}">
              <a16:creationId xmlns:a16="http://schemas.microsoft.com/office/drawing/2014/main" id="{6BE2C6D2-1597-4969-B48E-7F34D5DB4CD1}"/>
            </a:ext>
          </a:extLst>
        </xdr:cNvPr>
        <xdr:cNvSpPr/>
      </xdr:nvSpPr>
      <xdr:spPr>
        <a:xfrm rot="10800000">
          <a:off x="1364456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862</xdr:row>
      <xdr:rowOff>0</xdr:rowOff>
    </xdr:from>
    <xdr:to>
      <xdr:col>45</xdr:col>
      <xdr:colOff>80646</xdr:colOff>
      <xdr:row>862</xdr:row>
      <xdr:rowOff>114300</xdr:rowOff>
    </xdr:to>
    <xdr:sp macro="" textlink="">
      <xdr:nvSpPr>
        <xdr:cNvPr id="6668" name="Arrow: Down 6667">
          <a:extLst>
            <a:ext uri="{FF2B5EF4-FFF2-40B4-BE49-F238E27FC236}">
              <a16:creationId xmlns:a16="http://schemas.microsoft.com/office/drawing/2014/main" id="{4D566F27-802E-4DF2-9F80-9F3661F54EC2}"/>
            </a:ext>
          </a:extLst>
        </xdr:cNvPr>
        <xdr:cNvSpPr/>
      </xdr:nvSpPr>
      <xdr:spPr>
        <a:xfrm rot="10800000">
          <a:off x="13644563" y="160229550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861</xdr:row>
      <xdr:rowOff>0</xdr:rowOff>
    </xdr:from>
    <xdr:to>
      <xdr:col>45</xdr:col>
      <xdr:colOff>80646</xdr:colOff>
      <xdr:row>861</xdr:row>
      <xdr:rowOff>114300</xdr:rowOff>
    </xdr:to>
    <xdr:sp macro="" textlink="">
      <xdr:nvSpPr>
        <xdr:cNvPr id="6669" name="Arrow: Down 6668">
          <a:extLst>
            <a:ext uri="{FF2B5EF4-FFF2-40B4-BE49-F238E27FC236}">
              <a16:creationId xmlns:a16="http://schemas.microsoft.com/office/drawing/2014/main" id="{B0B7650D-F5F9-4189-8E74-63758D3B032E}"/>
            </a:ext>
          </a:extLst>
        </xdr:cNvPr>
        <xdr:cNvSpPr/>
      </xdr:nvSpPr>
      <xdr:spPr>
        <a:xfrm rot="10800000">
          <a:off x="1364456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860</xdr:row>
      <xdr:rowOff>0</xdr:rowOff>
    </xdr:from>
    <xdr:to>
      <xdr:col>45</xdr:col>
      <xdr:colOff>80646</xdr:colOff>
      <xdr:row>860</xdr:row>
      <xdr:rowOff>114300</xdr:rowOff>
    </xdr:to>
    <xdr:sp macro="" textlink="">
      <xdr:nvSpPr>
        <xdr:cNvPr id="6670" name="Arrow: Down 6669">
          <a:extLst>
            <a:ext uri="{FF2B5EF4-FFF2-40B4-BE49-F238E27FC236}">
              <a16:creationId xmlns:a16="http://schemas.microsoft.com/office/drawing/2014/main" id="{9643A2B8-5B85-41AC-ADE6-B813B8D56E54}"/>
            </a:ext>
          </a:extLst>
        </xdr:cNvPr>
        <xdr:cNvSpPr/>
      </xdr:nvSpPr>
      <xdr:spPr>
        <a:xfrm rot="10800000">
          <a:off x="1364456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863</xdr:row>
      <xdr:rowOff>0</xdr:rowOff>
    </xdr:from>
    <xdr:to>
      <xdr:col>5</xdr:col>
      <xdr:colOff>80646</xdr:colOff>
      <xdr:row>863</xdr:row>
      <xdr:rowOff>114300</xdr:rowOff>
    </xdr:to>
    <xdr:sp macro="" textlink="">
      <xdr:nvSpPr>
        <xdr:cNvPr id="6672" name="Arrow: Down 6671">
          <a:extLst>
            <a:ext uri="{FF2B5EF4-FFF2-40B4-BE49-F238E27FC236}">
              <a16:creationId xmlns:a16="http://schemas.microsoft.com/office/drawing/2014/main" id="{E33E41A8-2CFE-4DB6-958F-D4763DACA70C}"/>
            </a:ext>
          </a:extLst>
        </xdr:cNvPr>
        <xdr:cNvSpPr/>
      </xdr:nvSpPr>
      <xdr:spPr>
        <a:xfrm rot="10800000">
          <a:off x="1962150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861</xdr:row>
      <xdr:rowOff>0</xdr:rowOff>
    </xdr:from>
    <xdr:to>
      <xdr:col>5</xdr:col>
      <xdr:colOff>80646</xdr:colOff>
      <xdr:row>861</xdr:row>
      <xdr:rowOff>114300</xdr:rowOff>
    </xdr:to>
    <xdr:sp macro="" textlink="">
      <xdr:nvSpPr>
        <xdr:cNvPr id="6673" name="Arrow: Down 6672">
          <a:extLst>
            <a:ext uri="{FF2B5EF4-FFF2-40B4-BE49-F238E27FC236}">
              <a16:creationId xmlns:a16="http://schemas.microsoft.com/office/drawing/2014/main" id="{A685CAF0-81B3-498F-992D-ABCEBC3DA83E}"/>
            </a:ext>
          </a:extLst>
        </xdr:cNvPr>
        <xdr:cNvSpPr/>
      </xdr:nvSpPr>
      <xdr:spPr>
        <a:xfrm rot="10800000">
          <a:off x="1962150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860</xdr:row>
      <xdr:rowOff>0</xdr:rowOff>
    </xdr:from>
    <xdr:to>
      <xdr:col>5</xdr:col>
      <xdr:colOff>80646</xdr:colOff>
      <xdr:row>860</xdr:row>
      <xdr:rowOff>114300</xdr:rowOff>
    </xdr:to>
    <xdr:sp macro="" textlink="">
      <xdr:nvSpPr>
        <xdr:cNvPr id="6675" name="Arrow: Down 6674">
          <a:extLst>
            <a:ext uri="{FF2B5EF4-FFF2-40B4-BE49-F238E27FC236}">
              <a16:creationId xmlns:a16="http://schemas.microsoft.com/office/drawing/2014/main" id="{28CF0EB0-0B94-4076-9CC0-75FE364A33D1}"/>
            </a:ext>
          </a:extLst>
        </xdr:cNvPr>
        <xdr:cNvSpPr/>
      </xdr:nvSpPr>
      <xdr:spPr>
        <a:xfrm rot="10800000">
          <a:off x="1962150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859</xdr:row>
      <xdr:rowOff>0</xdr:rowOff>
    </xdr:from>
    <xdr:to>
      <xdr:col>5</xdr:col>
      <xdr:colOff>80646</xdr:colOff>
      <xdr:row>859</xdr:row>
      <xdr:rowOff>114300</xdr:rowOff>
    </xdr:to>
    <xdr:sp macro="" textlink="">
      <xdr:nvSpPr>
        <xdr:cNvPr id="6677" name="Arrow: Down 6676">
          <a:extLst>
            <a:ext uri="{FF2B5EF4-FFF2-40B4-BE49-F238E27FC236}">
              <a16:creationId xmlns:a16="http://schemas.microsoft.com/office/drawing/2014/main" id="{62B3D9EF-1FA5-4FF4-A8E1-2877A4D9A75E}"/>
            </a:ext>
          </a:extLst>
        </xdr:cNvPr>
        <xdr:cNvSpPr/>
      </xdr:nvSpPr>
      <xdr:spPr>
        <a:xfrm rot="10800000">
          <a:off x="1962150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863</xdr:row>
      <xdr:rowOff>0</xdr:rowOff>
    </xdr:from>
    <xdr:to>
      <xdr:col>11</xdr:col>
      <xdr:colOff>80646</xdr:colOff>
      <xdr:row>863</xdr:row>
      <xdr:rowOff>114300</xdr:rowOff>
    </xdr:to>
    <xdr:sp macro="" textlink="">
      <xdr:nvSpPr>
        <xdr:cNvPr id="6679" name="Arrow: Down 6678">
          <a:extLst>
            <a:ext uri="{FF2B5EF4-FFF2-40B4-BE49-F238E27FC236}">
              <a16:creationId xmlns:a16="http://schemas.microsoft.com/office/drawing/2014/main" id="{D55F2558-00CF-4F09-B979-0F602D01B093}"/>
            </a:ext>
          </a:extLst>
        </xdr:cNvPr>
        <xdr:cNvSpPr/>
      </xdr:nvSpPr>
      <xdr:spPr>
        <a:xfrm rot="10800000">
          <a:off x="3757613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861</xdr:row>
      <xdr:rowOff>0</xdr:rowOff>
    </xdr:from>
    <xdr:to>
      <xdr:col>11</xdr:col>
      <xdr:colOff>80646</xdr:colOff>
      <xdr:row>861</xdr:row>
      <xdr:rowOff>114300</xdr:rowOff>
    </xdr:to>
    <xdr:sp macro="" textlink="">
      <xdr:nvSpPr>
        <xdr:cNvPr id="6681" name="Arrow: Down 6680">
          <a:extLst>
            <a:ext uri="{FF2B5EF4-FFF2-40B4-BE49-F238E27FC236}">
              <a16:creationId xmlns:a16="http://schemas.microsoft.com/office/drawing/2014/main" id="{C9614F1E-F2FE-4829-8129-F918A0611996}"/>
            </a:ext>
          </a:extLst>
        </xdr:cNvPr>
        <xdr:cNvSpPr/>
      </xdr:nvSpPr>
      <xdr:spPr>
        <a:xfrm rot="10800000">
          <a:off x="375761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860</xdr:row>
      <xdr:rowOff>0</xdr:rowOff>
    </xdr:from>
    <xdr:to>
      <xdr:col>11</xdr:col>
      <xdr:colOff>80646</xdr:colOff>
      <xdr:row>860</xdr:row>
      <xdr:rowOff>114300</xdr:rowOff>
    </xdr:to>
    <xdr:sp macro="" textlink="">
      <xdr:nvSpPr>
        <xdr:cNvPr id="6682" name="Arrow: Down 6681">
          <a:extLst>
            <a:ext uri="{FF2B5EF4-FFF2-40B4-BE49-F238E27FC236}">
              <a16:creationId xmlns:a16="http://schemas.microsoft.com/office/drawing/2014/main" id="{0D8DACAE-D178-4375-82A5-B65A58C52243}"/>
            </a:ext>
          </a:extLst>
        </xdr:cNvPr>
        <xdr:cNvSpPr/>
      </xdr:nvSpPr>
      <xdr:spPr>
        <a:xfrm rot="10800000">
          <a:off x="375761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859</xdr:row>
      <xdr:rowOff>0</xdr:rowOff>
    </xdr:from>
    <xdr:to>
      <xdr:col>11</xdr:col>
      <xdr:colOff>80646</xdr:colOff>
      <xdr:row>859</xdr:row>
      <xdr:rowOff>114300</xdr:rowOff>
    </xdr:to>
    <xdr:sp macro="" textlink="">
      <xdr:nvSpPr>
        <xdr:cNvPr id="6683" name="Arrow: Down 6682">
          <a:extLst>
            <a:ext uri="{FF2B5EF4-FFF2-40B4-BE49-F238E27FC236}">
              <a16:creationId xmlns:a16="http://schemas.microsoft.com/office/drawing/2014/main" id="{3AF149C9-47C9-499F-84AB-4CD676D1DD83}"/>
            </a:ext>
          </a:extLst>
        </xdr:cNvPr>
        <xdr:cNvSpPr/>
      </xdr:nvSpPr>
      <xdr:spPr>
        <a:xfrm rot="10800000">
          <a:off x="375761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863</xdr:row>
      <xdr:rowOff>0</xdr:rowOff>
    </xdr:from>
    <xdr:to>
      <xdr:col>24</xdr:col>
      <xdr:colOff>80646</xdr:colOff>
      <xdr:row>863</xdr:row>
      <xdr:rowOff>114300</xdr:rowOff>
    </xdr:to>
    <xdr:sp macro="" textlink="">
      <xdr:nvSpPr>
        <xdr:cNvPr id="6684" name="Arrow: Down 6683">
          <a:extLst>
            <a:ext uri="{FF2B5EF4-FFF2-40B4-BE49-F238E27FC236}">
              <a16:creationId xmlns:a16="http://schemas.microsoft.com/office/drawing/2014/main" id="{B3FB0453-7206-451C-B5AB-881E3FE06382}"/>
            </a:ext>
          </a:extLst>
        </xdr:cNvPr>
        <xdr:cNvSpPr/>
      </xdr:nvSpPr>
      <xdr:spPr>
        <a:xfrm rot="10800000">
          <a:off x="8486775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861</xdr:row>
      <xdr:rowOff>0</xdr:rowOff>
    </xdr:from>
    <xdr:to>
      <xdr:col>24</xdr:col>
      <xdr:colOff>80646</xdr:colOff>
      <xdr:row>861</xdr:row>
      <xdr:rowOff>114300</xdr:rowOff>
    </xdr:to>
    <xdr:sp macro="" textlink="">
      <xdr:nvSpPr>
        <xdr:cNvPr id="6686" name="Arrow: Down 6685">
          <a:extLst>
            <a:ext uri="{FF2B5EF4-FFF2-40B4-BE49-F238E27FC236}">
              <a16:creationId xmlns:a16="http://schemas.microsoft.com/office/drawing/2014/main" id="{94B2125F-83E8-4642-88CB-E653D221A265}"/>
            </a:ext>
          </a:extLst>
        </xdr:cNvPr>
        <xdr:cNvSpPr/>
      </xdr:nvSpPr>
      <xdr:spPr>
        <a:xfrm rot="10800000">
          <a:off x="8486775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860</xdr:row>
      <xdr:rowOff>0</xdr:rowOff>
    </xdr:from>
    <xdr:to>
      <xdr:col>24</xdr:col>
      <xdr:colOff>80646</xdr:colOff>
      <xdr:row>860</xdr:row>
      <xdr:rowOff>114300</xdr:rowOff>
    </xdr:to>
    <xdr:sp macro="" textlink="">
      <xdr:nvSpPr>
        <xdr:cNvPr id="6687" name="Arrow: Down 6686">
          <a:extLst>
            <a:ext uri="{FF2B5EF4-FFF2-40B4-BE49-F238E27FC236}">
              <a16:creationId xmlns:a16="http://schemas.microsoft.com/office/drawing/2014/main" id="{59BEBCF1-5BF8-4780-9555-4961370ACB08}"/>
            </a:ext>
          </a:extLst>
        </xdr:cNvPr>
        <xdr:cNvSpPr/>
      </xdr:nvSpPr>
      <xdr:spPr>
        <a:xfrm rot="10800000">
          <a:off x="8486775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859</xdr:row>
      <xdr:rowOff>0</xdr:rowOff>
    </xdr:from>
    <xdr:to>
      <xdr:col>24</xdr:col>
      <xdr:colOff>80646</xdr:colOff>
      <xdr:row>859</xdr:row>
      <xdr:rowOff>114300</xdr:rowOff>
    </xdr:to>
    <xdr:sp macro="" textlink="">
      <xdr:nvSpPr>
        <xdr:cNvPr id="6688" name="Arrow: Down 6687">
          <a:extLst>
            <a:ext uri="{FF2B5EF4-FFF2-40B4-BE49-F238E27FC236}">
              <a16:creationId xmlns:a16="http://schemas.microsoft.com/office/drawing/2014/main" id="{48B4BA48-5B87-4715-B205-7F255D4548C1}"/>
            </a:ext>
          </a:extLst>
        </xdr:cNvPr>
        <xdr:cNvSpPr/>
      </xdr:nvSpPr>
      <xdr:spPr>
        <a:xfrm rot="10800000">
          <a:off x="8486775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855</xdr:row>
      <xdr:rowOff>0</xdr:rowOff>
    </xdr:from>
    <xdr:to>
      <xdr:col>14</xdr:col>
      <xdr:colOff>83820</xdr:colOff>
      <xdr:row>855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8679CBC5-EBAE-48C6-9C09-9AE294B662DC}"/>
            </a:ext>
          </a:extLst>
        </xdr:cNvPr>
        <xdr:cNvSpPr/>
      </xdr:nvSpPr>
      <xdr:spPr>
        <a:xfrm>
          <a:off x="5505450" y="1300781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857</xdr:row>
      <xdr:rowOff>0</xdr:rowOff>
    </xdr:from>
    <xdr:to>
      <xdr:col>14</xdr:col>
      <xdr:colOff>83820</xdr:colOff>
      <xdr:row>857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D477A3FB-BFC2-4A96-823B-4FCC22430E96}"/>
            </a:ext>
          </a:extLst>
        </xdr:cNvPr>
        <xdr:cNvSpPr/>
      </xdr:nvSpPr>
      <xdr:spPr>
        <a:xfrm>
          <a:off x="5505450" y="1304496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859</xdr:row>
      <xdr:rowOff>0</xdr:rowOff>
    </xdr:from>
    <xdr:to>
      <xdr:col>14</xdr:col>
      <xdr:colOff>83820</xdr:colOff>
      <xdr:row>859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3D14B3F4-72CA-4849-8162-E8D264D35373}"/>
            </a:ext>
          </a:extLst>
        </xdr:cNvPr>
        <xdr:cNvSpPr/>
      </xdr:nvSpPr>
      <xdr:spPr>
        <a:xfrm>
          <a:off x="5505450" y="1308211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853</xdr:row>
      <xdr:rowOff>0</xdr:rowOff>
    </xdr:from>
    <xdr:to>
      <xdr:col>14</xdr:col>
      <xdr:colOff>82233</xdr:colOff>
      <xdr:row>853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501178A0-8584-41D7-8E3B-6C4083895A02}"/>
            </a:ext>
          </a:extLst>
        </xdr:cNvPr>
        <xdr:cNvSpPr/>
      </xdr:nvSpPr>
      <xdr:spPr>
        <a:xfrm rot="10800000">
          <a:off x="5505450" y="129892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858</xdr:row>
      <xdr:rowOff>0</xdr:rowOff>
    </xdr:from>
    <xdr:to>
      <xdr:col>14</xdr:col>
      <xdr:colOff>82233</xdr:colOff>
      <xdr:row>858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7DC99B6F-B796-40DB-8CB8-117E39DB0321}"/>
            </a:ext>
          </a:extLst>
        </xdr:cNvPr>
        <xdr:cNvSpPr/>
      </xdr:nvSpPr>
      <xdr:spPr>
        <a:xfrm rot="10800000">
          <a:off x="5505450" y="1308211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854</xdr:row>
      <xdr:rowOff>0</xdr:rowOff>
    </xdr:from>
    <xdr:to>
      <xdr:col>14</xdr:col>
      <xdr:colOff>82233</xdr:colOff>
      <xdr:row>854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6E72468-9C79-4DEB-ABF1-50B8F3A22394}"/>
            </a:ext>
          </a:extLst>
        </xdr:cNvPr>
        <xdr:cNvSpPr/>
      </xdr:nvSpPr>
      <xdr:spPr>
        <a:xfrm rot="10800000">
          <a:off x="5505450" y="1300781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856</xdr:row>
      <xdr:rowOff>0</xdr:rowOff>
    </xdr:from>
    <xdr:to>
      <xdr:col>14</xdr:col>
      <xdr:colOff>82233</xdr:colOff>
      <xdr:row>856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79FDAA00-E281-458A-B055-F05832FA2035}"/>
            </a:ext>
          </a:extLst>
        </xdr:cNvPr>
        <xdr:cNvSpPr/>
      </xdr:nvSpPr>
      <xdr:spPr>
        <a:xfrm rot="10800000">
          <a:off x="5505450" y="1304496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861</xdr:row>
      <xdr:rowOff>0</xdr:rowOff>
    </xdr:from>
    <xdr:to>
      <xdr:col>14</xdr:col>
      <xdr:colOff>83820</xdr:colOff>
      <xdr:row>861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A6927A85-F594-4BEB-B78B-42FA3AF952B7}"/>
            </a:ext>
          </a:extLst>
        </xdr:cNvPr>
        <xdr:cNvSpPr/>
      </xdr:nvSpPr>
      <xdr:spPr>
        <a:xfrm>
          <a:off x="5505450" y="1311925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863</xdr:row>
      <xdr:rowOff>0</xdr:rowOff>
    </xdr:from>
    <xdr:to>
      <xdr:col>14</xdr:col>
      <xdr:colOff>83820</xdr:colOff>
      <xdr:row>863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1149E88-3D3B-434F-8F7F-75F4891BB7A5}"/>
            </a:ext>
          </a:extLst>
        </xdr:cNvPr>
        <xdr:cNvSpPr/>
      </xdr:nvSpPr>
      <xdr:spPr>
        <a:xfrm>
          <a:off x="5505450" y="1315640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865</xdr:row>
      <xdr:rowOff>0</xdr:rowOff>
    </xdr:from>
    <xdr:to>
      <xdr:col>14</xdr:col>
      <xdr:colOff>83820</xdr:colOff>
      <xdr:row>865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644849DF-0273-4266-B1EC-1FC00159A9A0}"/>
            </a:ext>
          </a:extLst>
        </xdr:cNvPr>
        <xdr:cNvSpPr/>
      </xdr:nvSpPr>
      <xdr:spPr>
        <a:xfrm>
          <a:off x="5505450" y="131935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866</xdr:row>
      <xdr:rowOff>0</xdr:rowOff>
    </xdr:from>
    <xdr:to>
      <xdr:col>14</xdr:col>
      <xdr:colOff>83820</xdr:colOff>
      <xdr:row>866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33565EA-0AE0-49C4-8BD6-E711765A4668}"/>
            </a:ext>
          </a:extLst>
        </xdr:cNvPr>
        <xdr:cNvSpPr/>
      </xdr:nvSpPr>
      <xdr:spPr>
        <a:xfrm>
          <a:off x="5505450" y="132121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864</xdr:row>
      <xdr:rowOff>0</xdr:rowOff>
    </xdr:from>
    <xdr:to>
      <xdr:col>14</xdr:col>
      <xdr:colOff>80646</xdr:colOff>
      <xdr:row>864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72DC6088-8ACC-4CEE-A545-E4621D8BE325}"/>
            </a:ext>
          </a:extLst>
        </xdr:cNvPr>
        <xdr:cNvSpPr/>
      </xdr:nvSpPr>
      <xdr:spPr>
        <a:xfrm rot="10800000">
          <a:off x="5505450" y="1319355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862</xdr:row>
      <xdr:rowOff>0</xdr:rowOff>
    </xdr:from>
    <xdr:to>
      <xdr:col>14</xdr:col>
      <xdr:colOff>80646</xdr:colOff>
      <xdr:row>862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AF90619E-D539-4D78-8CCE-8B3B852B2FBA}"/>
            </a:ext>
          </a:extLst>
        </xdr:cNvPr>
        <xdr:cNvSpPr/>
      </xdr:nvSpPr>
      <xdr:spPr>
        <a:xfrm rot="10800000">
          <a:off x="5505450" y="13156406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860</xdr:row>
      <xdr:rowOff>0</xdr:rowOff>
    </xdr:from>
    <xdr:to>
      <xdr:col>14</xdr:col>
      <xdr:colOff>80646</xdr:colOff>
      <xdr:row>860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344B8390-8F87-4BDC-8D6D-400EE9DE5246}"/>
            </a:ext>
          </a:extLst>
        </xdr:cNvPr>
        <xdr:cNvSpPr/>
      </xdr:nvSpPr>
      <xdr:spPr>
        <a:xfrm rot="10800000">
          <a:off x="5505450" y="1311925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807</xdr:row>
      <xdr:rowOff>0</xdr:rowOff>
    </xdr:from>
    <xdr:to>
      <xdr:col>28</xdr:col>
      <xdr:colOff>83820</xdr:colOff>
      <xdr:row>807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625DA04B-04C0-4E98-A366-613AE8C3E580}"/>
            </a:ext>
          </a:extLst>
        </xdr:cNvPr>
        <xdr:cNvSpPr/>
      </xdr:nvSpPr>
      <xdr:spPr>
        <a:xfrm>
          <a:off x="11953875" y="1340548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812</xdr:row>
      <xdr:rowOff>0</xdr:rowOff>
    </xdr:from>
    <xdr:to>
      <xdr:col>28</xdr:col>
      <xdr:colOff>83820</xdr:colOff>
      <xdr:row>812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CBB8DBFF-6F78-441D-B6F0-41E2B545DE91}"/>
            </a:ext>
          </a:extLst>
        </xdr:cNvPr>
        <xdr:cNvSpPr/>
      </xdr:nvSpPr>
      <xdr:spPr>
        <a:xfrm>
          <a:off x="11953875" y="134983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813</xdr:row>
      <xdr:rowOff>0</xdr:rowOff>
    </xdr:from>
    <xdr:to>
      <xdr:col>28</xdr:col>
      <xdr:colOff>83820</xdr:colOff>
      <xdr:row>813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567A6B08-B708-4D56-A624-CDFE6759D89F}"/>
            </a:ext>
          </a:extLst>
        </xdr:cNvPr>
        <xdr:cNvSpPr/>
      </xdr:nvSpPr>
      <xdr:spPr>
        <a:xfrm>
          <a:off x="11953875" y="135169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808</xdr:row>
      <xdr:rowOff>0</xdr:rowOff>
    </xdr:from>
    <xdr:to>
      <xdr:col>28</xdr:col>
      <xdr:colOff>82233</xdr:colOff>
      <xdr:row>808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6AB4004B-BFAA-407D-89D8-C12476865602}"/>
            </a:ext>
          </a:extLst>
        </xdr:cNvPr>
        <xdr:cNvSpPr/>
      </xdr:nvSpPr>
      <xdr:spPr>
        <a:xfrm rot="10800000">
          <a:off x="11953875" y="134426325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811</xdr:row>
      <xdr:rowOff>0</xdr:rowOff>
    </xdr:from>
    <xdr:to>
      <xdr:col>28</xdr:col>
      <xdr:colOff>82233</xdr:colOff>
      <xdr:row>811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7FD9EE58-54DC-4E6F-B84C-80D14D2BAA39}"/>
            </a:ext>
          </a:extLst>
        </xdr:cNvPr>
        <xdr:cNvSpPr/>
      </xdr:nvSpPr>
      <xdr:spPr>
        <a:xfrm rot="10800000">
          <a:off x="11953875" y="134983538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809</xdr:row>
      <xdr:rowOff>0</xdr:rowOff>
    </xdr:from>
    <xdr:to>
      <xdr:col>28</xdr:col>
      <xdr:colOff>82233</xdr:colOff>
      <xdr:row>809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10C03CA5-F1BE-44B3-BAE7-472AEA83EAB4}"/>
            </a:ext>
          </a:extLst>
        </xdr:cNvPr>
        <xdr:cNvSpPr/>
      </xdr:nvSpPr>
      <xdr:spPr>
        <a:xfrm rot="10800000">
          <a:off x="11953875" y="134612063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810</xdr:row>
      <xdr:rowOff>0</xdr:rowOff>
    </xdr:from>
    <xdr:to>
      <xdr:col>28</xdr:col>
      <xdr:colOff>82233</xdr:colOff>
      <xdr:row>810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A0BFBB73-A72D-48D8-9CDB-0F870D8BC31F}"/>
            </a:ext>
          </a:extLst>
        </xdr:cNvPr>
        <xdr:cNvSpPr/>
      </xdr:nvSpPr>
      <xdr:spPr>
        <a:xfrm rot="10800000">
          <a:off x="11953875" y="134797800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814</xdr:row>
      <xdr:rowOff>0</xdr:rowOff>
    </xdr:from>
    <xdr:to>
      <xdr:col>28</xdr:col>
      <xdr:colOff>83820</xdr:colOff>
      <xdr:row>814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7BED815D-C2EB-478B-AC2E-31FF19AA82B2}"/>
            </a:ext>
          </a:extLst>
        </xdr:cNvPr>
        <xdr:cNvSpPr/>
      </xdr:nvSpPr>
      <xdr:spPr>
        <a:xfrm>
          <a:off x="11953875" y="1353550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14288</xdr:colOff>
      <xdr:row>818</xdr:row>
      <xdr:rowOff>180975</xdr:rowOff>
    </xdr:from>
    <xdr:to>
      <xdr:col>28</xdr:col>
      <xdr:colOff>96521</xdr:colOff>
      <xdr:row>819</xdr:row>
      <xdr:rowOff>109537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4A530108-AEC1-4BFA-AEBC-5CACFBE8DD72}"/>
            </a:ext>
          </a:extLst>
        </xdr:cNvPr>
        <xdr:cNvSpPr/>
      </xdr:nvSpPr>
      <xdr:spPr>
        <a:xfrm>
          <a:off x="11968163" y="1364646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820</xdr:row>
      <xdr:rowOff>0</xdr:rowOff>
    </xdr:from>
    <xdr:to>
      <xdr:col>28</xdr:col>
      <xdr:colOff>83820</xdr:colOff>
      <xdr:row>820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8B38A3CE-F02B-4AC9-9637-7833040BE90D}"/>
            </a:ext>
          </a:extLst>
        </xdr:cNvPr>
        <xdr:cNvSpPr/>
      </xdr:nvSpPr>
      <xdr:spPr>
        <a:xfrm>
          <a:off x="11953875" y="136469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815</xdr:row>
      <xdr:rowOff>0</xdr:rowOff>
    </xdr:from>
    <xdr:to>
      <xdr:col>28</xdr:col>
      <xdr:colOff>80646</xdr:colOff>
      <xdr:row>815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17DAAC2-167F-4805-8E2B-8930CC5E9CCA}"/>
            </a:ext>
          </a:extLst>
        </xdr:cNvPr>
        <xdr:cNvSpPr/>
      </xdr:nvSpPr>
      <xdr:spPr>
        <a:xfrm rot="10800000">
          <a:off x="11953875" y="135726488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818</xdr:row>
      <xdr:rowOff>0</xdr:rowOff>
    </xdr:from>
    <xdr:to>
      <xdr:col>28</xdr:col>
      <xdr:colOff>80646</xdr:colOff>
      <xdr:row>818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14C9C9C0-9BA7-49D5-A6F4-948826BADC14}"/>
            </a:ext>
          </a:extLst>
        </xdr:cNvPr>
        <xdr:cNvSpPr/>
      </xdr:nvSpPr>
      <xdr:spPr>
        <a:xfrm rot="10800000">
          <a:off x="11953875" y="136283700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817</xdr:row>
      <xdr:rowOff>0</xdr:rowOff>
    </xdr:from>
    <xdr:to>
      <xdr:col>28</xdr:col>
      <xdr:colOff>80646</xdr:colOff>
      <xdr:row>817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A3E49586-3DC2-45BC-A3A0-4AC0FF55282A}"/>
            </a:ext>
          </a:extLst>
        </xdr:cNvPr>
        <xdr:cNvSpPr/>
      </xdr:nvSpPr>
      <xdr:spPr>
        <a:xfrm rot="10800000">
          <a:off x="11953875" y="136097963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816</xdr:row>
      <xdr:rowOff>0</xdr:rowOff>
    </xdr:from>
    <xdr:to>
      <xdr:col>28</xdr:col>
      <xdr:colOff>80646</xdr:colOff>
      <xdr:row>816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2D7CC099-8CA7-4987-A4ED-26B7E73216F0}"/>
            </a:ext>
          </a:extLst>
        </xdr:cNvPr>
        <xdr:cNvSpPr/>
      </xdr:nvSpPr>
      <xdr:spPr>
        <a:xfrm rot="10800000">
          <a:off x="11953875" y="135912225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17"/>
  <sheetViews>
    <sheetView tabSelected="1" topLeftCell="A840" zoomScaleNormal="100" workbookViewId="0">
      <selection activeCell="D873" sqref="D873"/>
    </sheetView>
  </sheetViews>
  <sheetFormatPr defaultRowHeight="14.75" outlineLevelCol="1" x14ac:dyDescent="0.75"/>
  <cols>
    <col min="1" max="1" width="3.31640625" customWidth="1"/>
    <col min="2" max="2" width="10.08984375" customWidth="1"/>
    <col min="3" max="3" width="1.76953125" customWidth="1"/>
    <col min="4" max="4" width="11.86328125" customWidth="1"/>
    <col min="5" max="5" width="1" customWidth="1"/>
    <col min="6" max="6" width="2" customWidth="1"/>
    <col min="7" max="7" width="0.76953125" customWidth="1"/>
    <col min="8" max="8" width="11.54296875" customWidth="1"/>
    <col min="9" max="9" width="2.2265625" customWidth="1"/>
    <col min="10" max="10" width="8" customWidth="1"/>
    <col min="11" max="11" width="1.2265625" customWidth="1"/>
    <col min="12" max="12" width="2.54296875" customWidth="1"/>
    <col min="13" max="13" width="2.2265625" customWidth="1"/>
    <col min="14" max="14" width="12.2265625" customWidth="1"/>
    <col min="15" max="15" width="9.453125" customWidth="1"/>
    <col min="16" max="16" width="1.2265625" customWidth="1"/>
    <col min="17" max="17" width="10" customWidth="1" outlineLevel="1"/>
    <col min="18" max="18" width="1.2265625" customWidth="1" outlineLevel="1"/>
    <col min="19" max="19" width="10.54296875" customWidth="1" outlineLevel="1"/>
    <col min="20" max="21" width="1.2265625" customWidth="1" outlineLevel="1"/>
    <col min="22" max="22" width="5.08984375" customWidth="1"/>
    <col min="23" max="23" width="8.86328125" customWidth="1"/>
    <col min="24" max="24" width="1.76953125" customWidth="1"/>
    <col min="25" max="25" width="2.54296875" customWidth="1"/>
    <col min="26" max="26" width="1.453125" customWidth="1"/>
    <col min="27" max="27" width="9.54296875" customWidth="1"/>
    <col min="28" max="28" width="2.31640625" customWidth="1"/>
    <col min="29" max="29" width="5.6796875" customWidth="1"/>
    <col min="30" max="30" width="1" customWidth="1"/>
    <col min="31" max="31" width="8.08984375" customWidth="1"/>
    <col min="32" max="32" width="1.6796875" customWidth="1"/>
    <col min="33" max="33" width="12.54296875" hidden="1" customWidth="1" outlineLevel="1"/>
    <col min="34" max="34" width="11" hidden="1" customWidth="1" outlineLevel="1"/>
    <col min="35" max="35" width="8.08984375" hidden="1" customWidth="1" outlineLevel="1"/>
    <col min="36" max="36" width="2.2265625" hidden="1" customWidth="1" outlineLevel="1"/>
    <col min="37" max="37" width="3.54296875" customWidth="1" collapsed="1"/>
    <col min="38" max="38" width="9.86328125" customWidth="1"/>
    <col min="39" max="39" width="1" customWidth="1"/>
    <col min="40" max="40" width="1.453125" customWidth="1"/>
    <col min="41" max="41" width="1.2265625" customWidth="1"/>
    <col min="42" max="42" width="11.31640625" customWidth="1"/>
    <col min="43" max="43" width="1.31640625" customWidth="1"/>
    <col min="44" max="44" width="10.2265625" customWidth="1"/>
    <col min="45" max="45" width="1.54296875" customWidth="1"/>
    <col min="46" max="46" width="2.2265625" customWidth="1"/>
    <col min="47" max="47" width="1.31640625" customWidth="1"/>
    <col min="48" max="48" width="7.453125" customWidth="1"/>
    <col min="49" max="49" width="2" customWidth="1"/>
    <col min="50" max="50" width="9.2265625" customWidth="1"/>
    <col min="51" max="51" width="0.86328125" customWidth="1"/>
    <col min="52" max="52" width="4" customWidth="1"/>
    <col min="53" max="53" width="13.86328125" customWidth="1"/>
    <col min="54" max="54" width="1.08984375" customWidth="1"/>
    <col min="55" max="55" width="13.6796875" customWidth="1"/>
    <col min="56" max="56" width="1.31640625" customWidth="1"/>
    <col min="57" max="57" width="12.2265625" customWidth="1"/>
    <col min="58" max="58" width="1.08984375" customWidth="1"/>
    <col min="59" max="59" width="12.2265625" customWidth="1"/>
    <col min="60" max="60" width="1.08984375" customWidth="1"/>
    <col min="61" max="61" width="3.86328125" customWidth="1"/>
    <col min="62" max="62" width="1.453125" hidden="1" customWidth="1" outlineLevel="1"/>
    <col min="63" max="63" width="15.08984375" hidden="1" customWidth="1" outlineLevel="1"/>
    <col min="64" max="64" width="0.86328125" hidden="1" customWidth="1" outlineLevel="1"/>
    <col min="65" max="65" width="6.86328125" hidden="1" customWidth="1" outlineLevel="1"/>
    <col min="66" max="66" width="10.08984375" customWidth="1" collapsed="1"/>
    <col min="67" max="67" width="0.86328125" customWidth="1"/>
    <col min="68" max="68" width="13.31640625" customWidth="1"/>
    <col min="69" max="69" width="1" customWidth="1"/>
    <col min="70" max="70" width="11.6796875" customWidth="1"/>
    <col min="71" max="71" width="1.08984375" customWidth="1"/>
    <col min="72" max="72" width="3.453125" customWidth="1"/>
    <col min="73" max="73" width="0.76953125" customWidth="1"/>
    <col min="74" max="74" width="1.86328125" customWidth="1"/>
    <col min="75" max="75" width="6.6796875" customWidth="1"/>
    <col min="76" max="76" width="1.76953125" customWidth="1"/>
    <col min="77" max="77" width="14.08984375" customWidth="1"/>
    <col min="78" max="78" width="2.08984375" customWidth="1"/>
    <col min="79" max="79" width="11.453125" customWidth="1"/>
    <col min="80" max="80" width="1.31640625" customWidth="1"/>
    <col min="81" max="81" width="11.453125" customWidth="1"/>
    <col min="82" max="82" width="1.08984375" customWidth="1"/>
    <col min="83" max="83" width="3.2265625" customWidth="1"/>
    <col min="84" max="84" width="1.453125" customWidth="1"/>
    <col min="85" max="85" width="7.76953125" customWidth="1"/>
    <col min="86" max="86" width="1" customWidth="1"/>
    <col min="87" max="87" width="7.2265625" customWidth="1"/>
    <col min="88" max="88" width="1.453125" customWidth="1"/>
    <col min="89" max="89" width="4.76953125" customWidth="1"/>
    <col min="90" max="90" width="12.2265625" customWidth="1"/>
  </cols>
  <sheetData>
    <row r="1" spans="2:90" ht="16" x14ac:dyDescent="0.8">
      <c r="B1" s="609" t="s">
        <v>5</v>
      </c>
      <c r="C1" s="609"/>
      <c r="D1" s="609"/>
    </row>
    <row r="2" spans="2:90" ht="16" x14ac:dyDescent="0.8">
      <c r="B2" s="609" t="s">
        <v>6</v>
      </c>
      <c r="C2" s="609"/>
      <c r="D2" s="609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75" thickBot="1" x14ac:dyDescent="0.9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75" thickBot="1" x14ac:dyDescent="0.95">
      <c r="E4" s="9"/>
      <c r="F4" s="9"/>
      <c r="J4" s="610" t="s">
        <v>11</v>
      </c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11"/>
      <c r="AE4" s="282"/>
      <c r="AF4" s="404"/>
      <c r="AG4" s="404"/>
      <c r="AH4" s="404"/>
      <c r="AI4" s="404"/>
      <c r="AJ4" s="12"/>
      <c r="AL4" s="626" t="s">
        <v>14</v>
      </c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8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75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75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32" t="s">
        <v>25</v>
      </c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4"/>
      <c r="AZ6" s="3"/>
      <c r="BA6" s="635" t="s">
        <v>7</v>
      </c>
      <c r="BB6" s="605"/>
      <c r="BC6" s="605"/>
      <c r="BD6" s="85"/>
      <c r="BE6" s="629" t="s">
        <v>24</v>
      </c>
      <c r="BF6" s="629"/>
      <c r="BG6" s="629"/>
      <c r="BH6" s="629"/>
      <c r="BI6" s="629"/>
      <c r="BJ6" s="629"/>
      <c r="BK6" s="629"/>
      <c r="BL6" s="629"/>
      <c r="BM6" s="629"/>
      <c r="BN6" s="629"/>
      <c r="BO6" s="629"/>
      <c r="BP6" s="629"/>
      <c r="BQ6" s="629"/>
      <c r="BR6" s="605"/>
      <c r="BS6" s="605"/>
      <c r="BT6" s="605"/>
      <c r="BU6" s="630"/>
      <c r="BV6" s="3"/>
    </row>
    <row r="7" spans="2:90" ht="16.75" x14ac:dyDescent="0.75">
      <c r="D7" s="612" t="s">
        <v>20</v>
      </c>
      <c r="E7" s="613"/>
      <c r="F7" s="613"/>
      <c r="G7" s="613"/>
      <c r="H7" s="613"/>
      <c r="I7" s="613"/>
      <c r="J7" s="613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612" t="s">
        <v>68</v>
      </c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613"/>
      <c r="AX7" s="613"/>
      <c r="AY7" s="631"/>
      <c r="BA7" s="612" t="s">
        <v>23</v>
      </c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31"/>
      <c r="BW7" s="161" t="s">
        <v>18</v>
      </c>
    </row>
    <row r="8" spans="2:90" x14ac:dyDescent="0.75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4" t="s">
        <v>1</v>
      </c>
      <c r="BB8" s="625"/>
      <c r="BC8" s="625"/>
      <c r="BD8" s="63"/>
      <c r="BE8" s="625" t="s">
        <v>22</v>
      </c>
      <c r="BF8" s="625"/>
      <c r="BG8" s="625"/>
      <c r="BH8" s="625"/>
      <c r="BI8" s="636"/>
      <c r="BJ8" s="637" t="s">
        <v>111</v>
      </c>
      <c r="BK8" s="638"/>
      <c r="BL8" s="638"/>
      <c r="BM8" s="639"/>
      <c r="BN8" s="624" t="s">
        <v>22</v>
      </c>
      <c r="BO8" s="625"/>
      <c r="BP8" s="625"/>
      <c r="BQ8" s="63"/>
      <c r="BR8" s="93"/>
      <c r="BS8" s="421"/>
      <c r="BT8" s="94"/>
      <c r="BU8" s="168"/>
    </row>
    <row r="9" spans="2:90" x14ac:dyDescent="0.75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75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75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75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75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75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75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75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75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75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75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75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75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75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75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75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75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75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75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75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75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75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75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75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75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75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75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75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75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75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75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75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75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75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75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75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75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75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75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75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75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75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75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75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75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75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75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75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75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75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75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75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75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75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75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75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75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75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75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75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75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75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75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75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75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75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75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75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75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75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75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75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75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75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75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75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75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75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75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75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75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75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75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75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75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75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75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75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75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75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75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75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75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75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75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75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75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75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75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75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75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75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75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75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75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75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75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75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75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75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75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75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75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75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75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75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75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75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75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75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75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75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75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SUM(D102:D871)</f>
        <v>75244484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75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75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75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75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75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75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75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SUM(D109:D878)</f>
        <v>75018065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75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75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75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75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75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75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75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SUM(D116:D885)</f>
        <v>74674105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75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75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75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75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75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75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75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SUM(D123:D895)</f>
        <v>74279235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75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SUM(D124:D896)</f>
        <v>74217516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75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SUM(D125:D897)</f>
        <v>74159167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75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SUM(D126:D898)</f>
        <v>74093679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75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SUM(D127:D899)</f>
        <v>74027631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75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SUM(D128:D900)</f>
        <v>73955636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75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SUM(D129:D901)</f>
        <v>150882248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75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SUM(D130:D902)</f>
        <v>150807261.23262841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75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SUM(D131:D903)</f>
        <v>150744002.23262841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75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SUM(D132:D904)</f>
        <v>481678723.23262841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75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SUM(D133:D905)</f>
        <v>525969844.23262841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75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SUM(D134:D906)</f>
        <v>525902365.30462843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75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SUM(D135:D907)</f>
        <v>525830398.30462843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75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SUM(D136:D908)</f>
        <v>525760955.34662843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75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SUM(D137:D909)</f>
        <v>526683921.34662843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75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SUM(D138:D910)</f>
        <v>526616508.34662843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75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SUM(D139:D911)</f>
        <v>526560378.34662843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75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SUM(D140:D912)</f>
        <v>526498807.34662843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75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SUM(D141:D913)</f>
        <v>526434078.34662843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75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SUM(D142:D914)</f>
        <v>526367157.34662843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75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SUM(D143:D915)</f>
        <v>526298588.34662843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75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SUM(D144:D916)</f>
        <v>526227505.34662843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75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SUM(D145:D917)</f>
        <v>526168964.34662843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75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SUM(D146:D918)</f>
        <v>526119926.34662843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75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SUM(D147:D919)</f>
        <v>526071280.34662843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75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SUM(D148:D920)</f>
        <v>526016716.34662843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75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SUM(D149:D921)</f>
        <v>525961568.34662843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75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SUM(D150:D922)</f>
        <v>525902858.34662843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75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SUM(D151:D923)</f>
        <v>525839612.34662843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75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SUM(D152:D924)</f>
        <v>525785413.34662843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75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SUM(D153:D925)</f>
        <v>525737564.34662843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75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SUM(D154:D926)</f>
        <v>525687764.34662843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75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SUM(D155:D927)</f>
        <v>525633245.34662843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75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SUM(D156:D928)</f>
        <v>525578900.34662843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75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SUM(D157:D929)</f>
        <v>525523536.34662843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75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SUM(D158:D930)</f>
        <v>525462936.34662843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75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SUM(D159:D931)</f>
        <v>525409413.34662843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75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SUM(D160:D932)</f>
        <v>525372570.34662843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75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SUM(D161:D933)</f>
        <v>525331958.34662843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75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SUM(D162:D934)</f>
        <v>525287959.34662843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75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SUM(D163:D935)</f>
        <v>525242986.34662843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75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SUM(D164:D936)</f>
        <v>525197629.34662843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75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SUM(D165:D937)</f>
        <v>525147148.34662843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75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SUM(D166:D938)</f>
        <v>525103319.34662843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75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SUM(D167:D939)</f>
        <v>525070601.34662843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75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SUM(D168:D940)</f>
        <v>525029117.34662843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75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SUM(D169:D941)</f>
        <v>524989019.34662843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75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SUM(D170:D942)</f>
        <v>524944382.34662843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75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SUM(D171:D943)</f>
        <v>524898376.34662843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75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SUM(D172:D944)</f>
        <v>524848775.34662843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75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SUM(D173:D945)</f>
        <v>524806115.34662843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75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SUM(D174:D946)</f>
        <v>524772134.34662843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75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SUM(D175:D947)</f>
        <v>524733574.34662843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75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SUM(D176:D948)</f>
        <v>524691595.34662843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75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SUM(D177:D949)</f>
        <v>524650384.34662843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75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SUM(D178:D950)</f>
        <v>524604920.34662843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75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SUM(D179:D951)</f>
        <v>524552071.34662843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75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SUM(D180:D952)</f>
        <v>524509979.34662843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75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SUM(D181:D953)</f>
        <v>524478869.34662843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75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SUM(D182:D957)</f>
        <v>524453449.34662843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75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SUM(D183:D958)</f>
        <v>524425010.34662843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75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SUM(D184:D959)</f>
        <v>524389767.34662843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75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SUM(D185:D960)</f>
        <v>558065242.06091416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75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SUM(D186:D961)</f>
        <v>608875784.91805696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75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SUM(D187:D962)</f>
        <v>677407931.4894855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75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SUM(D188:D964)</f>
        <v>677376074.4894855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75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SUM(D189:D965)</f>
        <v>854923278.06091404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75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SUM(D190:D969)</f>
        <v>854886831.06091404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75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SUM(D191:D970)</f>
        <v>854846677.06091404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75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SUM(D192:D971)</f>
        <v>854800382.06091404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75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SUM(D193:D972)</f>
        <v>854749037.06091404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75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SUM(D194:D973)</f>
        <v>854705424.06091404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75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SUM(D195:D974)</f>
        <v>854672038.06091404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75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SUM(D196:D980)</f>
        <v>854635234.06091404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75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SUM(D197:D981)</f>
        <v>854599538.06091404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75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SUM(D198:D982)</f>
        <v>854557922.06091404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75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SUM(D199:D983)</f>
        <v>854512567.06091404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75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SUM(D200:D985)</f>
        <v>854458938.06091404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75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SUM(D201:D987)</f>
        <v>854415732.06091404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75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SUM(D202:D988)</f>
        <v>854381950.06091404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75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SUM(D203:D989)</f>
        <v>854344532.06091404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75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SUM(D204:D990)</f>
        <v>854300305.06091404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75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SUM(D205:D991)</f>
        <v>854259376.06091404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75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SUM(D206:D992)</f>
        <v>854211987.06091404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75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SUM(D207:D993)</f>
        <v>854160584.06091404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75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SUM(D208:D994)</f>
        <v>854111659.06091404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75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SUM(D209:D995)</f>
        <v>854077593.06091404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75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SUM(D210:D996)</f>
        <v>854039876.06091404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75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SUM(D211:D997)</f>
        <v>853995208.06091404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75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SUM(D212:D998)</f>
        <v>853945850.06091404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75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SUM(D213:D999)</f>
        <v>853888532.06091404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75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SUM(D214:D1000)</f>
        <v>853827549.06091404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75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SUM(D215:D1001)</f>
        <v>853773314.06091404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75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SUM(D216:D1002)</f>
        <v>853731379.06091404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75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SUM(D217:D1003)</f>
        <v>853685588.06091404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75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SUM(D218:D1004)</f>
        <v>853634054.06091404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75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SUM(D219:D1005)</f>
        <v>853574361.06091404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75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SUM(D220:D1006)</f>
        <v>853508232.06091404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75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SUM(D221:D1007)</f>
        <v>853436545.06091404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75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SUM(D222:D1008)</f>
        <v>853382313.06091404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75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SUM(D223:D1009)</f>
        <v>853337372.06091404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75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SUM(D224:D1010)</f>
        <v>853280045.06091404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75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SUM(D225:D1011)</f>
        <v>853217973.06091404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75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SUM(D226:D1012)</f>
        <v>853154310.06091404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75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SUM(D227:D1013)</f>
        <v>853080009.06091404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75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SUM(D228:D1014)</f>
        <v>852998595.06091404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75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SUM(D229:D1015)</f>
        <v>852919146.06091404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75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SUM(D230:D1016)</f>
        <v>852858257.06091404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75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SUM(D231:D1017)</f>
        <v>852788416.06091404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75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SUM(D232:D1018)</f>
        <v>852713344.06091404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75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SUM(D233:D1019)</f>
        <v>852631763.06091404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75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SUM(D234:D1020)</f>
        <v>852540233.06091404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75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SUM(D235:D1021)</f>
        <v>852438772.06091404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75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SUM(D236:D1022)</f>
        <v>852352479.06091404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75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SUM(D237:D1023)</f>
        <v>852281158.06091404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75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SUM(D238:D1024)</f>
        <v>852192253.06091404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75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SUM(D239:D1025)</f>
        <v>852097786.06091404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75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SUM(D240:D1026)</f>
        <v>851989397.06091404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75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SUM(D241:D1027)</f>
        <v>851871078.06091404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75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SUM(D242:D1028)</f>
        <v>851738537.06091404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75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SUM(D243:D1029)</f>
        <v>851614147.06091404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75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SUM(D244:D1030)</f>
        <v>851511421.06091404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75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SUM(D245:D1031)</f>
        <v>851385732.06091404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75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SUM(D246:D1032)</f>
        <v>851250079.06091404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75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SUM(D247:D1033)</f>
        <v>851107173.06091404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75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SUM(D248:D1034)</f>
        <v>850945632.06091404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75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SUM(D249:D1035)</f>
        <v>850762105.06091404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75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SUM(D250:D1036)</f>
        <v>850604852.06091404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75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SUM(D251:D1037)</f>
        <v>850466603.06091404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75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SUM(D252:D1038)</f>
        <v>850304454.06091404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75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SUM(D253:D1039)</f>
        <v>850147193.06091404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75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SUM(D254:D1040)</f>
        <v>849973425.06091404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75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SUM(D255:D1041)</f>
        <v>849781239.06091404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75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SUM(D256:D1042)</f>
        <v>849577060.06091404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75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SUM(D257:D1043)</f>
        <v>849404221.06091404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75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SUM(D258:D1044)</f>
        <v>849267594.06091404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75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SUM(D259:D1045)</f>
        <v>849095294.06091404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75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SUM(D260:D1046)</f>
        <v>848918212.06091404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75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SUM(D261:D1047)</f>
        <v>848737309.06091404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75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SUM(D262:D1048)</f>
        <v>848629246.06091404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75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SUM(D263:D1049)</f>
        <v>848465234.06091404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75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SUM(D264:D1050)</f>
        <v>848321861.06091404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75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SUM(D265:D1051)</f>
        <v>848183673.06091404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75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SUM(D266:D1052)</f>
        <v>848022105.06091404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75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SUM(D267:D1053)</f>
        <v>847839829.06091404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75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SUM(D268:D1054)</f>
        <v>847636092.06091404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75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SUM(D269:D1055)</f>
        <v>847417516.06091404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75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SUM(D270:D1056)</f>
        <v>847182244.06091404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75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SUM(D271:D1057)</f>
        <v>846969761.06091404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75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SUM(D272:D1058)</f>
        <v>846786982.06091404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75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SUM(D273:D1059)</f>
        <v>846586897.06091404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75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SUM(D274:D1060)</f>
        <v>846377141.06091404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75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SUM(D275:D1061)</f>
        <v>846150188.06091404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75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SUM(D276:D1062)</f>
        <v>845922874.06091404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75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SUM(D277:D1063)</f>
        <v>845676113.06091404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75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SUM(D278:D1064)</f>
        <v>845455815.06091404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75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SUM(D279:D1065)</f>
        <v>845267914.06091404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75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SUM(D280:D1066)</f>
        <v>845068182.06091404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75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SUM(D281:D1067)</f>
        <v>844868147.06091404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75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SUM(D282:D1068)</f>
        <v>844617974.06091404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75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SUM(D283:D1069)</f>
        <v>844380102.06091404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75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SUM(D284:D1070)</f>
        <v>844125422.06091404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75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SUM(D285:D1071)</f>
        <v>843935772.06091404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75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SUM(D286:D1072)</f>
        <v>843747492.06091404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75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SUM(D287:D1073)</f>
        <v>843547383.06091404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75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SUM(D288:D1074)</f>
        <v>843348303.06091404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75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SUM(D289:D1075)</f>
        <v>843115961.06091404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75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SUM(D290:D1076)</f>
        <v>842922931.06091404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75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SUM(D291:D1077)</f>
        <v>842824091.06091404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75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SUM(D292:D1078)</f>
        <v>842663487.06091404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75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SUM(D293:D1079)</f>
        <v>842535747.06091404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75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SUM(D294:D1080)</f>
        <v>842349356.06091404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75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SUM(D295:D1081)</f>
        <v>842149734.06091404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75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SUM(D296:D1082)</f>
        <v>841914959.06091404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75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SUM(D297:D1083)</f>
        <v>841686546.06091404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75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SUM(D298:D1084)</f>
        <v>841520502.06091404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75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SUM(D299:D1085)</f>
        <v>841288275.06091404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75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SUM(D300:D1086)</f>
        <v>841093938.06091404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75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SUM(D301:D1087)</f>
        <v>840903776.06091404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75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SUM(D302:D1088)</f>
        <v>840669065.06091404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75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SUM(D303:D1089)</f>
        <v>840408092.06091404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75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SUM(D304:D1090)</f>
        <v>840133902.06091404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75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SUM(D305:D1091)</f>
        <v>839827453.06091404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75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SUM(D306:D1092)</f>
        <v>839577759.06091404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75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SUM(D307:D1093)</f>
        <v>839356932.06091404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75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SUM(D308:D1094)</f>
        <v>839142249.06091404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75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SUM(D309:D1095)</f>
        <v>838918621.06091404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75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SUM(D310:D1096)</f>
        <v>838680548.06091404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75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SUM(D311:D1097)</f>
        <v>838446129.06091404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75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SUM(D312:D1098)</f>
        <v>838197323.06091404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75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SUM(D313:D1099)</f>
        <v>837994556.06091404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75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SUM(D314:D1100)</f>
        <v>837819996.06091404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75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SUM(D315:D1101)</f>
        <v>837670668.06091404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75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SUM(D316:D1102)</f>
        <v>837496290.06091404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75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SUM(D317:D1103)</f>
        <v>837306209.06091404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75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SUM(D318:D1104)</f>
        <v>837112451.06091404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75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SUM(D319:D1105)</f>
        <v>836920386.06091404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75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SUM(D320:D1106)</f>
        <v>836747319.06091404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75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SUM(D321:D1107)</f>
        <v>836612137.06091404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75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SUM(D322:D1108)</f>
        <v>836459893.06091404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75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SUM(D323:D1109)</f>
        <v>836308166.06091404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75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SUM(D324:D1110)</f>
        <v>836148135.06091404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75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SUM(D325:D1111)</f>
        <v>835985502.06091404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75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SUM(D326:D1112)</f>
        <v>835816469.06091404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75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SUM(D327:D1113)</f>
        <v>835675737.06091404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75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SUM(D328:D1114)</f>
        <v>835567921.06091404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75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SUM(D329:D1115)</f>
        <v>835441469.06091404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75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SUM(D330:D1116)</f>
        <v>835325242.06091404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75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SUM(D331:D1117)</f>
        <v>835211783.06091404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75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SUM(D332:D1118)</f>
        <v>835090046.06091404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75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SUM(D333:D1119)</f>
        <v>834963921.06091404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75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SUM(D334:D1120)</f>
        <v>834857938.06091404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75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SUM(D335:D1121)</f>
        <v>834766682.06091404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75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SUM(D336:D1122)</f>
        <v>834676336.06091404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75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SUM(D337:D1123)</f>
        <v>834580794.06091404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75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SUM(D338:D1124)</f>
        <v>834483988.06091404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75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SUM(D339:D1125)</f>
        <v>834379744.06091404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75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SUM(D340:D1126)</f>
        <v>834279456.06091404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75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SUM(D341:D1127)</f>
        <v>834192972.06091404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75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SUM(D342:D1128)</f>
        <v>834128675.06091404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75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SUM(D343:D1129)</f>
        <v>834075890.06091404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75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SUM(D344:D1130)</f>
        <v>834012492.06091404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75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SUM(D345:D1131)</f>
        <v>833940852.06091404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75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SUM(D346:D1132)</f>
        <v>833871928.06091404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75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SUM(D347:D1133)</f>
        <v>833786389.06091404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75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SUM(D348:D1134)</f>
        <v>833716772.06091404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75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SUM(D349:D1135)</f>
        <v>833659547.06091404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75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SUM(D350:D1136)</f>
        <v>833588493.06091404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75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SUM(D351:D1137)</f>
        <v>833514789.06091404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75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SUM(D352:D1138)</f>
        <v>833439490.06091404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75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SUM(D353:D1139)</f>
        <v>833362113.06091404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75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SUM(D354:D1140)</f>
        <v>833281488.06091404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75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SUM(D355:D1141)</f>
        <v>833217168.06091404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75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SUM(D356:D1142)</f>
        <v>833167756.06091404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75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SUM(D357:D1143)</f>
        <v>833112575.06091404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75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SUM(D358:D1144)</f>
        <v>833055685.06091404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75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SUM(D359:D1145)</f>
        <v>832988460.06091404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75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SUM(D360:D1146)</f>
        <v>832920139.06091404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75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SUM(D361:D1147)</f>
        <v>832850899.06091404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75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SUM(D362:D1148)</f>
        <v>832792671.06091404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75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SUM(D363:D1149)</f>
        <v>832750704.06091404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75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SUM(D364:D1150)</f>
        <v>832705336.06091404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75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SUM(D365:D1151)</f>
        <v>832649653.06091404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75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SUM(D366:D1152)</f>
        <v>832588293.06091404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75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SUM(D367:D1153)</f>
        <v>832525520.06091404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75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SUM(D368:D1154)</f>
        <v>832458735.06091404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75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SUM(D369:D1155)</f>
        <v>832409017.06091404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75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SUM(D370:D1156)</f>
        <v>832372121.06091404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75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SUM(D371:D1157)</f>
        <v>832325354.06091404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75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SUM(D372:D1158)</f>
        <v>832272123.06091404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75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SUM(D373:D1159)</f>
        <v>832208628.06091404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75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SUM(D374:D1160)</f>
        <v>832145999.06091404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75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SUM(D375:D1161)</f>
        <v>832079586.06091404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75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SUM(D376:D1162)</f>
        <v>832023678.06091404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75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SUM(D377:D1163)</f>
        <v>831984173.06091404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75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SUM(D378:D1164)</f>
        <v>831938425.06091404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75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SUM(D379:D1165)</f>
        <v>831879720.06091404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75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SUM(D380:D1166)</f>
        <v>831813182.06091404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75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SUM(D381:D1167)</f>
        <v>831746136.06091404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75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SUM(D382:D1168)</f>
        <v>831669160.06091404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75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SUM(D383:D1169)</f>
        <v>831605501.06091404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75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SUM(D384:D1170)</f>
        <v>831561405.06091404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75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SUM(D385:D1171)</f>
        <v>831501207.06091404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75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SUM(D386:D1172)</f>
        <v>831438748.06091404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75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SUM(D387:D1173)</f>
        <v>831369992.06091404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75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SUM(D388:D1174)</f>
        <v>831325741.06091404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75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SUM(D389:D1175)</f>
        <v>831255717.06091404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75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SUM(D390:D1176)</f>
        <v>831189563.06091404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75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SUM(D391:D1177)</f>
        <v>831152580.06091404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75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SUM(D392:D1178)</f>
        <v>831094936.06091404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75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SUM(D393:D1179)</f>
        <v>831032653.06091404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75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SUM(D394:D1180)</f>
        <v>830957470.06091404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75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SUM(D395:D1181)</f>
        <v>830877309.06091404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75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SUM(D396:D1182)</f>
        <v>830791941.06091404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75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SUM(D397:D1183)</f>
        <v>830725161.06091404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75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SUM(D398:D1184)</f>
        <v>830677287.06091404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75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SUM(D399:D1185)</f>
        <v>830620765.06091404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75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SUM(D400:D1186)</f>
        <v>830543045.06091404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75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SUM(D401:D1187)</f>
        <v>830464606.06091404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75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SUM(D402:D1188)</f>
        <v>830390127.06091404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75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SUM(D403:D1189)</f>
        <v>830308354.06091404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75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SUM(D404:D1190)</f>
        <v>830244773.06091404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75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SUM(D405:D1191)</f>
        <v>830201592.06091404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75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SUM(D406:D1192)</f>
        <v>830149942.06091404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75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SUM(D407:D1193)</f>
        <v>830089625.06091404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75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SUM(D408:D1194)</f>
        <v>830024568.06091404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75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SUM(D409:D1195)</f>
        <v>829957498.06091404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75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SUM(D410:D1196)</f>
        <v>829890983.06091404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75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SUM(D411:D1197)</f>
        <v>829837703.06091404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75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SUM(D412:D1198)</f>
        <v>829802967.06091404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75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SUM(D413:D1199)</f>
        <v>829755511.06091404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75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SUM(D414:D1200)</f>
        <v>829703465.06091404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75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SUM(D415:D1201)</f>
        <v>829646861.06091404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75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SUM(D416:D1202)</f>
        <v>829587592.06091404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75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SUM(D417:D1203)</f>
        <v>829527686.06091404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75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SUM(D418:D1204)</f>
        <v>829485652.06091404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75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SUM(D419:D1205)</f>
        <v>829454951.06091404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75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SUM(D420:D1206)</f>
        <v>829414497.06091404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75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SUM(D421:D1207)</f>
        <v>829372143.06091404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75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SUM(D422:D1208)</f>
        <v>829326014.06091404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75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SUM(D423:D1209)</f>
        <v>829278195.06091404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75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SUM(D424:D1210)</f>
        <v>829228704.06091404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75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SUM(D425:D1211)</f>
        <v>829192949.06091404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75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SUM(D426:D1212)</f>
        <v>829170749.06091404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75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SUM(D427:D1213)</f>
        <v>829140597.06091404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75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SUM(D428:D1214)</f>
        <v>829105693.06091404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75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SUM(D429:D1215)</f>
        <v>829069877.06091404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75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SUM(D430:D1216)</f>
        <v>829030052.06091404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75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SUM(D431:D1217)</f>
        <v>828990957.06091404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75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SUM(D432:D1218)</f>
        <v>828965315.06091404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75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SUM(D433:D1219)</f>
        <v>828947481.06091404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75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SUM(D434:D1220)</f>
        <v>828922451.06091404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75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SUM(D435:D1221)</f>
        <v>828894945.06091404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75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SUM(D436:D1222)</f>
        <v>828866404.06091404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75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SUM(D437:D1223)</f>
        <v>828836190.06091404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75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SUM(D438:D1224)</f>
        <v>828807176.06091404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75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SUM(D439:D1225)</f>
        <v>828787537.06091404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75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SUM(D440:D1226)</f>
        <v>828773996.06091404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75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SUM(D441:D1227)</f>
        <v>828753630.06091404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75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SUM(D442:D1228)</f>
        <v>828730892.06091404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75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SUM(D443:D1229)</f>
        <v>828707392.06091404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75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SUM(D444:D1230)</f>
        <v>828682999.06091404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75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SUM(D445:D1231)</f>
        <v>828660186.06091404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75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SUM(D446:D1232)</f>
        <v>828647525.06091404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75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SUM(D447:D1233)</f>
        <v>828639775.06091404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75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SUM(D448:D1234)</f>
        <v>828634540.06091404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75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SUM(D449:D1235)</f>
        <v>828621564.06091404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75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SUM(D450:D1236)</f>
        <v>828604590.06091404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75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SUM(D451:D1237)</f>
        <v>828586769.06091404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75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SUM(D452:D1238)</f>
        <v>828569844.06091404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75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SUM(D453:D1239)</f>
        <v>828558241.06091404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75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SUM(D454:D1240)</f>
        <v>828551833.06091404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75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SUM(D455:D1241)</f>
        <v>828539550.06091404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75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SUM(D456:D1242)</f>
        <v>828526008.06091404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75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SUM(D457:D1243)</f>
        <v>828511807.06091404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75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SUM(D458:D1244)</f>
        <v>828495043.06091404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75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SUM(D459:D1245)</f>
        <v>828478898.06091404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75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SUM(D460:D1246)</f>
        <v>828469471.06091404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75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SUM(D461:D1247)</f>
        <v>828464186.06091404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75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SUM(D462:D1248)</f>
        <v>828452665.06091404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75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SUM(D463:D1249)</f>
        <v>828440085.06091404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75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SUM(D464:D1250)</f>
        <v>828426022.06091404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75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SUM(D465:D1251)</f>
        <v>828412289.06091404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75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SUM(D466:D1252)</f>
        <v>828398900.06091404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75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SUM(D467:D1253)</f>
        <v>828391118.06091404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75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SUM(D468:D1254)</f>
        <v>828386696.06091404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75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SUM(D469:D1255)</f>
        <v>828376941.06091404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75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SUM(D470:D1256)</f>
        <v>828364067.06091404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75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SUM(D471:D1257)</f>
        <v>828350702.06091404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75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SUM(D472:D1258)</f>
        <v>828335242.06091404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75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SUM(D473:D1259)</f>
        <v>828319705.06091404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75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SUM(D474:D1260)</f>
        <v>828313119.06091404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75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SUM(D475:D1261)</f>
        <v>828305813.06091404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75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SUM(D476:D1262)</f>
        <v>828293831.06091404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75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SUM(D477:D1263)</f>
        <v>828282404.06091404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75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SUM(D478:D1264)</f>
        <v>828268207.06091404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75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SUM(D479:D1265)</f>
        <v>828251258.06091404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75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SUM(D480:D1266)</f>
        <v>828232859.06091404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75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SUM(D481:D1267)</f>
        <v>828224881.06091404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75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SUM(D482:D1268)</f>
        <v>828219132.06091404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75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SUM(D483:D1269)</f>
        <v>828214000.06091404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75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SUM(D484:D1270)</f>
        <v>828202388.06091404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75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SUM(D485:D1271)</f>
        <v>828185576.06091404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75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SUM(D486:D1272)</f>
        <v>828166229.06091404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75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SUM(D487:D1273)</f>
        <v>828138992.06091404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75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SUM(D488:D1274)</f>
        <v>828124457.06091404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75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SUM(D489:D1275)</f>
        <v>828117815.06091404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75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SUM(D490:D1276)</f>
        <v>828097819.06091404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75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SUM(D491:D1277)</f>
        <v>828058065.06091404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75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SUM(D492:D1278)</f>
        <v>828022618.06091404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75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SUM(D493:D1279)</f>
        <v>827985944.06091404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75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SUM(D494:D1280)</f>
        <v>827945415.06091404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75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SUM(D495:D1281)</f>
        <v>827921334.06091404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75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SUM(D496:D1282)</f>
        <v>827899056.06091404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75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SUM(D497:D1283)</f>
        <v>827866480.06091404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75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SUM(D498:D1284)</f>
        <v>827822248.06091404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75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SUM(D499:D1285)</f>
        <v>827765723.06091404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75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SUM(D500:D1286)</f>
        <v>827704072.06091404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75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SUM(D501:D1287)</f>
        <v>827636587.06091404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75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SUM(D502:D1288)</f>
        <v>827599808.06091404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75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SUM(D503:D1289)</f>
        <v>827585990.06091404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75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SUM(D504:D1290)</f>
        <v>827550174.06091404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75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SUM(D505:D1291)</f>
        <v>827488593.06091404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75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SUM(D506:D1292)</f>
        <v>827404059.06091404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75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SUM(D507:D1293)</f>
        <v>827319546.06091404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75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SUM(D508:D1294)</f>
        <v>827218448.06091404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75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SUM(D509:D1295)</f>
        <v>827166550.06091404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75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SUM(D510:D1296)</f>
        <v>827144782.06091404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75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SUM(D511:D1297)</f>
        <v>827088413.06091404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75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SUM(D512:D1298)</f>
        <v>826983655.06091404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75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SUM(D513:D1299)</f>
        <v>826871376.06091404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75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SUM(D514:D1300)</f>
        <v>826750431.06091404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75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SUM(D515:D1301)</f>
        <v>826619725.06091404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75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SUM(D516:D1302)</f>
        <v>826550775.06091404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75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SUM(D517:D1303)</f>
        <v>826526385.06091404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75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SUM(D518:D1304)</f>
        <v>826424010.06091404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75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SUM(D519:D1305)</f>
        <v>826322756.06091404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75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SUM(D520:D1306)</f>
        <v>826178121.06091404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75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SUM(D521:D1307)</f>
        <v>826034584.06091404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75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SUM(D522:D1308)</f>
        <v>825879287.06091404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75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SUM(D523:D1309)</f>
        <v>825808152.06091404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75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SUM(D524:D1310)</f>
        <v>825777269.06091404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75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SUM(D525:D1311)</f>
        <v>825673572.06091404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75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SUM(D526:D1312)</f>
        <v>825529278.06091404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75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SUM(D527:D1313)</f>
        <v>825371151.06091404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75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SUM(D528:D1314)</f>
        <v>825216234.06091404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75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SUM(D529:D1315)</f>
        <v>825065126.06091404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75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SUM(D530:D1316)</f>
        <v>824920043.06091404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75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SUM(D531:D1317)</f>
        <v>824820860.06091404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75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SUM(D532:D1318)</f>
        <v>824709726.06091404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75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SUM(D533:D1319)</f>
        <v>824562107.06091404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75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SUM(D534:D1320)</f>
        <v>824390370.06091404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75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SUM(D535:D1321)</f>
        <v>824213164.06091404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75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SUM(D536:D1322)</f>
        <v>824022794.06091404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75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SUM(D537:D1323)</f>
        <v>823950009.06091404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75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SUM(D538:D1324)</f>
        <v>823912747.06091404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75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SUM(D539:D1325)</f>
        <v>823793105.06091404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75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SUM(D540:D1326)</f>
        <v>823634439.06091404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75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SUM(D541:D1327)</f>
        <v>823450019.06091404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75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SUM(D542:D1328)</f>
        <v>823272451.06091404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75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SUM(D543:D1329)</f>
        <v>823089858.06091404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75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SUM(D544:D1330)</f>
        <v>823031176.06091404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75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SUM(D545:D1331)</f>
        <v>822995590.06091404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75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SUM(D546:D1332)</f>
        <v>822955946.06091404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75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SUM(D547:D1333)</f>
        <v>822840170.06091404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75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SUM(D548:D1334)</f>
        <v>822682411.06091404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75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SUM(D549:D1335)</f>
        <v>822521663.06091404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75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SUM(D550:D1336)</f>
        <v>822350538.06091404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75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SUM(D551:D1337)</f>
        <v>822278450.06091404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75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75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75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75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75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75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75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75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75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75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75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75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75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75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75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75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75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75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75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75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75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75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75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75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75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75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75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75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75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75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75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75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75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75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75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75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75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75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75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75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75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75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75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75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75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75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75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75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75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75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75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75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75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75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75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75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75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75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75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75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75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75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75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75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75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75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75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75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75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75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66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75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75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75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75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75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75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75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75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75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75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75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75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75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75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75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75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75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75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75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75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75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75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75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75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75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75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75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75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75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75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75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75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75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75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75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75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75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75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75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75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75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75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75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75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75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75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75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75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75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75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75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75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75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75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75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75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75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75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75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75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75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75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75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75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75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75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75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75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75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75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75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75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75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75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75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75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66" si="1544">+BW725+1</f>
        <v>717</v>
      </c>
      <c r="BZ726" s="1"/>
      <c r="CA726" s="61"/>
    </row>
    <row r="727" spans="2:79" x14ac:dyDescent="0.75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75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75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75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75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75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75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75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75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75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75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75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75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75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75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75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75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75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75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75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75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75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75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75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75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75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75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75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75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75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75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75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75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75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75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75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75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75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75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75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75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75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75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75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75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75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75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75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75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75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75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75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75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75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75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75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75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75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75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75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75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75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75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75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75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75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75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75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75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75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75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75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75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75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75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75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75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75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75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75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75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75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75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75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75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75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75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75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75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>
        <f>SUM(BA815:BA821)</f>
        <v>7094725</v>
      </c>
      <c r="BZ815" s="1"/>
      <c r="CA815" s="61"/>
    </row>
    <row r="816" spans="2:79" x14ac:dyDescent="0.75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75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75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75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75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75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75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75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75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75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75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75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75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75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75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75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75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77" x14ac:dyDescent="0.75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77" x14ac:dyDescent="0.75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77" x14ac:dyDescent="0.75">
      <c r="B835" s="158">
        <f t="shared" ref="B835:B870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77" x14ac:dyDescent="0.75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77" x14ac:dyDescent="0.75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77" x14ac:dyDescent="0.75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77" x14ac:dyDescent="0.75">
      <c r="B839" s="158">
        <f t="shared" si="3706"/>
        <v>44739</v>
      </c>
      <c r="C839" s="61"/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36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13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61">
        <f t="shared" ref="AR839" si="3798">+AL839/AP838</f>
        <v>1.0707387206191571E-3</v>
      </c>
      <c r="AS839" s="25"/>
      <c r="AT839" s="25"/>
      <c r="AU839" s="24"/>
      <c r="AV839" s="298">
        <f t="shared" ref="AV839" si="3799">+AP839/H839</f>
        <v>1.1078769382371174</v>
      </c>
      <c r="AW839" s="298"/>
      <c r="AX839" s="24">
        <f t="shared" ref="AX839" si="3800">+AP839/BW839</f>
        <v>101932.65903614459</v>
      </c>
      <c r="AY839" s="308"/>
      <c r="BA839" s="65">
        <f t="shared" ref="BA839" si="3801">+BC839-BC838</f>
        <v>802317</v>
      </c>
      <c r="BB839" s="66"/>
      <c r="BC839" s="66">
        <v>1049371874</v>
      </c>
      <c r="BD839" s="66"/>
      <c r="BE839" s="66">
        <f t="shared" ref="BE839" si="3802">+D839</f>
        <v>52403</v>
      </c>
      <c r="BF839" s="66"/>
      <c r="BG839" s="144">
        <f t="shared" ref="BG839" si="3803">+BE839/BA839</f>
        <v>6.5314582640028818E-2</v>
      </c>
      <c r="BH839" s="66"/>
      <c r="BI839" s="170"/>
      <c r="BJ839" s="66"/>
      <c r="BK839" s="66"/>
      <c r="BL839" s="66"/>
      <c r="BM839" s="144"/>
      <c r="BN839" s="65">
        <f t="shared" ref="BN839" si="3804">+BC839/BW839</f>
        <v>1264303.4626506025</v>
      </c>
      <c r="BO839" s="66"/>
      <c r="BP839" s="66">
        <f t="shared" ref="BP839" si="3805">+BP838+BE839</f>
        <v>75459001</v>
      </c>
      <c r="BQ839" s="66"/>
      <c r="BR839" s="435">
        <f t="shared" ref="BR839" si="3806">+BP839/BC839</f>
        <v>7.1908732137411946E-2</v>
      </c>
      <c r="BS839" s="66"/>
      <c r="BT839" s="75"/>
      <c r="BU839" s="170"/>
      <c r="BV839" s="1"/>
      <c r="BW839" s="61">
        <f t="shared" si="1544"/>
        <v>830</v>
      </c>
      <c r="BY839" s="59"/>
    </row>
    <row r="840" spans="2:77" x14ac:dyDescent="0.75">
      <c r="B840" s="158">
        <f t="shared" si="3706"/>
        <v>44740</v>
      </c>
      <c r="C840" s="61"/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36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13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61">
        <f t="shared" ref="AR840" si="3818">+AL840/AP839</f>
        <v>1.2350700658066162E-3</v>
      </c>
      <c r="AS840" s="25"/>
      <c r="AT840" s="25"/>
      <c r="AU840" s="24"/>
      <c r="AV840" s="298">
        <f t="shared" ref="AV840" si="3819">+AP840/H840</f>
        <v>1.1081069258325398</v>
      </c>
      <c r="AW840" s="298"/>
      <c r="AX840" s="24">
        <f t="shared" ref="AX840" si="3820">+AP840/BW840</f>
        <v>101935.73886883273</v>
      </c>
      <c r="AY840" s="308"/>
      <c r="BA840" s="65">
        <f t="shared" ref="BA840" si="3821">+BC840-BC839</f>
        <v>577655</v>
      </c>
      <c r="BB840" s="66"/>
      <c r="BC840" s="66">
        <v>1049949529</v>
      </c>
      <c r="BD840" s="66"/>
      <c r="BE840" s="66">
        <f t="shared" ref="BE840" si="3822">+D840</f>
        <v>78448</v>
      </c>
      <c r="BF840" s="66"/>
      <c r="BG840" s="144">
        <f t="shared" ref="BG840" si="3823">+BE840/BA840</f>
        <v>0.13580424301702573</v>
      </c>
      <c r="BH840" s="66"/>
      <c r="BI840" s="170"/>
      <c r="BJ840" s="66"/>
      <c r="BK840" s="66"/>
      <c r="BL840" s="66"/>
      <c r="BM840" s="144"/>
      <c r="BN840" s="65">
        <f t="shared" ref="BN840" si="3824">+BC840/BW840</f>
        <v>1263477.1708784597</v>
      </c>
      <c r="BO840" s="66"/>
      <c r="BP840" s="66">
        <f t="shared" ref="BP840" si="3825">+BP839+BE840</f>
        <v>75537449</v>
      </c>
      <c r="BQ840" s="66"/>
      <c r="BR840" s="435">
        <f t="shared" ref="BR840" si="3826">+BP840/BC840</f>
        <v>7.1943885790342596E-2</v>
      </c>
      <c r="BS840" s="66"/>
      <c r="BT840" s="75"/>
      <c r="BU840" s="170"/>
      <c r="BV840" s="1"/>
      <c r="BW840" s="61">
        <f t="shared" si="1544"/>
        <v>831</v>
      </c>
      <c r="BY840" s="59"/>
    </row>
    <row r="841" spans="2:77" x14ac:dyDescent="0.75">
      <c r="B841" s="158">
        <f t="shared" si="3706"/>
        <v>44741</v>
      </c>
      <c r="C841" s="61"/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36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13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61">
        <f t="shared" ref="AR841" si="3838">+AL841/AP840</f>
        <v>1.2035968154779659E-3</v>
      </c>
      <c r="AS841" s="25"/>
      <c r="AT841" s="25"/>
      <c r="AU841" s="24"/>
      <c r="AV841" s="298">
        <f t="shared" ref="AV841" si="3839">+AP841/H841</f>
        <v>1.1079875122353369</v>
      </c>
      <c r="AW841" s="298"/>
      <c r="AX841" s="24">
        <f t="shared" ref="AX841" si="3840">+AP841/BW841</f>
        <v>101935.76201923077</v>
      </c>
      <c r="AY841" s="308"/>
      <c r="BA841" s="65">
        <f t="shared" ref="BA841" si="3841">+BC841-BC840</f>
        <v>958071</v>
      </c>
      <c r="BB841" s="66"/>
      <c r="BC841" s="66">
        <v>1050907600</v>
      </c>
      <c r="BD841" s="66"/>
      <c r="BE841" s="66">
        <f t="shared" ref="BE841" si="3842">+D841</f>
        <v>100257</v>
      </c>
      <c r="BF841" s="66"/>
      <c r="BG841" s="144">
        <f t="shared" ref="BG841" si="3843">+BE841/BA841</f>
        <v>0.10464464533421844</v>
      </c>
      <c r="BH841" s="66"/>
      <c r="BI841" s="170"/>
      <c r="BJ841" s="66"/>
      <c r="BK841" s="66"/>
      <c r="BL841" s="66"/>
      <c r="BM841" s="144"/>
      <c r="BN841" s="65">
        <f t="shared" ref="BN841" si="3844">+BC841/BW841</f>
        <v>1263110.0961538462</v>
      </c>
      <c r="BO841" s="66"/>
      <c r="BP841" s="66">
        <f t="shared" ref="BP841" si="3845">+BP840+BE841</f>
        <v>75637706</v>
      </c>
      <c r="BQ841" s="66"/>
      <c r="BR841" s="435">
        <f t="shared" ref="BR841" si="3846">+BP841/BC841</f>
        <v>7.1973697782754642E-2</v>
      </c>
      <c r="BS841" s="66"/>
      <c r="BT841" s="75"/>
      <c r="BU841" s="170"/>
      <c r="BV841" s="1"/>
      <c r="BW841" s="61">
        <f t="shared" si="1544"/>
        <v>832</v>
      </c>
      <c r="BY841" s="59"/>
    </row>
    <row r="842" spans="2:77" x14ac:dyDescent="0.75">
      <c r="B842" s="158">
        <f t="shared" si="3706"/>
        <v>44742</v>
      </c>
      <c r="C842" s="61"/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36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13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61">
        <f t="shared" ref="AR842" si="3858">+AL842/AP841</f>
        <v>1.2479225168131787E-3</v>
      </c>
      <c r="AS842" s="25"/>
      <c r="AT842" s="25"/>
      <c r="AU842" s="24"/>
      <c r="AV842" s="298">
        <f t="shared" ref="AV842" si="3859">+AP842/H842</f>
        <v>1.1081255335658078</v>
      </c>
      <c r="AW842" s="298"/>
      <c r="AX842" s="24">
        <f t="shared" ref="AX842" si="3860">+AP842/BW842</f>
        <v>101940.44537815126</v>
      </c>
      <c r="AY842" s="308"/>
      <c r="BA842" s="65">
        <f t="shared" ref="BA842" si="3861">+BC842-BC841</f>
        <v>448878</v>
      </c>
      <c r="BB842" s="66"/>
      <c r="BC842" s="66">
        <v>1051356478</v>
      </c>
      <c r="BD842" s="66"/>
      <c r="BE842" s="66">
        <f t="shared" ref="BE842" si="3862">+D842</f>
        <v>85976</v>
      </c>
      <c r="BF842" s="66"/>
      <c r="BG842" s="144">
        <f t="shared" ref="BG842" si="3863">+BE842/BA842</f>
        <v>0.19153533922357521</v>
      </c>
      <c r="BH842" s="66"/>
      <c r="BI842" s="170"/>
      <c r="BJ842" s="66"/>
      <c r="BK842" s="66"/>
      <c r="BL842" s="66"/>
      <c r="BM842" s="144"/>
      <c r="BN842" s="65">
        <f t="shared" ref="BN842" si="3864">+BC842/BW842</f>
        <v>1262132.6266506603</v>
      </c>
      <c r="BO842" s="66"/>
      <c r="BP842" s="66">
        <f t="shared" ref="BP842" si="3865">+BP841+BE842</f>
        <v>75723682</v>
      </c>
      <c r="BQ842" s="66"/>
      <c r="BR842" s="435">
        <f t="shared" ref="BR842" si="3866">+BP842/BC842</f>
        <v>7.2024744779286942E-2</v>
      </c>
      <c r="BS842" s="66"/>
      <c r="BT842" s="75"/>
      <c r="BU842" s="170"/>
      <c r="BV842" s="1"/>
      <c r="BW842" s="61">
        <f t="shared" si="1544"/>
        <v>833</v>
      </c>
      <c r="BY842" s="59"/>
    </row>
    <row r="843" spans="2:77" x14ac:dyDescent="0.75">
      <c r="B843" s="158">
        <f t="shared" si="3706"/>
        <v>44743</v>
      </c>
      <c r="C843" s="61"/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36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13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61">
        <f t="shared" ref="AR843" si="3878">+AL843/AP842</f>
        <v>9.5095892617480646E-4</v>
      </c>
      <c r="AS843" s="25"/>
      <c r="AT843" s="25"/>
      <c r="AU843" s="24"/>
      <c r="AV843" s="298">
        <f t="shared" ref="AV843" si="3879">+AP843/H843</f>
        <v>1.1076935184771053</v>
      </c>
      <c r="AW843" s="298"/>
      <c r="AX843" s="24">
        <f t="shared" ref="AX843" si="3880">+AP843/BW843</f>
        <v>101915.03956834532</v>
      </c>
      <c r="AY843" s="308"/>
      <c r="BA843" s="65">
        <f t="shared" ref="BA843" si="3881">+BC843-BC842</f>
        <v>1443338</v>
      </c>
      <c r="BB843" s="66"/>
      <c r="BC843" s="66">
        <v>1052799816</v>
      </c>
      <c r="BD843" s="66"/>
      <c r="BE843" s="66">
        <f t="shared" ref="BE843" si="3882">+D843</f>
        <v>102788</v>
      </c>
      <c r="BF843" s="66"/>
      <c r="BG843" s="144">
        <f t="shared" ref="BG843" si="3883">+BE843/BA843</f>
        <v>7.1215474130106732E-2</v>
      </c>
      <c r="BH843" s="66"/>
      <c r="BI843" s="170"/>
      <c r="BJ843" s="66"/>
      <c r="BK843" s="66"/>
      <c r="BL843" s="66"/>
      <c r="BM843" s="144"/>
      <c r="BN843" s="65">
        <f t="shared" ref="BN843" si="3884">+BC843/BW843</f>
        <v>1262349.8992805756</v>
      </c>
      <c r="BO843" s="66"/>
      <c r="BP843" s="66">
        <f t="shared" ref="BP843" si="3885">+BP842+BE843</f>
        <v>75826470</v>
      </c>
      <c r="BQ843" s="66"/>
      <c r="BR843" s="435">
        <f t="shared" ref="BR843" si="3886">+BP843/BC843</f>
        <v>7.202363530808216E-2</v>
      </c>
      <c r="BS843" s="66"/>
      <c r="BT843" s="75"/>
      <c r="BU843" s="170"/>
      <c r="BV843" s="1"/>
      <c r="BW843" s="61">
        <f t="shared" si="1544"/>
        <v>834</v>
      </c>
      <c r="BY843" s="59"/>
    </row>
    <row r="844" spans="2:77" x14ac:dyDescent="0.75">
      <c r="B844" s="158">
        <f t="shared" si="3706"/>
        <v>44744</v>
      </c>
      <c r="C844" s="61"/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36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13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61">
        <f t="shared" ref="AR844" si="3898">+AL844/AP843</f>
        <v>1.5527580732919459E-4</v>
      </c>
      <c r="AS844" s="25"/>
      <c r="AT844" s="25"/>
      <c r="AU844" s="24"/>
      <c r="AV844" s="298">
        <f t="shared" ref="AV844" si="3899">+AP844/H844</f>
        <v>1.1076454552783068</v>
      </c>
      <c r="AW844" s="298"/>
      <c r="AX844" s="24">
        <f t="shared" ref="AX844" si="3900">+AP844/BW844</f>
        <v>101808.79161676647</v>
      </c>
      <c r="AY844" s="308"/>
      <c r="BA844" s="65">
        <f t="shared" ref="BA844" si="3901">+BC844-BC843</f>
        <v>74933</v>
      </c>
      <c r="BB844" s="66"/>
      <c r="BC844" s="66">
        <v>1052874749</v>
      </c>
      <c r="BD844" s="66"/>
      <c r="BE844" s="66">
        <f t="shared" ref="BE844" si="3902">+D844</f>
        <v>15245</v>
      </c>
      <c r="BF844" s="66"/>
      <c r="BG844" s="144">
        <f t="shared" ref="BG844" si="3903">+BE844/BA844</f>
        <v>0.20344841391643201</v>
      </c>
      <c r="BH844" s="66"/>
      <c r="BI844" s="170"/>
      <c r="BJ844" s="66"/>
      <c r="BK844" s="66"/>
      <c r="BL844" s="66"/>
      <c r="BM844" s="144"/>
      <c r="BN844" s="65">
        <f t="shared" ref="BN844" si="3904">+BC844/BW844</f>
        <v>1260927.8431137726</v>
      </c>
      <c r="BO844" s="66"/>
      <c r="BP844" s="66">
        <f t="shared" ref="BP844" si="3905">+BP843+BE844</f>
        <v>75841715</v>
      </c>
      <c r="BQ844" s="66"/>
      <c r="BR844" s="435">
        <f t="shared" ref="BR844" si="3906">+BP844/BC844</f>
        <v>7.2032988797606737E-2</v>
      </c>
      <c r="BS844" s="66"/>
      <c r="BT844" s="75"/>
      <c r="BU844" s="170"/>
      <c r="BV844" s="1"/>
      <c r="BW844" s="61">
        <f t="shared" si="1544"/>
        <v>835</v>
      </c>
      <c r="BY844" s="59"/>
    </row>
    <row r="845" spans="2:77" x14ac:dyDescent="0.75">
      <c r="B845" s="347">
        <f t="shared" si="3706"/>
        <v>44745</v>
      </c>
      <c r="C845" s="61"/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36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13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61">
        <f t="shared" ref="AR845" si="3918">+AL845/AP844</f>
        <v>1.9116615471522459E-3</v>
      </c>
      <c r="AS845" s="25"/>
      <c r="AT845" s="25"/>
      <c r="AU845" s="24"/>
      <c r="AV845" s="298">
        <f t="shared" ref="AV845" si="3919">+AP845/H845</f>
        <v>1.1096169615082636</v>
      </c>
      <c r="AW845" s="298"/>
      <c r="AX845" s="24">
        <f t="shared" ref="AX845" si="3920">+AP845/BW845</f>
        <v>101881.4019138756</v>
      </c>
      <c r="AY845" s="308"/>
      <c r="BA845" s="65">
        <f t="shared" ref="BA845" si="3921">+BC845-BC844</f>
        <v>69254</v>
      </c>
      <c r="BB845" s="66"/>
      <c r="BC845" s="66">
        <v>1052944003</v>
      </c>
      <c r="BD845" s="66"/>
      <c r="BE845" s="66">
        <f t="shared" ref="BE845" si="3922">+D845</f>
        <v>10094</v>
      </c>
      <c r="BF845" s="66"/>
      <c r="BG845" s="144">
        <f t="shared" ref="BG845" si="3923">+BE845/BA845</f>
        <v>0.14575331388800647</v>
      </c>
      <c r="BH845" s="66"/>
      <c r="BI845" s="170"/>
      <c r="BJ845" s="66"/>
      <c r="BK845" s="66"/>
      <c r="BL845" s="66"/>
      <c r="BM845" s="144"/>
      <c r="BN845" s="65">
        <f t="shared" ref="BN845" si="3924">+BC845/BW845</f>
        <v>1259502.3959330143</v>
      </c>
      <c r="BO845" s="66"/>
      <c r="BP845" s="66">
        <f t="shared" ref="BP845" si="3925">+BP844+BE845</f>
        <v>75851809</v>
      </c>
      <c r="BQ845" s="66"/>
      <c r="BR845" s="435">
        <f t="shared" ref="BR845" si="3926">+BP845/BC845</f>
        <v>7.2037837514517852E-2</v>
      </c>
      <c r="BS845" s="66"/>
      <c r="BT845" s="75"/>
      <c r="BU845" s="170"/>
      <c r="BV845" s="1"/>
      <c r="BW845" s="61">
        <f t="shared" si="1544"/>
        <v>836</v>
      </c>
      <c r="BY845" s="59"/>
    </row>
    <row r="846" spans="2:77" x14ac:dyDescent="0.75">
      <c r="B846" s="158">
        <f t="shared" si="3706"/>
        <v>44746</v>
      </c>
      <c r="C846" s="61"/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36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13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61">
        <f t="shared" ref="AR846" si="3938">+AL846/AP845</f>
        <v>1.329637288651553E-3</v>
      </c>
      <c r="AS846" s="25"/>
      <c r="AT846" s="25"/>
      <c r="AU846" s="24"/>
      <c r="AV846" s="298">
        <f t="shared" ref="AV846" si="3939">+AP846/H846</f>
        <v>1.1108996179132984</v>
      </c>
      <c r="AW846" s="298"/>
      <c r="AX846" s="24">
        <f t="shared" ref="AX846" si="3940">+AP846/BW846</f>
        <v>101894.98327359618</v>
      </c>
      <c r="AY846" s="308"/>
      <c r="BA846" s="65">
        <f t="shared" ref="BA846" si="3941">+BC846-BC845</f>
        <v>43799</v>
      </c>
      <c r="BB846" s="66"/>
      <c r="BC846" s="66">
        <v>1052987802</v>
      </c>
      <c r="BD846" s="66"/>
      <c r="BE846" s="66">
        <f t="shared" ref="BE846" si="3942">+D846</f>
        <v>13317</v>
      </c>
      <c r="BF846" s="66"/>
      <c r="BG846" s="144">
        <f t="shared" ref="BG846" si="3943">+BE846/BA846</f>
        <v>0.30404803762642985</v>
      </c>
      <c r="BH846" s="66"/>
      <c r="BI846" s="170"/>
      <c r="BJ846" s="66"/>
      <c r="BK846" s="66"/>
      <c r="BL846" s="66"/>
      <c r="BM846" s="144"/>
      <c r="BN846" s="65">
        <f t="shared" ref="BN846" si="3944">+BC846/BW846</f>
        <v>1258049.9426523298</v>
      </c>
      <c r="BO846" s="66"/>
      <c r="BP846" s="66">
        <f t="shared" ref="BP846" si="3945">+BP845+BE846</f>
        <v>75865126</v>
      </c>
      <c r="BQ846" s="66"/>
      <c r="BR846" s="435">
        <f t="shared" ref="BR846" si="3946">+BP846/BC846</f>
        <v>7.2047487972704924E-2</v>
      </c>
      <c r="BS846" s="66"/>
      <c r="BT846" s="75"/>
      <c r="BU846" s="170"/>
      <c r="BV846" s="1"/>
      <c r="BW846" s="61">
        <f t="shared" si="1544"/>
        <v>837</v>
      </c>
      <c r="BY846" s="59"/>
    </row>
    <row r="847" spans="2:77" x14ac:dyDescent="0.75">
      <c r="B847" s="158">
        <f t="shared" si="3706"/>
        <v>44747</v>
      </c>
      <c r="C847" s="61"/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36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13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61">
        <f t="shared" ref="AR847" si="3958">+AL847/AP846</f>
        <v>1.2167164260446141E-3</v>
      </c>
      <c r="AS847" s="25"/>
      <c r="AT847" s="25"/>
      <c r="AU847" s="24"/>
      <c r="AV847" s="298">
        <f t="shared" ref="AV847" si="3959">+AP847/H847</f>
        <v>1.1115897907449537</v>
      </c>
      <c r="AW847" s="298"/>
      <c r="AX847" s="24">
        <f t="shared" ref="AX847" si="3960">+AP847/BW847</f>
        <v>101897.21957040572</v>
      </c>
      <c r="AY847" s="308"/>
      <c r="BA847" s="65">
        <f t="shared" ref="BA847" si="3961">+BC847-BC846</f>
        <v>1112444</v>
      </c>
      <c r="BB847" s="66"/>
      <c r="BC847" s="66">
        <v>1054100246</v>
      </c>
      <c r="BD847" s="66"/>
      <c r="BE847" s="66">
        <f t="shared" ref="BE847" si="3962">+D847</f>
        <v>45685</v>
      </c>
      <c r="BF847" s="66"/>
      <c r="BG847" s="144">
        <f t="shared" ref="BG847" si="3963">+BE847/BA847</f>
        <v>4.1067235744001493E-2</v>
      </c>
      <c r="BH847" s="66"/>
      <c r="BI847" s="170"/>
      <c r="BJ847" s="66"/>
      <c r="BK847" s="66"/>
      <c r="BL847" s="66"/>
      <c r="BM847" s="144"/>
      <c r="BN847" s="65">
        <f t="shared" ref="BN847" si="3964">+BC847/BW847</f>
        <v>1257876.1885441528</v>
      </c>
      <c r="BO847" s="66"/>
      <c r="BP847" s="66">
        <f t="shared" ref="BP847" si="3965">+BP846+BE847</f>
        <v>75910811</v>
      </c>
      <c r="BQ847" s="66"/>
      <c r="BR847" s="435">
        <f t="shared" ref="BR847" si="3966">+BP847/BC847</f>
        <v>7.2014792983930292E-2</v>
      </c>
      <c r="BS847" s="66"/>
      <c r="BT847" s="75"/>
      <c r="BU847" s="170"/>
      <c r="BV847" s="1"/>
      <c r="BW847" s="61">
        <f t="shared" si="1544"/>
        <v>838</v>
      </c>
      <c r="BY847" s="59"/>
    </row>
    <row r="848" spans="2:77" x14ac:dyDescent="0.75">
      <c r="B848" s="158">
        <f t="shared" si="3706"/>
        <v>44748</v>
      </c>
      <c r="C848" s="61"/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36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13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61">
        <f t="shared" ref="AR848" si="3978">+AL848/AP847</f>
        <v>1.6148519724880715E-3</v>
      </c>
      <c r="AS848" s="25"/>
      <c r="AT848" s="25"/>
      <c r="AU848" s="24"/>
      <c r="AV848" s="298">
        <f t="shared" ref="AV848" si="3979">+AP848/H848</f>
        <v>1.1119380378058685</v>
      </c>
      <c r="AW848" s="298"/>
      <c r="AX848" s="24">
        <f t="shared" ref="AX848" si="3980">+AP848/BW848</f>
        <v>101940.12157330156</v>
      </c>
      <c r="AY848" s="308"/>
      <c r="BA848" s="65">
        <f t="shared" ref="BA848" si="3981">+BC848-BC847</f>
        <v>865796</v>
      </c>
      <c r="BB848" s="66"/>
      <c r="BC848" s="66">
        <v>1054966042</v>
      </c>
      <c r="BD848" s="66"/>
      <c r="BE848" s="66">
        <f t="shared" ref="BE848" si="3982">+D848</f>
        <v>99952</v>
      </c>
      <c r="BF848" s="66"/>
      <c r="BG848" s="144">
        <f t="shared" ref="BG848" si="3983">+BE848/BA848</f>
        <v>0.11544520880207347</v>
      </c>
      <c r="BH848" s="66"/>
      <c r="BI848" s="170"/>
      <c r="BJ848" s="66"/>
      <c r="BK848" s="66"/>
      <c r="BL848" s="66"/>
      <c r="BM848" s="144"/>
      <c r="BN848" s="65">
        <f t="shared" ref="BN848" si="3984">+BC848/BW848</f>
        <v>1257408.8700834326</v>
      </c>
      <c r="BO848" s="66"/>
      <c r="BP848" s="66">
        <f t="shared" ref="BP848" si="3985">+BP847+BE848</f>
        <v>76010763</v>
      </c>
      <c r="BQ848" s="66"/>
      <c r="BR848" s="435">
        <f t="shared" ref="BR848" si="3986">+BP848/BC848</f>
        <v>7.2050435723882755E-2</v>
      </c>
      <c r="BS848" s="66"/>
      <c r="BT848" s="75"/>
      <c r="BU848" s="170"/>
      <c r="BV848" s="1"/>
      <c r="BW848" s="61">
        <f t="shared" si="1544"/>
        <v>839</v>
      </c>
      <c r="BY848" s="59"/>
    </row>
    <row r="849" spans="2:77" x14ac:dyDescent="0.75">
      <c r="B849" s="158">
        <f t="shared" si="3706"/>
        <v>44749</v>
      </c>
      <c r="C849" s="61"/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36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13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61">
        <f t="shared" ref="AR849" si="3998">+AL849/AP848</f>
        <v>1.1296916666660821E-3</v>
      </c>
      <c r="AS849" s="25"/>
      <c r="AT849" s="25"/>
      <c r="AU849" s="24"/>
      <c r="AV849" s="298">
        <f t="shared" ref="AV849" si="3999">+AP849/H849</f>
        <v>1.1118719262849759</v>
      </c>
      <c r="AW849" s="298"/>
      <c r="AX849" s="24">
        <f t="shared" ref="AX849" si="4000">+AP849/BW849</f>
        <v>101933.78809523809</v>
      </c>
      <c r="AY849" s="308"/>
      <c r="BA849" s="65">
        <f t="shared" ref="BA849" si="4001">+BC849-BC848</f>
        <v>349859</v>
      </c>
      <c r="BB849" s="66"/>
      <c r="BC849" s="66">
        <v>1055315901</v>
      </c>
      <c r="BD849" s="66"/>
      <c r="BE849" s="66">
        <f t="shared" ref="BE849" si="4002">+D849</f>
        <v>91472</v>
      </c>
      <c r="BF849" s="66"/>
      <c r="BG849" s="144">
        <f t="shared" ref="BG849" si="4003">+BE849/BA849</f>
        <v>0.26145389999971419</v>
      </c>
      <c r="BH849" s="66"/>
      <c r="BI849" s="170"/>
      <c r="BJ849" s="66"/>
      <c r="BK849" s="66"/>
      <c r="BL849" s="66"/>
      <c r="BM849" s="144"/>
      <c r="BN849" s="65">
        <f t="shared" ref="BN849" si="4004">+BC849/BW849</f>
        <v>1256328.4535714285</v>
      </c>
      <c r="BO849" s="66"/>
      <c r="BP849" s="66">
        <f t="shared" ref="BP849" si="4005">+BP848+BE849</f>
        <v>76102235</v>
      </c>
      <c r="BQ849" s="66"/>
      <c r="BR849" s="435">
        <f t="shared" ref="BR849" si="4006">+BP849/BC849</f>
        <v>7.211322688105691E-2</v>
      </c>
      <c r="BS849" s="66"/>
      <c r="BT849" s="75"/>
      <c r="BU849" s="170"/>
      <c r="BV849" s="1"/>
      <c r="BW849" s="61">
        <f t="shared" si="1544"/>
        <v>840</v>
      </c>
      <c r="BY849" s="59"/>
    </row>
    <row r="850" spans="2:77" x14ac:dyDescent="0.75">
      <c r="B850" s="158">
        <f t="shared" si="3706"/>
        <v>44750</v>
      </c>
      <c r="C850" s="61"/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36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13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61">
        <f t="shared" ref="AR850" si="4018">+AL850/AP849</f>
        <v>1.0701741473591016E-3</v>
      </c>
      <c r="AS850" s="25"/>
      <c r="AT850" s="25"/>
      <c r="AU850" s="24"/>
      <c r="AV850" s="298">
        <f t="shared" ref="AV850" si="4019">+AP850/H850</f>
        <v>1.1115033496422781</v>
      </c>
      <c r="AW850" s="298"/>
      <c r="AX850" s="24">
        <f t="shared" ref="AX850" si="4020">+AP850/BW850</f>
        <v>101921.53983353151</v>
      </c>
      <c r="AY850" s="308"/>
      <c r="BA850" s="65">
        <f t="shared" ref="BA850" si="4021">+BC850-BC849</f>
        <v>1478632</v>
      </c>
      <c r="BB850" s="66"/>
      <c r="BC850" s="66">
        <v>1056794533</v>
      </c>
      <c r="BD850" s="66"/>
      <c r="BE850" s="66">
        <f t="shared" ref="BE850" si="4022">+D850</f>
        <v>107977</v>
      </c>
      <c r="BF850" s="66"/>
      <c r="BG850" s="144">
        <f t="shared" ref="BG850" si="4023">+BE850/BA850</f>
        <v>7.3024931152578867E-2</v>
      </c>
      <c r="BH850" s="66"/>
      <c r="BI850" s="170"/>
      <c r="BJ850" s="66"/>
      <c r="BK850" s="66"/>
      <c r="BL850" s="66"/>
      <c r="BM850" s="144"/>
      <c r="BN850" s="65">
        <f t="shared" ref="BN850" si="4024">+BC850/BW850</f>
        <v>1256592.7859690844</v>
      </c>
      <c r="BO850" s="66"/>
      <c r="BP850" s="66">
        <f t="shared" ref="BP850" si="4025">+BP849+BE850</f>
        <v>76210212</v>
      </c>
      <c r="BQ850" s="66"/>
      <c r="BR850" s="435">
        <f t="shared" ref="BR850" si="4026">+BP850/BC850</f>
        <v>7.2114502507556022E-2</v>
      </c>
      <c r="BS850" s="66"/>
      <c r="BT850" s="75"/>
      <c r="BU850" s="170"/>
      <c r="BV850" s="1"/>
      <c r="BW850" s="61">
        <f t="shared" si="1544"/>
        <v>841</v>
      </c>
      <c r="BY850" s="59"/>
    </row>
    <row r="851" spans="2:77" x14ac:dyDescent="0.75">
      <c r="B851" s="158">
        <f t="shared" si="3706"/>
        <v>44751</v>
      </c>
      <c r="C851" s="61"/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36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13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61">
        <f t="shared" ref="AR851" si="4038">+AL851/AP850</f>
        <v>5.9144140100306805E-4</v>
      </c>
      <c r="AS851" s="25"/>
      <c r="AT851" s="25"/>
      <c r="AU851" s="24"/>
      <c r="AV851" s="298">
        <f t="shared" ref="AV851" si="4039">+AP851/H851</f>
        <v>1.1117122030317088</v>
      </c>
      <c r="AW851" s="298"/>
      <c r="AX851" s="24">
        <f t="shared" ref="AX851" si="4040">+AP851/BW851</f>
        <v>101860.70190023753</v>
      </c>
      <c r="AY851" s="308"/>
      <c r="BA851" s="65">
        <f t="shared" ref="BA851" si="4041">+BC851-BC850</f>
        <v>164547</v>
      </c>
      <c r="BB851" s="66"/>
      <c r="BC851" s="66">
        <v>1056959080</v>
      </c>
      <c r="BD851" s="66"/>
      <c r="BE851" s="66">
        <f t="shared" ref="BE851" si="4042">+D851</f>
        <v>31114</v>
      </c>
      <c r="BF851" s="66"/>
      <c r="BG851" s="144">
        <f t="shared" ref="BG851" si="4043">+BE851/BA851</f>
        <v>0.18908883176235361</v>
      </c>
      <c r="BH851" s="66"/>
      <c r="BI851" s="170"/>
      <c r="BJ851" s="66"/>
      <c r="BK851" s="66"/>
      <c r="BL851" s="66"/>
      <c r="BM851" s="144"/>
      <c r="BN851" s="65">
        <f t="shared" ref="BN851" si="4044">+BC851/BW851</f>
        <v>1255295.8194774347</v>
      </c>
      <c r="BO851" s="66"/>
      <c r="BP851" s="66">
        <f t="shared" ref="BP851" si="4045">+BP850+BE851</f>
        <v>76241326</v>
      </c>
      <c r="BQ851" s="66"/>
      <c r="BR851" s="435">
        <f t="shared" ref="BR851" si="4046">+BP851/BC851</f>
        <v>7.2132713028019962E-2</v>
      </c>
      <c r="BS851" s="66"/>
      <c r="BT851" s="75"/>
      <c r="BU851" s="170"/>
      <c r="BV851" s="1"/>
      <c r="BW851" s="61">
        <f t="shared" si="1544"/>
        <v>842</v>
      </c>
      <c r="BY851" s="59"/>
    </row>
    <row r="852" spans="2:77" x14ac:dyDescent="0.75">
      <c r="B852" s="347">
        <f t="shared" si="3706"/>
        <v>44752</v>
      </c>
      <c r="C852" s="61"/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36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13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61">
        <f t="shared" ref="AR852" si="4058">+AL852/AP851</f>
        <v>2.6638540447237156E-4</v>
      </c>
      <c r="AS852" s="25"/>
      <c r="AT852" s="25"/>
      <c r="AU852" s="24"/>
      <c r="AV852" s="298">
        <f t="shared" ref="AV852" si="4059">+AP852/H852</f>
        <v>1.1116633994945566</v>
      </c>
      <c r="AW852" s="298"/>
      <c r="AX852" s="24">
        <f t="shared" ref="AX852" si="4060">+AP852/BW852</f>
        <v>101766.97271648873</v>
      </c>
      <c r="AY852" s="308"/>
      <c r="BA852" s="65">
        <f t="shared" ref="BA852" si="4061">+BC852-BC851</f>
        <v>150891</v>
      </c>
      <c r="BB852" s="66"/>
      <c r="BC852" s="66">
        <v>1057109971</v>
      </c>
      <c r="BD852" s="66"/>
      <c r="BE852" s="66">
        <f t="shared" ref="BE852" si="4062">+D852</f>
        <v>23939</v>
      </c>
      <c r="BF852" s="66"/>
      <c r="BG852" s="144">
        <f t="shared" ref="BG852" si="4063">+BE852/BA852</f>
        <v>0.15865094670987667</v>
      </c>
      <c r="BH852" s="66"/>
      <c r="BI852" s="170"/>
      <c r="BJ852" s="66"/>
      <c r="BK852" s="66"/>
      <c r="BL852" s="66"/>
      <c r="BM852" s="144"/>
      <c r="BN852" s="65">
        <f t="shared" ref="BN852" si="4064">+BC852/BW852</f>
        <v>1253985.7307236062</v>
      </c>
      <c r="BO852" s="66"/>
      <c r="BP852" s="66">
        <f t="shared" ref="BP852" si="4065">+BP851+BE852</f>
        <v>76265265</v>
      </c>
      <c r="BQ852" s="66"/>
      <c r="BR852" s="435">
        <f t="shared" ref="BR852" si="4066">+BP852/BC852</f>
        <v>7.2145062568897106E-2</v>
      </c>
      <c r="BS852" s="66"/>
      <c r="BT852" s="75"/>
      <c r="BU852" s="170"/>
      <c r="BV852" s="1"/>
      <c r="BW852" s="61">
        <f t="shared" si="1544"/>
        <v>843</v>
      </c>
      <c r="BY852" s="59"/>
    </row>
    <row r="853" spans="2:77" x14ac:dyDescent="0.75">
      <c r="B853" s="158">
        <f t="shared" si="3706"/>
        <v>44753</v>
      </c>
      <c r="C853" s="61"/>
      <c r="D853" s="17">
        <v>57970</v>
      </c>
      <c r="E853" s="16"/>
      <c r="F853" s="16"/>
      <c r="G853" s="16"/>
      <c r="H853" s="16">
        <f t="shared" ref="H853" si="4067">+H852+D853</f>
        <v>77230213</v>
      </c>
      <c r="I853" s="16"/>
      <c r="J853" s="436">
        <f t="shared" ref="J853" si="4068">+D853/H852</f>
        <v>7.5117681884664153E-4</v>
      </c>
      <c r="K853" s="16"/>
      <c r="L853" s="16"/>
      <c r="M853" s="16"/>
      <c r="N853" s="16">
        <f t="shared" ref="N853" si="4069">SUM(D847:D853)</f>
        <v>458109</v>
      </c>
      <c r="O853" s="16">
        <f t="shared" ref="O853" si="4070">+H853/BW853</f>
        <v>91504.991706161134</v>
      </c>
      <c r="P853" s="41"/>
      <c r="Q853" s="17">
        <f t="shared" ref="Q853" si="4071">SUM(D847:D853)</f>
        <v>458109</v>
      </c>
      <c r="R853" s="16"/>
      <c r="S853" s="60">
        <f t="shared" ref="S853" si="4072">+(Q853-Q846)/Q846</f>
        <v>0.128</v>
      </c>
      <c r="T853" s="16"/>
      <c r="U853" s="41"/>
      <c r="V853" s="10">
        <f t="shared" si="558"/>
        <v>745</v>
      </c>
      <c r="W853" s="34">
        <v>122</v>
      </c>
      <c r="X853" s="33">
        <v>4256</v>
      </c>
      <c r="Y853" s="33"/>
      <c r="Z853" s="33">
        <f t="shared" ref="Z853" si="4073">SUM(W848:W853)</f>
        <v>1144</v>
      </c>
      <c r="AA853" s="33">
        <f t="shared" ref="AA853" si="4074">+AA852+W853</f>
        <v>904854</v>
      </c>
      <c r="AB853" s="33"/>
      <c r="AC853" s="46">
        <f t="shared" ref="AC853" si="4075">+AA853/H853</f>
        <v>1.1716321434980375E-2</v>
      </c>
      <c r="AD853" s="33"/>
      <c r="AE853" s="33">
        <f t="shared" ref="AE853" si="4076">+AA853/BW853</f>
        <v>1072.1018957345971</v>
      </c>
      <c r="AF853" s="50"/>
      <c r="AG853" s="33"/>
      <c r="AH853" s="33"/>
      <c r="AI853" s="213"/>
      <c r="AJ853" s="50"/>
      <c r="AL853" s="23">
        <f t="shared" ref="AL853" si="4077">+AP853-AP852</f>
        <v>236883</v>
      </c>
      <c r="AM853" s="24"/>
      <c r="AN853" s="24"/>
      <c r="AO853" s="24">
        <v>178263</v>
      </c>
      <c r="AP853" s="24">
        <v>86026441</v>
      </c>
      <c r="AQ853" s="24">
        <v>20336656</v>
      </c>
      <c r="AR853" s="461">
        <f t="shared" ref="AR853" si="4078">+AL853/AP852</f>
        <v>2.7612101696572445E-3</v>
      </c>
      <c r="AS853" s="25"/>
      <c r="AT853" s="25"/>
      <c r="AU853" s="24"/>
      <c r="AV853" s="298">
        <f t="shared" ref="AV853" si="4079">+AP853/H853</f>
        <v>1.1138962027723529</v>
      </c>
      <c r="AW853" s="298"/>
      <c r="AX853" s="24">
        <f t="shared" ref="AX853" si="4080">+AP853/BW853</f>
        <v>101927.06279620853</v>
      </c>
      <c r="AY853" s="308"/>
      <c r="BA853" s="65">
        <f t="shared" ref="BA853" si="4081">+BC853-BC852</f>
        <v>574238</v>
      </c>
      <c r="BB853" s="66"/>
      <c r="BC853" s="66">
        <v>1057684209</v>
      </c>
      <c r="BD853" s="66"/>
      <c r="BE853" s="66">
        <f t="shared" ref="BE853" si="4082">+D853</f>
        <v>57970</v>
      </c>
      <c r="BF853" s="66"/>
      <c r="BG853" s="144">
        <f t="shared" ref="BG853" si="4083">+BE853/BA853</f>
        <v>0.10095117355521578</v>
      </c>
      <c r="BH853" s="66"/>
      <c r="BI853" s="170"/>
      <c r="BJ853" s="66"/>
      <c r="BK853" s="66"/>
      <c r="BL853" s="66"/>
      <c r="BM853" s="144"/>
      <c r="BN853" s="65">
        <f t="shared" ref="BN853" si="4084">+BC853/BW853</f>
        <v>1253180.3424170616</v>
      </c>
      <c r="BO853" s="66"/>
      <c r="BP853" s="66">
        <f t="shared" ref="BP853" si="4085">+BP852+BE853</f>
        <v>76323235</v>
      </c>
      <c r="BQ853" s="66"/>
      <c r="BR853" s="435">
        <f t="shared" ref="BR853" si="4086">+BP853/BC853</f>
        <v>7.2160701985104519E-2</v>
      </c>
      <c r="BS853" s="66"/>
      <c r="BT853" s="75"/>
      <c r="BU853" s="170"/>
      <c r="BV853" s="1"/>
      <c r="BW853" s="61">
        <f t="shared" si="1544"/>
        <v>844</v>
      </c>
      <c r="BY853" s="59"/>
    </row>
    <row r="854" spans="2:77" x14ac:dyDescent="0.75">
      <c r="B854" s="158">
        <f t="shared" si="3706"/>
        <v>44754</v>
      </c>
      <c r="C854" s="61"/>
      <c r="D854" s="17">
        <v>95342</v>
      </c>
      <c r="E854" s="16"/>
      <c r="F854" s="16"/>
      <c r="G854" s="16"/>
      <c r="H854" s="16">
        <f t="shared" ref="H854" si="4087">+H853+D854</f>
        <v>77325555</v>
      </c>
      <c r="I854" s="16"/>
      <c r="J854" s="436">
        <f t="shared" ref="J854" si="4088">+D854/H853</f>
        <v>1.234516859353994E-3</v>
      </c>
      <c r="K854" s="16"/>
      <c r="L854" s="16"/>
      <c r="M854" s="16"/>
      <c r="N854" s="16">
        <f t="shared" ref="N854" si="4089">SUM(D848:D854)</f>
        <v>507766</v>
      </c>
      <c r="O854" s="16">
        <f t="shared" ref="O854" si="4090">+H854/BW854</f>
        <v>91509.532544378701</v>
      </c>
      <c r="P854" s="41"/>
      <c r="Q854" s="17">
        <f t="shared" ref="Q854" si="4091">SUM(D848:D854)</f>
        <v>507766</v>
      </c>
      <c r="R854" s="16"/>
      <c r="S854" s="60">
        <f t="shared" ref="S854" si="4092">+(Q854-Q847)/Q847</f>
        <v>0.35998307272834407</v>
      </c>
      <c r="T854" s="16"/>
      <c r="U854" s="41"/>
      <c r="V854" s="10">
        <f t="shared" si="558"/>
        <v>746</v>
      </c>
      <c r="W854" s="34">
        <v>254</v>
      </c>
      <c r="X854" s="33">
        <v>4256</v>
      </c>
      <c r="Y854" s="33"/>
      <c r="Z854" s="33">
        <f t="shared" ref="Z854" si="4093">SUM(W849:W854)</f>
        <v>1051</v>
      </c>
      <c r="AA854" s="33">
        <f t="shared" ref="AA854" si="4094">+AA853+W854</f>
        <v>905108</v>
      </c>
      <c r="AB854" s="33"/>
      <c r="AC854" s="46">
        <f t="shared" ref="AC854" si="4095">+AA854/H854</f>
        <v>1.1705160085821563E-2</v>
      </c>
      <c r="AD854" s="33"/>
      <c r="AE854" s="33">
        <f t="shared" ref="AE854" si="4096">+AA854/BW854</f>
        <v>1071.133727810651</v>
      </c>
      <c r="AF854" s="50"/>
      <c r="AG854" s="33"/>
      <c r="AH854" s="33"/>
      <c r="AI854" s="213"/>
      <c r="AJ854" s="50"/>
      <c r="AL854" s="23">
        <f t="shared" ref="AL854" si="4097">+AP854-AP853</f>
        <v>111105</v>
      </c>
      <c r="AM854" s="24"/>
      <c r="AN854" s="24"/>
      <c r="AO854" s="24">
        <v>178263</v>
      </c>
      <c r="AP854" s="24">
        <v>86137546</v>
      </c>
      <c r="AQ854" s="24">
        <v>20336656</v>
      </c>
      <c r="AR854" s="461">
        <f t="shared" ref="AR854" si="4098">+AL854/AP853</f>
        <v>1.2915215218539612E-3</v>
      </c>
      <c r="AS854" s="25"/>
      <c r="AT854" s="25"/>
      <c r="AU854" s="24"/>
      <c r="AV854" s="298">
        <f t="shared" ref="AV854" si="4099">+AP854/H854</f>
        <v>1.1139596217576453</v>
      </c>
      <c r="AW854" s="298"/>
      <c r="AX854" s="24">
        <f t="shared" ref="AX854" si="4100">+AP854/BW854</f>
        <v>101937.92426035502</v>
      </c>
      <c r="AY854" s="308"/>
      <c r="BA854" s="65">
        <f t="shared" ref="BA854" si="4101">+BC854-BC853</f>
        <v>602969</v>
      </c>
      <c r="BB854" s="66"/>
      <c r="BC854" s="66">
        <v>1058287178</v>
      </c>
      <c r="BD854" s="66"/>
      <c r="BE854" s="66">
        <f t="shared" ref="BE854" si="4102">+D854</f>
        <v>95342</v>
      </c>
      <c r="BF854" s="66"/>
      <c r="BG854" s="144">
        <f t="shared" ref="BG854" si="4103">+BE854/BA854</f>
        <v>0.15812089842098018</v>
      </c>
      <c r="BH854" s="66"/>
      <c r="BI854" s="170"/>
      <c r="BJ854" s="66"/>
      <c r="BK854" s="66"/>
      <c r="BL854" s="66"/>
      <c r="BM854" s="144"/>
      <c r="BN854" s="65">
        <f t="shared" ref="BN854" si="4104">+BC854/BW854</f>
        <v>1252410.8615384616</v>
      </c>
      <c r="BO854" s="66"/>
      <c r="BP854" s="66">
        <f t="shared" ref="BP854" si="4105">+BP853+BE854</f>
        <v>76418577</v>
      </c>
      <c r="BQ854" s="66"/>
      <c r="BR854" s="435">
        <f t="shared" ref="BR854" si="4106">+BP854/BC854</f>
        <v>7.2209678609561692E-2</v>
      </c>
      <c r="BS854" s="66"/>
      <c r="BT854" s="75"/>
      <c r="BU854" s="170"/>
      <c r="BV854" s="1"/>
      <c r="BW854" s="61">
        <f t="shared" si="1544"/>
        <v>845</v>
      </c>
      <c r="BY854" s="59"/>
    </row>
    <row r="855" spans="2:77" x14ac:dyDescent="0.75">
      <c r="B855" s="158">
        <f t="shared" si="3706"/>
        <v>44755</v>
      </c>
      <c r="C855" s="61"/>
      <c r="D855" s="17">
        <v>107981</v>
      </c>
      <c r="E855" s="16"/>
      <c r="F855" s="16"/>
      <c r="G855" s="16"/>
      <c r="H855" s="16">
        <f t="shared" ref="H855" si="4107">+H854+D855</f>
        <v>77433536</v>
      </c>
      <c r="I855" s="16"/>
      <c r="J855" s="436">
        <f t="shared" ref="J855" si="4108">+D855/H854</f>
        <v>1.3964464917193289E-3</v>
      </c>
      <c r="K855" s="16"/>
      <c r="L855" s="16"/>
      <c r="M855" s="16"/>
      <c r="N855" s="16">
        <f t="shared" ref="N855" si="4109">SUM(D849:D855)</f>
        <v>515795</v>
      </c>
      <c r="O855" s="16">
        <f t="shared" ref="O855" si="4110">+H855/BW855</f>
        <v>91529.002364066197</v>
      </c>
      <c r="P855" s="41"/>
      <c r="Q855" s="17">
        <f t="shared" ref="Q855" si="4111">SUM(D849:D855)</f>
        <v>515795</v>
      </c>
      <c r="R855" s="16"/>
      <c r="S855" s="60">
        <f t="shared" ref="S855" si="4112">+(Q855-Q848)/Q848</f>
        <v>0.38261713357476201</v>
      </c>
      <c r="T855" s="16"/>
      <c r="U855" s="41"/>
      <c r="V855" s="10">
        <f t="shared" si="558"/>
        <v>747</v>
      </c>
      <c r="W855" s="34">
        <v>407</v>
      </c>
      <c r="X855" s="33">
        <v>4256</v>
      </c>
      <c r="Y855" s="33"/>
      <c r="Z855" s="33">
        <f t="shared" ref="Z855" si="4113">SUM(W850:W855)</f>
        <v>1138</v>
      </c>
      <c r="AA855" s="33">
        <f t="shared" ref="AA855" si="4114">+AA854+W855</f>
        <v>905515</v>
      </c>
      <c r="AB855" s="33"/>
      <c r="AC855" s="46">
        <f t="shared" ref="AC855" si="4115">+AA855/H855</f>
        <v>1.1694093370603661E-2</v>
      </c>
      <c r="AD855" s="33"/>
      <c r="AE855" s="33">
        <f t="shared" ref="AE855" si="4116">+AA855/BW855</f>
        <v>1070.3486997635935</v>
      </c>
      <c r="AF855" s="50"/>
      <c r="AG855" s="33"/>
      <c r="AH855" s="33"/>
      <c r="AI855" s="213"/>
      <c r="AJ855" s="50"/>
      <c r="AL855" s="23">
        <f t="shared" ref="AL855" si="4117">+AP855-AP854</f>
        <v>112779</v>
      </c>
      <c r="AM855" s="24"/>
      <c r="AN855" s="24"/>
      <c r="AO855" s="24">
        <v>178263</v>
      </c>
      <c r="AP855" s="24">
        <v>86250325</v>
      </c>
      <c r="AQ855" s="24">
        <v>20336656</v>
      </c>
      <c r="AR855" s="461">
        <f t="shared" ref="AR855" si="4118">+AL855/AP854</f>
        <v>1.3092896795550688E-3</v>
      </c>
      <c r="AS855" s="25"/>
      <c r="AT855" s="25"/>
      <c r="AU855" s="24"/>
      <c r="AV855" s="298">
        <f t="shared" ref="AV855" si="4119">+AP855/H855</f>
        <v>1.1138626679788974</v>
      </c>
      <c r="AW855" s="298"/>
      <c r="AX855" s="24">
        <f t="shared" ref="AX855" si="4120">+AP855/BW855</f>
        <v>101950.73877068558</v>
      </c>
      <c r="AY855" s="308"/>
      <c r="BA855" s="65">
        <f t="shared" ref="BA855" si="4121">+BC855-BC854</f>
        <v>809682</v>
      </c>
      <c r="BB855" s="66"/>
      <c r="BC855" s="66">
        <v>1059096860</v>
      </c>
      <c r="BD855" s="66"/>
      <c r="BE855" s="66">
        <f t="shared" ref="BE855" si="4122">+D855</f>
        <v>107981</v>
      </c>
      <c r="BF855" s="66"/>
      <c r="BG855" s="144">
        <f t="shared" ref="BG855" si="4123">+BE855/BA855</f>
        <v>0.13336223356824037</v>
      </c>
      <c r="BH855" s="66"/>
      <c r="BI855" s="170"/>
      <c r="BJ855" s="66"/>
      <c r="BK855" s="66"/>
      <c r="BL855" s="66"/>
      <c r="BM855" s="144"/>
      <c r="BN855" s="65">
        <f t="shared" ref="BN855" si="4124">+BC855/BW855</f>
        <v>1251887.5413711583</v>
      </c>
      <c r="BO855" s="66"/>
      <c r="BP855" s="66">
        <f t="shared" ref="BP855" si="4125">+BP854+BE855</f>
        <v>76526558</v>
      </c>
      <c r="BQ855" s="66"/>
      <c r="BR855" s="435">
        <f t="shared" ref="BR855" si="4126">+BP855/BC855</f>
        <v>7.225642987932189E-2</v>
      </c>
      <c r="BS855" s="66"/>
      <c r="BT855" s="75"/>
      <c r="BU855" s="170"/>
      <c r="BV855" s="1"/>
      <c r="BW855" s="61">
        <f t="shared" si="1544"/>
        <v>846</v>
      </c>
      <c r="BY855" s="59"/>
    </row>
    <row r="856" spans="2:77" x14ac:dyDescent="0.75">
      <c r="B856" s="158">
        <f t="shared" si="3706"/>
        <v>44756</v>
      </c>
      <c r="C856" s="61"/>
      <c r="D856" s="17">
        <v>95400</v>
      </c>
      <c r="E856" s="16"/>
      <c r="F856" s="16"/>
      <c r="G856" s="16"/>
      <c r="H856" s="16">
        <f t="shared" ref="H856" si="4127">+H855+D856</f>
        <v>77528936</v>
      </c>
      <c r="I856" s="16"/>
      <c r="J856" s="436">
        <f t="shared" ref="J856" si="4128">+D856/H855</f>
        <v>1.2320243259974592E-3</v>
      </c>
      <c r="K856" s="16"/>
      <c r="L856" s="16"/>
      <c r="M856" s="16"/>
      <c r="N856" s="16">
        <f t="shared" ref="N856" si="4129">SUM(D850:D856)</f>
        <v>519723</v>
      </c>
      <c r="O856" s="16">
        <f t="shared" ref="O856" si="4130">+H856/BW856</f>
        <v>91533.572609208975</v>
      </c>
      <c r="P856" s="41"/>
      <c r="Q856" s="17">
        <f t="shared" ref="Q856" si="4131">SUM(D850:D856)</f>
        <v>519723</v>
      </c>
      <c r="R856" s="16"/>
      <c r="S856" s="60">
        <f t="shared" ref="S856" si="4132">+(Q856-Q849)/Q849</f>
        <v>0.37292004025856351</v>
      </c>
      <c r="T856" s="16"/>
      <c r="U856" s="41"/>
      <c r="V856" s="10">
        <f t="shared" si="558"/>
        <v>748</v>
      </c>
      <c r="W856" s="34">
        <v>231</v>
      </c>
      <c r="X856" s="33">
        <v>4256</v>
      </c>
      <c r="Y856" s="33"/>
      <c r="Z856" s="33">
        <f t="shared" ref="Z856" si="4133">SUM(W851:W856)</f>
        <v>1066</v>
      </c>
      <c r="AA856" s="33">
        <f t="shared" ref="AA856" si="4134">+AA855+W856</f>
        <v>905746</v>
      </c>
      <c r="AB856" s="33"/>
      <c r="AC856" s="46">
        <f t="shared" ref="AC856" si="4135">+AA856/H856</f>
        <v>1.1682683224235142E-2</v>
      </c>
      <c r="AD856" s="33"/>
      <c r="AE856" s="33">
        <f t="shared" ref="AE856" si="4136">+AA856/BW856</f>
        <v>1069.357733175915</v>
      </c>
      <c r="AF856" s="50"/>
      <c r="AG856" s="33"/>
      <c r="AH856" s="33"/>
      <c r="AI856" s="213"/>
      <c r="AJ856" s="50"/>
      <c r="AL856" s="23">
        <f t="shared" ref="AL856" si="4137">+AP856-AP855</f>
        <v>121616</v>
      </c>
      <c r="AM856" s="24"/>
      <c r="AN856" s="24"/>
      <c r="AO856" s="24">
        <v>178263</v>
      </c>
      <c r="AP856" s="24">
        <v>86371941</v>
      </c>
      <c r="AQ856" s="24">
        <v>20336656</v>
      </c>
      <c r="AR856" s="461">
        <f t="shared" ref="AR856" si="4138">+AL856/AP855</f>
        <v>1.4100352665337784E-3</v>
      </c>
      <c r="AS856" s="25"/>
      <c r="AT856" s="25"/>
      <c r="AU856" s="24"/>
      <c r="AV856" s="298">
        <f t="shared" ref="AV856" si="4139">+AP856/H856</f>
        <v>1.1140607037351835</v>
      </c>
      <c r="AW856" s="298"/>
      <c r="AX856" s="24">
        <f t="shared" ref="AX856" si="4140">+AP856/BW856</f>
        <v>101973.95631641085</v>
      </c>
      <c r="AY856" s="308"/>
      <c r="BA856" s="65">
        <f t="shared" ref="BA856" si="4141">+BC856-BC855</f>
        <v>523812</v>
      </c>
      <c r="BB856" s="66"/>
      <c r="BC856" s="66">
        <v>1059620672</v>
      </c>
      <c r="BD856" s="66"/>
      <c r="BE856" s="66">
        <f t="shared" ref="BE856" si="4142">+D856</f>
        <v>95400</v>
      </c>
      <c r="BF856" s="66"/>
      <c r="BG856" s="144">
        <f t="shared" ref="BG856" si="4143">+BE856/BA856</f>
        <v>0.18212641176605346</v>
      </c>
      <c r="BH856" s="66"/>
      <c r="BI856" s="170"/>
      <c r="BJ856" s="66"/>
      <c r="BK856" s="66"/>
      <c r="BL856" s="66"/>
      <c r="BM856" s="144"/>
      <c r="BN856" s="65">
        <f t="shared" ref="BN856" si="4144">+BC856/BW856</f>
        <v>1251027.9480519481</v>
      </c>
      <c r="BO856" s="66"/>
      <c r="BP856" s="66">
        <f t="shared" ref="BP856" si="4145">+BP855+BE856</f>
        <v>76621958</v>
      </c>
      <c r="BQ856" s="66"/>
      <c r="BR856" s="435">
        <f t="shared" ref="BR856" si="4146">+BP856/BC856</f>
        <v>7.231074291461162E-2</v>
      </c>
      <c r="BS856" s="66"/>
      <c r="BT856" s="75"/>
      <c r="BU856" s="170"/>
      <c r="BV856" s="1"/>
      <c r="BW856" s="61">
        <f t="shared" si="1544"/>
        <v>847</v>
      </c>
      <c r="BY856" s="59"/>
    </row>
    <row r="857" spans="2:77" x14ac:dyDescent="0.75">
      <c r="B857" s="158">
        <f t="shared" si="3706"/>
        <v>44757</v>
      </c>
      <c r="C857" s="61"/>
      <c r="D857" s="17">
        <v>94037</v>
      </c>
      <c r="E857" s="16"/>
      <c r="F857" s="16"/>
      <c r="G857" s="16"/>
      <c r="H857" s="16">
        <f t="shared" ref="H857" si="4147">+H856+D857</f>
        <v>77622973</v>
      </c>
      <c r="I857" s="16"/>
      <c r="J857" s="436">
        <f t="shared" ref="J857" si="4148">+D857/H856</f>
        <v>1.2129277770560401E-3</v>
      </c>
      <c r="K857" s="16"/>
      <c r="L857" s="16"/>
      <c r="M857" s="16"/>
      <c r="N857" s="16">
        <f t="shared" ref="N857" si="4149">SUM(D851:D857)</f>
        <v>505783</v>
      </c>
      <c r="O857" s="16">
        <f t="shared" ref="O857" si="4150">+H857/BW857</f>
        <v>91536.524764150949</v>
      </c>
      <c r="P857" s="41"/>
      <c r="Q857" s="17">
        <f t="shared" ref="Q857" si="4151">SUM(D851:D857)</f>
        <v>505783</v>
      </c>
      <c r="R857" s="16"/>
      <c r="S857" s="60">
        <f t="shared" ref="S857" si="4152">+(Q857-Q850)/Q850</f>
        <v>0.31802877975306326</v>
      </c>
      <c r="T857" s="16"/>
      <c r="U857" s="41"/>
      <c r="V857" s="10">
        <f t="shared" si="558"/>
        <v>749</v>
      </c>
      <c r="W857" s="34">
        <v>207</v>
      </c>
      <c r="X857" s="33">
        <v>4256</v>
      </c>
      <c r="Y857" s="33"/>
      <c r="Z857" s="33">
        <f t="shared" ref="Z857" si="4153">SUM(W852:W857)</f>
        <v>1231</v>
      </c>
      <c r="AA857" s="33">
        <f t="shared" ref="AA857" si="4154">+AA856+W857</f>
        <v>905953</v>
      </c>
      <c r="AB857" s="33"/>
      <c r="AC857" s="46">
        <f t="shared" ref="AC857" si="4155">+AA857/H857</f>
        <v>1.1671196876213437E-2</v>
      </c>
      <c r="AD857" s="33"/>
      <c r="AE857" s="33">
        <f t="shared" ref="AE857" si="4156">+AA857/BW857</f>
        <v>1068.3408018867924</v>
      </c>
      <c r="AF857" s="50"/>
      <c r="AG857" s="33"/>
      <c r="AH857" s="33"/>
      <c r="AI857" s="213"/>
      <c r="AJ857" s="50"/>
      <c r="AL857" s="23">
        <f t="shared" ref="AL857" si="4157">+AP857-AP856</f>
        <v>96077</v>
      </c>
      <c r="AM857" s="24"/>
      <c r="AN857" s="24"/>
      <c r="AO857" s="24">
        <v>178263</v>
      </c>
      <c r="AP857" s="24">
        <v>86468018</v>
      </c>
      <c r="AQ857" s="24">
        <v>20336656</v>
      </c>
      <c r="AR857" s="461">
        <f t="shared" ref="AR857" si="4158">+AL857/AP856</f>
        <v>1.1123635626065183E-3</v>
      </c>
      <c r="AS857" s="25"/>
      <c r="AT857" s="25"/>
      <c r="AU857" s="24"/>
      <c r="AV857" s="298">
        <f t="shared" ref="AV857" si="4159">+AP857/H857</f>
        <v>1.1139488048209645</v>
      </c>
      <c r="AW857" s="298"/>
      <c r="AX857" s="24">
        <f t="shared" ref="AX857" si="4160">+AP857/BW857</f>
        <v>101967.00235849057</v>
      </c>
      <c r="AY857" s="308"/>
      <c r="BA857" s="65">
        <f t="shared" ref="BA857" si="4161">+BC857-BC856</f>
        <v>447988</v>
      </c>
      <c r="BB857" s="66"/>
      <c r="BC857" s="66">
        <v>1060068660</v>
      </c>
      <c r="BD857" s="66"/>
      <c r="BE857" s="66">
        <f t="shared" ref="BE857" si="4162">+D857</f>
        <v>94037</v>
      </c>
      <c r="BF857" s="66"/>
      <c r="BG857" s="144">
        <f t="shared" ref="BG857" si="4163">+BE857/BA857</f>
        <v>0.20990964043679741</v>
      </c>
      <c r="BH857" s="66"/>
      <c r="BI857" s="170"/>
      <c r="BJ857" s="66"/>
      <c r="BK857" s="66"/>
      <c r="BL857" s="66"/>
      <c r="BM857" s="144"/>
      <c r="BN857" s="65">
        <f t="shared" ref="BN857" si="4164">+BC857/BW857</f>
        <v>1250080.966981132</v>
      </c>
      <c r="BO857" s="66"/>
      <c r="BP857" s="66">
        <f t="shared" ref="BP857" si="4165">+BP856+BE857</f>
        <v>76715995</v>
      </c>
      <c r="BQ857" s="66"/>
      <c r="BR857" s="435">
        <f t="shared" ref="BR857" si="4166">+BP857/BC857</f>
        <v>7.2368892596070142E-2</v>
      </c>
      <c r="BS857" s="66"/>
      <c r="BT857" s="75"/>
      <c r="BU857" s="170"/>
      <c r="BV857" s="1"/>
      <c r="BW857" s="61">
        <f t="shared" si="1544"/>
        <v>848</v>
      </c>
      <c r="BY857" s="59"/>
    </row>
    <row r="858" spans="2:77" x14ac:dyDescent="0.75">
      <c r="B858" s="158">
        <f t="shared" si="3706"/>
        <v>44758</v>
      </c>
      <c r="C858" s="61"/>
      <c r="D858" s="17">
        <v>27003</v>
      </c>
      <c r="E858" s="16"/>
      <c r="F858" s="16"/>
      <c r="G858" s="16"/>
      <c r="H858" s="16">
        <f t="shared" ref="H858" si="4167">+H857+D858</f>
        <v>77649976</v>
      </c>
      <c r="I858" s="16"/>
      <c r="J858" s="436">
        <f t="shared" ref="J858" si="4168">+D858/H857</f>
        <v>3.478738182316207E-4</v>
      </c>
      <c r="K858" s="16"/>
      <c r="L858" s="16"/>
      <c r="M858" s="16"/>
      <c r="N858" s="16">
        <f t="shared" ref="N858" si="4169">SUM(D852:D858)</f>
        <v>501672</v>
      </c>
      <c r="O858" s="16">
        <f t="shared" ref="O858" si="4170">+H858/BW858</f>
        <v>91460.513545347465</v>
      </c>
      <c r="P858" s="41"/>
      <c r="Q858" s="17">
        <f t="shared" ref="Q858" si="4171">SUM(D852:D858)</f>
        <v>501672</v>
      </c>
      <c r="R858" s="16"/>
      <c r="S858" s="60">
        <f t="shared" ref="S858" si="4172">+(Q858-Q851)/Q851</f>
        <v>0.25540087735322603</v>
      </c>
      <c r="T858" s="16"/>
      <c r="U858" s="41"/>
      <c r="V858" s="10">
        <f t="shared" si="558"/>
        <v>750</v>
      </c>
      <c r="W858" s="34">
        <v>54</v>
      </c>
      <c r="X858" s="33">
        <v>4256</v>
      </c>
      <c r="Y858" s="33"/>
      <c r="Z858" s="33">
        <f t="shared" ref="Z858" si="4173">SUM(W853:W858)</f>
        <v>1275</v>
      </c>
      <c r="AA858" s="33">
        <f t="shared" ref="AA858" si="4174">+AA857+W858</f>
        <v>906007</v>
      </c>
      <c r="AB858" s="33"/>
      <c r="AC858" s="46">
        <f t="shared" ref="AC858" si="4175">+AA858/H858</f>
        <v>1.1667833612723846E-2</v>
      </c>
      <c r="AD858" s="33"/>
      <c r="AE858" s="33">
        <f t="shared" ref="AE858" si="4176">+AA858/BW858</f>
        <v>1067.1460541813899</v>
      </c>
      <c r="AF858" s="50"/>
      <c r="AG858" s="33"/>
      <c r="AH858" s="33"/>
      <c r="AI858" s="213"/>
      <c r="AJ858" s="50"/>
      <c r="AL858" s="23">
        <f t="shared" ref="AL858" si="4177">+AP858-AP857</f>
        <v>93756</v>
      </c>
      <c r="AM858" s="24"/>
      <c r="AN858" s="24"/>
      <c r="AO858" s="24">
        <v>178263</v>
      </c>
      <c r="AP858" s="24">
        <v>86561774</v>
      </c>
      <c r="AQ858" s="24">
        <v>20336656</v>
      </c>
      <c r="AR858" s="461">
        <f t="shared" ref="AR858" si="4178">+AL858/AP857</f>
        <v>1.0842852903139286E-3</v>
      </c>
      <c r="AS858" s="25"/>
      <c r="AT858" s="25"/>
      <c r="AU858" s="24"/>
      <c r="AV858" s="298">
        <f t="shared" ref="AV858" si="4179">+AP858/H858</f>
        <v>1.1147688442299069</v>
      </c>
      <c r="AW858" s="298"/>
      <c r="AX858" s="24">
        <f t="shared" ref="AX858" si="4180">+AP858/BW858</f>
        <v>101957.33097762073</v>
      </c>
      <c r="AY858" s="308"/>
      <c r="BA858" s="65">
        <f t="shared" ref="BA858" si="4181">+BC858-BC857</f>
        <v>181482</v>
      </c>
      <c r="BB858" s="66"/>
      <c r="BC858" s="66">
        <v>1060250142</v>
      </c>
      <c r="BD858" s="66"/>
      <c r="BE858" s="66">
        <f t="shared" ref="BE858" si="4182">+D858</f>
        <v>27003</v>
      </c>
      <c r="BF858" s="66"/>
      <c r="BG858" s="144">
        <f t="shared" ref="BG858" si="4183">+BE858/BA858</f>
        <v>0.14879161569742455</v>
      </c>
      <c r="BH858" s="66"/>
      <c r="BI858" s="170"/>
      <c r="BJ858" s="66"/>
      <c r="BK858" s="66"/>
      <c r="BL858" s="66"/>
      <c r="BM858" s="144"/>
      <c r="BN858" s="65">
        <f t="shared" ref="BN858" si="4184">+BC858/BW858</f>
        <v>1248822.3109540637</v>
      </c>
      <c r="BO858" s="66"/>
      <c r="BP858" s="66">
        <f t="shared" ref="BP858" si="4185">+BP857+BE858</f>
        <v>76742998</v>
      </c>
      <c r="BQ858" s="66"/>
      <c r="BR858" s="435">
        <f t="shared" ref="BR858" si="4186">+BP858/BC858</f>
        <v>7.2381973800292126E-2</v>
      </c>
      <c r="BS858" s="66"/>
      <c r="BT858" s="75"/>
      <c r="BU858" s="170"/>
      <c r="BV858" s="1"/>
      <c r="BW858" s="61">
        <f t="shared" si="1544"/>
        <v>849</v>
      </c>
      <c r="BY858" s="59"/>
    </row>
    <row r="859" spans="2:77" x14ac:dyDescent="0.75">
      <c r="B859" s="347">
        <f t="shared" si="3706"/>
        <v>44759</v>
      </c>
      <c r="C859" s="61"/>
      <c r="D859" s="17">
        <v>24757</v>
      </c>
      <c r="E859" s="16"/>
      <c r="F859" s="16"/>
      <c r="G859" s="16"/>
      <c r="H859" s="16">
        <f t="shared" ref="H859" si="4187">+H858+D859</f>
        <v>77674733</v>
      </c>
      <c r="I859" s="16"/>
      <c r="J859" s="436">
        <f t="shared" ref="J859" si="4188">+D859/H858</f>
        <v>3.1882817323729761E-4</v>
      </c>
      <c r="K859" s="16"/>
      <c r="L859" s="16"/>
      <c r="M859" s="16"/>
      <c r="N859" s="16">
        <f t="shared" ref="N859" si="4189">SUM(D853:D859)</f>
        <v>502490</v>
      </c>
      <c r="O859" s="16">
        <f t="shared" ref="O859" si="4190">+H859/BW859</f>
        <v>91382.038823529409</v>
      </c>
      <c r="P859" s="41"/>
      <c r="Q859" s="17">
        <f t="shared" ref="Q859" si="4191">SUM(D853:D859)</f>
        <v>502490</v>
      </c>
      <c r="R859" s="16"/>
      <c r="S859" s="60">
        <f t="shared" ref="S859" si="4192">+(Q859-Q852)/Q852</f>
        <v>0.21534093107851862</v>
      </c>
      <c r="T859" s="16"/>
      <c r="U859" s="41"/>
      <c r="V859" s="10">
        <f t="shared" si="558"/>
        <v>751</v>
      </c>
      <c r="W859" s="34">
        <v>21</v>
      </c>
      <c r="X859" s="33">
        <v>4256</v>
      </c>
      <c r="Y859" s="33"/>
      <c r="Z859" s="33">
        <f t="shared" ref="Z859" si="4193">SUM(W854:W859)</f>
        <v>1174</v>
      </c>
      <c r="AA859" s="33">
        <f t="shared" ref="AA859" si="4194">+AA858+W859</f>
        <v>906028</v>
      </c>
      <c r="AB859" s="33"/>
      <c r="AC859" s="46">
        <f t="shared" ref="AC859" si="4195">+AA859/H859</f>
        <v>1.1664385122508242E-2</v>
      </c>
      <c r="AD859" s="33"/>
      <c r="AE859" s="33">
        <f t="shared" ref="AE859" si="4196">+AA859/BW859</f>
        <v>1065.9152941176471</v>
      </c>
      <c r="AF859" s="50"/>
      <c r="AG859" s="33"/>
      <c r="AH859" s="33"/>
      <c r="AI859" s="213"/>
      <c r="AJ859" s="50"/>
      <c r="AL859" s="23">
        <f t="shared" ref="AL859" si="4197">+AP859-AP858</f>
        <v>84446</v>
      </c>
      <c r="AM859" s="24"/>
      <c r="AN859" s="24"/>
      <c r="AO859" s="24">
        <v>178263</v>
      </c>
      <c r="AP859" s="24">
        <v>86646220</v>
      </c>
      <c r="AQ859" s="24">
        <v>20336656</v>
      </c>
      <c r="AR859" s="461">
        <f t="shared" ref="AR859" si="4198">+AL859/AP858</f>
        <v>9.7555764048920719E-4</v>
      </c>
      <c r="AS859" s="25"/>
      <c r="AT859" s="25"/>
      <c r="AU859" s="24"/>
      <c r="AV859" s="298">
        <f t="shared" ref="AV859" si="4199">+AP859/H859</f>
        <v>1.1155007124388827</v>
      </c>
      <c r="AW859" s="298"/>
      <c r="AX859" s="24">
        <f t="shared" ref="AX859" si="4200">+AP859/BW859</f>
        <v>101936.72941176471</v>
      </c>
      <c r="AY859" s="308"/>
      <c r="BA859" s="65">
        <f t="shared" ref="BA859" si="4201">+BC859-BC858</f>
        <v>139898</v>
      </c>
      <c r="BB859" s="66"/>
      <c r="BC859" s="66">
        <v>1060390040</v>
      </c>
      <c r="BD859" s="66"/>
      <c r="BE859" s="66">
        <f t="shared" ref="BE859" si="4202">+D859</f>
        <v>24757</v>
      </c>
      <c r="BF859" s="66"/>
      <c r="BG859" s="144">
        <f t="shared" ref="BG859" si="4203">+BE859/BA859</f>
        <v>0.17696464567041703</v>
      </c>
      <c r="BH859" s="66"/>
      <c r="BI859" s="170"/>
      <c r="BJ859" s="66"/>
      <c r="BK859" s="66"/>
      <c r="BL859" s="66"/>
      <c r="BM859" s="144"/>
      <c r="BN859" s="65">
        <f t="shared" ref="BN859" si="4204">+BC859/BW859</f>
        <v>1247517.6941176471</v>
      </c>
      <c r="BO859" s="66"/>
      <c r="BP859" s="66">
        <f t="shared" ref="BP859" si="4205">+BP858+BE859</f>
        <v>76767755</v>
      </c>
      <c r="BQ859" s="66"/>
      <c r="BR859" s="435">
        <f t="shared" ref="BR859" si="4206">+BP859/BC859</f>
        <v>7.2395771465375139E-2</v>
      </c>
      <c r="BS859" s="66"/>
      <c r="BT859" s="75"/>
      <c r="BU859" s="170"/>
      <c r="BV859" s="1"/>
      <c r="BW859" s="61">
        <f t="shared" si="1544"/>
        <v>850</v>
      </c>
      <c r="BY859" s="59"/>
    </row>
    <row r="860" spans="2:77" x14ac:dyDescent="0.75">
      <c r="B860" s="158">
        <f t="shared" si="3706"/>
        <v>44760</v>
      </c>
      <c r="C860" s="61"/>
      <c r="D860" s="17">
        <v>58177</v>
      </c>
      <c r="E860" s="16"/>
      <c r="F860" s="16"/>
      <c r="G860" s="16"/>
      <c r="H860" s="16">
        <f t="shared" ref="H860" si="4207">+H859+D860</f>
        <v>77732910</v>
      </c>
      <c r="I860" s="16"/>
      <c r="J860" s="436">
        <f t="shared" ref="J860" si="4208">+D860/H859</f>
        <v>7.48982297756981E-4</v>
      </c>
      <c r="K860" s="16"/>
      <c r="L860" s="16"/>
      <c r="M860" s="16"/>
      <c r="N860" s="16">
        <f t="shared" ref="N860" si="4209">SUM(D854:D860)</f>
        <v>502697</v>
      </c>
      <c r="O860" s="16">
        <f t="shared" ref="O860" si="4210">+H860/BW860</f>
        <v>91343.019976498239</v>
      </c>
      <c r="P860" s="41"/>
      <c r="Q860" s="17">
        <f t="shared" ref="Q860" si="4211">SUM(D854:D860)</f>
        <v>502697</v>
      </c>
      <c r="R860" s="16"/>
      <c r="S860" s="60">
        <f t="shared" ref="S860" si="4212">+(Q860-Q853)/Q853</f>
        <v>9.7330547970024606E-2</v>
      </c>
      <c r="T860" s="16"/>
      <c r="U860" s="41"/>
      <c r="V860" s="10">
        <f t="shared" si="558"/>
        <v>752</v>
      </c>
      <c r="W860" s="34">
        <v>149</v>
      </c>
      <c r="X860" s="33">
        <v>4256</v>
      </c>
      <c r="Y860" s="33"/>
      <c r="Z860" s="33">
        <f t="shared" ref="Z860" si="4213">SUM(W855:W860)</f>
        <v>1069</v>
      </c>
      <c r="AA860" s="33">
        <f t="shared" ref="AA860" si="4214">+AA859+W860</f>
        <v>906177</v>
      </c>
      <c r="AB860" s="33"/>
      <c r="AC860" s="46">
        <f t="shared" ref="AC860" si="4215">+AA860/H860</f>
        <v>1.1657572063106861E-2</v>
      </c>
      <c r="AD860" s="33"/>
      <c r="AE860" s="33">
        <f t="shared" ref="AE860" si="4216">+AA860/BW860</f>
        <v>1064.8378378378379</v>
      </c>
      <c r="AF860" s="50"/>
      <c r="AG860" s="33"/>
      <c r="AH860" s="33"/>
      <c r="AI860" s="213"/>
      <c r="AJ860" s="50"/>
      <c r="AL860" s="23">
        <f t="shared" ref="AL860" si="4217">+AP860-AP859</f>
        <v>106349</v>
      </c>
      <c r="AM860" s="24"/>
      <c r="AN860" s="24"/>
      <c r="AO860" s="24">
        <v>178263</v>
      </c>
      <c r="AP860" s="24">
        <v>86752569</v>
      </c>
      <c r="AQ860" s="24">
        <v>20336656</v>
      </c>
      <c r="AR860" s="461">
        <f t="shared" ref="AR860" si="4218">+AL860/AP859</f>
        <v>1.2273934165852821E-3</v>
      </c>
      <c r="AS860" s="25"/>
      <c r="AT860" s="25"/>
      <c r="AU860" s="24"/>
      <c r="AV860" s="298">
        <f t="shared" ref="AV860" si="4219">+AP860/H860</f>
        <v>1.1160339809740816</v>
      </c>
      <c r="AW860" s="298"/>
      <c r="AX860" s="24">
        <f t="shared" ref="AX860" si="4220">+AP860/BW860</f>
        <v>101941.91421856639</v>
      </c>
      <c r="AY860" s="308"/>
      <c r="BA860" s="65">
        <f t="shared" ref="BA860" si="4221">+BC860-BC859</f>
        <v>493841</v>
      </c>
      <c r="BB860" s="66"/>
      <c r="BC860" s="66">
        <v>1060883881</v>
      </c>
      <c r="BD860" s="66"/>
      <c r="BE860" s="66">
        <f t="shared" ref="BE860" si="4222">+D860</f>
        <v>58177</v>
      </c>
      <c r="BF860" s="66"/>
      <c r="BG860" s="144">
        <f t="shared" ref="BG860" si="4223">+BE860/BA860</f>
        <v>0.11780512351141359</v>
      </c>
      <c r="BH860" s="66"/>
      <c r="BI860" s="170"/>
      <c r="BJ860" s="66"/>
      <c r="BK860" s="66"/>
      <c r="BL860" s="66"/>
      <c r="BM860" s="144"/>
      <c r="BN860" s="65">
        <f t="shared" ref="BN860" si="4224">+BC860/BW860</f>
        <v>1246632.0575793185</v>
      </c>
      <c r="BO860" s="66"/>
      <c r="BP860" s="66">
        <f t="shared" ref="BP860" si="4225">+BP859+BE860</f>
        <v>76825932</v>
      </c>
      <c r="BQ860" s="66"/>
      <c r="BR860" s="435">
        <f t="shared" ref="BR860" si="4226">+BP860/BC860</f>
        <v>7.2416909499636375E-2</v>
      </c>
      <c r="BS860" s="66"/>
      <c r="BT860" s="75"/>
      <c r="BU860" s="170"/>
      <c r="BV860" s="1"/>
      <c r="BW860" s="61">
        <f t="shared" si="1544"/>
        <v>851</v>
      </c>
      <c r="BY860" s="59"/>
    </row>
    <row r="861" spans="2:77" x14ac:dyDescent="0.75">
      <c r="B861" s="158">
        <f t="shared" si="3706"/>
        <v>44761</v>
      </c>
      <c r="C861" s="61"/>
      <c r="D861" s="17">
        <v>75397</v>
      </c>
      <c r="E861" s="16"/>
      <c r="F861" s="16"/>
      <c r="G861" s="16"/>
      <c r="H861" s="16">
        <f t="shared" ref="H861" si="4227">+H860+D861</f>
        <v>77808307</v>
      </c>
      <c r="I861" s="16"/>
      <c r="J861" s="436">
        <f t="shared" ref="J861" si="4228">+D861/H860</f>
        <v>9.6994953617457523E-4</v>
      </c>
      <c r="K861" s="16"/>
      <c r="L861" s="16"/>
      <c r="M861" s="16"/>
      <c r="N861" s="16">
        <f t="shared" ref="N861" si="4229">SUM(D855:D861)</f>
        <v>482752</v>
      </c>
      <c r="O861" s="16">
        <f t="shared" ref="O861" si="4230">+H861/BW861</f>
        <v>91324.303990610322</v>
      </c>
      <c r="P861" s="41"/>
      <c r="Q861" s="17">
        <f t="shared" ref="Q861" si="4231">SUM(D855:D861)</f>
        <v>482752</v>
      </c>
      <c r="R861" s="16"/>
      <c r="S861" s="60">
        <f t="shared" ref="S861" si="4232">+(Q861-Q854)/Q854</f>
        <v>-4.9262849422765605E-2</v>
      </c>
      <c r="T861" s="16"/>
      <c r="U861" s="41"/>
      <c r="V861" s="10">
        <f t="shared" si="558"/>
        <v>753</v>
      </c>
      <c r="W861" s="34">
        <v>299</v>
      </c>
      <c r="X861" s="33">
        <v>4256</v>
      </c>
      <c r="Y861" s="33"/>
      <c r="Z861" s="33">
        <f t="shared" ref="Z861" si="4233">SUM(W856:W861)</f>
        <v>961</v>
      </c>
      <c r="AA861" s="33">
        <f t="shared" ref="AA861" si="4234">+AA860+W861</f>
        <v>906476</v>
      </c>
      <c r="AB861" s="33"/>
      <c r="AC861" s="46">
        <f t="shared" ref="AC861" si="4235">+AA861/H861</f>
        <v>1.1650118540684866E-2</v>
      </c>
      <c r="AD861" s="33"/>
      <c r="AE861" s="33">
        <f t="shared" ref="AE861" si="4236">+AA861/BW861</f>
        <v>1063.9389671361503</v>
      </c>
      <c r="AF861" s="50"/>
      <c r="AG861" s="33"/>
      <c r="AH861" s="33"/>
      <c r="AI861" s="213"/>
      <c r="AJ861" s="50"/>
      <c r="AL861" s="23">
        <f t="shared" ref="AL861" si="4237">+AP861-AP860</f>
        <v>109370</v>
      </c>
      <c r="AM861" s="24"/>
      <c r="AN861" s="24"/>
      <c r="AO861" s="24">
        <v>178263</v>
      </c>
      <c r="AP861" s="24">
        <v>86861939</v>
      </c>
      <c r="AQ861" s="24">
        <v>20336656</v>
      </c>
      <c r="AR861" s="461">
        <f t="shared" ref="AR861" si="4238">+AL861/AP860</f>
        <v>1.2607119450260891E-3</v>
      </c>
      <c r="AS861" s="25"/>
      <c r="AT861" s="25"/>
      <c r="AU861" s="24"/>
      <c r="AV861" s="298">
        <f t="shared" ref="AV861" si="4239">+AP861/H861</f>
        <v>1.1163581672584137</v>
      </c>
      <c r="AW861" s="298"/>
      <c r="AX861" s="24">
        <f t="shared" ref="AX861" si="4240">+AP861/BW861</f>
        <v>101950.63262910797</v>
      </c>
      <c r="AY861" s="308"/>
      <c r="BA861" s="65">
        <f t="shared" ref="BA861" si="4241">+BC861-BC860</f>
        <v>347350</v>
      </c>
      <c r="BB861" s="66"/>
      <c r="BC861" s="66">
        <v>1061231231</v>
      </c>
      <c r="BD861" s="66"/>
      <c r="BE861" s="66">
        <f t="shared" ref="BE861" si="4242">+D861</f>
        <v>75397</v>
      </c>
      <c r="BF861" s="66"/>
      <c r="BG861" s="144">
        <f t="shared" ref="BG861" si="4243">+BE861/BA861</f>
        <v>0.21706348063912481</v>
      </c>
      <c r="BH861" s="66"/>
      <c r="BI861" s="170"/>
      <c r="BJ861" s="66"/>
      <c r="BK861" s="66"/>
      <c r="BL861" s="66"/>
      <c r="BM861" s="144"/>
      <c r="BN861" s="65">
        <f t="shared" ref="BN861" si="4244">+BC861/BW861</f>
        <v>1245576.5622065729</v>
      </c>
      <c r="BO861" s="66"/>
      <c r="BP861" s="66">
        <f t="shared" ref="BP861" si="4245">+BP860+BE861</f>
        <v>76901329</v>
      </c>
      <c r="BQ861" s="66"/>
      <c r="BR861" s="435">
        <f t="shared" ref="BR861" si="4246">+BP861/BC861</f>
        <v>7.2464253551542901E-2</v>
      </c>
      <c r="BS861" s="66"/>
      <c r="BT861" s="75"/>
      <c r="BU861" s="170"/>
      <c r="BV861" s="1"/>
      <c r="BW861" s="61">
        <f t="shared" si="1544"/>
        <v>852</v>
      </c>
      <c r="BY861" s="59"/>
    </row>
    <row r="862" spans="2:77" x14ac:dyDescent="0.75">
      <c r="B862" s="158">
        <f t="shared" si="3706"/>
        <v>44762</v>
      </c>
      <c r="C862" s="61"/>
      <c r="D862" s="17">
        <v>113588</v>
      </c>
      <c r="E862" s="16"/>
      <c r="F862" s="16"/>
      <c r="G862" s="16"/>
      <c r="H862" s="16">
        <f t="shared" ref="H862" si="4247">+H861+D862</f>
        <v>77921895</v>
      </c>
      <c r="I862" s="16"/>
      <c r="J862" s="436">
        <f t="shared" ref="J862" si="4248">+D862/H861</f>
        <v>1.4598441269259336E-3</v>
      </c>
      <c r="K862" s="16"/>
      <c r="L862" s="16"/>
      <c r="M862" s="16"/>
      <c r="N862" s="16">
        <f t="shared" ref="N862" si="4249">SUM(D856:D862)</f>
        <v>488359</v>
      </c>
      <c r="O862" s="16">
        <f t="shared" ref="O862" si="4250">+H862/BW862</f>
        <v>91350.404454865187</v>
      </c>
      <c r="P862" s="41"/>
      <c r="Q862" s="17">
        <f t="shared" ref="Q862" si="4251">SUM(D856:D862)</f>
        <v>488359</v>
      </c>
      <c r="R862" s="16"/>
      <c r="S862" s="60">
        <f t="shared" ref="S862" si="4252">+(Q862-Q855)/Q855</f>
        <v>-5.3191674987155747E-2</v>
      </c>
      <c r="T862" s="16"/>
      <c r="U862" s="41"/>
      <c r="V862" s="10">
        <f t="shared" si="558"/>
        <v>754</v>
      </c>
      <c r="W862" s="34">
        <v>367</v>
      </c>
      <c r="X862" s="33">
        <v>4256</v>
      </c>
      <c r="Y862" s="33"/>
      <c r="Z862" s="33">
        <f t="shared" ref="Z862" si="4253">SUM(W857:W862)</f>
        <v>1097</v>
      </c>
      <c r="AA862" s="33">
        <f t="shared" ref="AA862" si="4254">+AA861+W862</f>
        <v>906843</v>
      </c>
      <c r="AB862" s="33"/>
      <c r="AC862" s="46">
        <f t="shared" ref="AC862" si="4255">+AA862/H862</f>
        <v>1.1637845819843062E-2</v>
      </c>
      <c r="AD862" s="33"/>
      <c r="AE862" s="33">
        <f t="shared" ref="AE862" si="4256">+AA862/BW862</f>
        <v>1063.1219226260257</v>
      </c>
      <c r="AF862" s="50"/>
      <c r="AG862" s="33"/>
      <c r="AH862" s="33"/>
      <c r="AI862" s="213"/>
      <c r="AJ862" s="50"/>
      <c r="AL862" s="23">
        <f t="shared" ref="AL862" si="4257">+AP862-AP861</f>
        <v>111499</v>
      </c>
      <c r="AM862" s="24"/>
      <c r="AN862" s="24"/>
      <c r="AO862" s="24">
        <v>178263</v>
      </c>
      <c r="AP862" s="24">
        <v>86973438</v>
      </c>
      <c r="AQ862" s="24">
        <v>20336656</v>
      </c>
      <c r="AR862" s="461">
        <f t="shared" ref="AR862" si="4258">+AL862/AP861</f>
        <v>1.283634711401043E-3</v>
      </c>
      <c r="AS862" s="25"/>
      <c r="AT862" s="25"/>
      <c r="AU862" s="24"/>
      <c r="AV862" s="298">
        <f t="shared" ref="AV862" si="4259">+AP862/H862</f>
        <v>1.1161617411896874</v>
      </c>
      <c r="AW862" s="298"/>
      <c r="AX862" s="24">
        <f t="shared" ref="AX862" si="4260">+AP862/BW862</f>
        <v>101961.8264947245</v>
      </c>
      <c r="AY862" s="308"/>
      <c r="BA862" s="65">
        <f t="shared" ref="BA862" si="4261">+BC862-BC861</f>
        <v>825285</v>
      </c>
      <c r="BB862" s="66"/>
      <c r="BC862" s="66">
        <v>1062056516</v>
      </c>
      <c r="BD862" s="66"/>
      <c r="BE862" s="66">
        <f t="shared" ref="BE862" si="4262">+D862</f>
        <v>113588</v>
      </c>
      <c r="BF862" s="66"/>
      <c r="BG862" s="144">
        <f t="shared" ref="BG862" si="4263">+BE862/BA862</f>
        <v>0.13763487764832755</v>
      </c>
      <c r="BH862" s="66"/>
      <c r="BI862" s="170"/>
      <c r="BJ862" s="66"/>
      <c r="BK862" s="66"/>
      <c r="BL862" s="66"/>
      <c r="BM862" s="144"/>
      <c r="BN862" s="65">
        <f t="shared" ref="BN862" si="4264">+BC862/BW862</f>
        <v>1245083.8405627199</v>
      </c>
      <c r="BO862" s="66"/>
      <c r="BP862" s="66">
        <f t="shared" ref="BP862" si="4265">+BP861+BE862</f>
        <v>77014917</v>
      </c>
      <c r="BQ862" s="66"/>
      <c r="BR862" s="435">
        <f t="shared" ref="BR862" si="4266">+BP862/BC862</f>
        <v>7.2514895243107766E-2</v>
      </c>
      <c r="BS862" s="66"/>
      <c r="BT862" s="75"/>
      <c r="BU862" s="170"/>
      <c r="BV862" s="1"/>
      <c r="BW862" s="61">
        <f t="shared" si="1544"/>
        <v>853</v>
      </c>
      <c r="BY862" s="59"/>
    </row>
    <row r="863" spans="2:77" x14ac:dyDescent="0.75">
      <c r="B863" s="158">
        <f t="shared" si="3706"/>
        <v>44763</v>
      </c>
      <c r="C863" s="61"/>
      <c r="D863" s="17">
        <v>100711</v>
      </c>
      <c r="E863" s="16"/>
      <c r="F863" s="16"/>
      <c r="G863" s="16"/>
      <c r="H863" s="16">
        <f t="shared" ref="H863" si="4267">+H862+D863</f>
        <v>78022606</v>
      </c>
      <c r="I863" s="16"/>
      <c r="J863" s="436">
        <f t="shared" ref="J863" si="4268">+D863/H862</f>
        <v>1.2924608673852195E-3</v>
      </c>
      <c r="K863" s="16"/>
      <c r="L863" s="16"/>
      <c r="M863" s="16"/>
      <c r="N863" s="16">
        <f t="shared" ref="N863" si="4269">SUM(D857:D863)</f>
        <v>493670</v>
      </c>
      <c r="O863" s="16">
        <f t="shared" ref="O863" si="4270">+H863/BW863</f>
        <v>91361.365339578449</v>
      </c>
      <c r="P863" s="41"/>
      <c r="Q863" s="17">
        <f t="shared" ref="Q863" si="4271">SUM(D857:D863)</f>
        <v>493670</v>
      </c>
      <c r="R863" s="16"/>
      <c r="S863" s="60">
        <f t="shared" ref="S863" si="4272">+(Q863-Q856)/Q856</f>
        <v>-5.0128626210500592E-2</v>
      </c>
      <c r="T863" s="16"/>
      <c r="U863" s="41"/>
      <c r="V863" s="10">
        <f t="shared" si="558"/>
        <v>755</v>
      </c>
      <c r="W863" s="34">
        <v>251</v>
      </c>
      <c r="X863" s="33">
        <v>4256</v>
      </c>
      <c r="Y863" s="33"/>
      <c r="Z863" s="33">
        <f t="shared" ref="Z863" si="4273">SUM(W858:W863)</f>
        <v>1141</v>
      </c>
      <c r="AA863" s="33">
        <f t="shared" ref="AA863" si="4274">+AA862+W863</f>
        <v>907094</v>
      </c>
      <c r="AB863" s="33"/>
      <c r="AC863" s="46">
        <f t="shared" ref="AC863" si="4275">+AA863/H863</f>
        <v>1.1626040791306047E-2</v>
      </c>
      <c r="AD863" s="33"/>
      <c r="AE863" s="33">
        <f t="shared" ref="AE863" si="4276">+AA863/BW863</f>
        <v>1062.1709601873536</v>
      </c>
      <c r="AF863" s="50"/>
      <c r="AG863" s="33"/>
      <c r="AH863" s="33"/>
      <c r="AI863" s="213"/>
      <c r="AJ863" s="50"/>
      <c r="AL863" s="23">
        <f t="shared" ref="AL863" si="4277">+AP863-AP862</f>
        <v>133637</v>
      </c>
      <c r="AM863" s="24"/>
      <c r="AN863" s="24"/>
      <c r="AO863" s="24">
        <v>178263</v>
      </c>
      <c r="AP863" s="24">
        <v>87107075</v>
      </c>
      <c r="AQ863" s="24">
        <v>20336656</v>
      </c>
      <c r="AR863" s="461">
        <f t="shared" ref="AR863" si="4278">+AL863/AP862</f>
        <v>1.5365265887270088E-3</v>
      </c>
      <c r="AS863" s="25"/>
      <c r="AT863" s="25"/>
      <c r="AU863" s="24"/>
      <c r="AV863" s="298">
        <f t="shared" ref="AV863" si="4279">+AP863/H863</f>
        <v>1.1164338063765775</v>
      </c>
      <c r="AW863" s="298"/>
      <c r="AX863" s="24">
        <f t="shared" ref="AX863" si="4280">+AP863/BW863</f>
        <v>101998.9168618267</v>
      </c>
      <c r="AY863" s="308"/>
      <c r="BA863" s="65">
        <f t="shared" ref="BA863" si="4281">+BC863-BC862</f>
        <v>615847</v>
      </c>
      <c r="BB863" s="66"/>
      <c r="BC863" s="66">
        <v>1062672363</v>
      </c>
      <c r="BD863" s="66"/>
      <c r="BE863" s="66">
        <f t="shared" ref="BE863" si="4282">+D863</f>
        <v>100711</v>
      </c>
      <c r="BF863" s="66"/>
      <c r="BG863" s="144">
        <f t="shared" ref="BG863" si="4283">+BE863/BA863</f>
        <v>0.16353250076723602</v>
      </c>
      <c r="BH863" s="66"/>
      <c r="BI863" s="170"/>
      <c r="BJ863" s="66"/>
      <c r="BK863" s="66"/>
      <c r="BL863" s="66"/>
      <c r="BM863" s="144"/>
      <c r="BN863" s="65">
        <f t="shared" ref="BN863" si="4284">+BC863/BW863</f>
        <v>1244347.0292740047</v>
      </c>
      <c r="BO863" s="66"/>
      <c r="BP863" s="66">
        <f t="shared" ref="BP863" si="4285">+BP862+BE863</f>
        <v>77115628</v>
      </c>
      <c r="BQ863" s="66"/>
      <c r="BR863" s="435">
        <f t="shared" ref="BR863" si="4286">+BP863/BC863</f>
        <v>7.2567642375018643E-2</v>
      </c>
      <c r="BS863" s="66"/>
      <c r="BT863" s="75"/>
      <c r="BU863" s="170"/>
      <c r="BV863" s="1"/>
      <c r="BW863" s="61">
        <f t="shared" si="1544"/>
        <v>854</v>
      </c>
      <c r="BY863" s="59"/>
    </row>
    <row r="864" spans="2:77" x14ac:dyDescent="0.75">
      <c r="B864" s="158">
        <f t="shared" si="3706"/>
        <v>44764</v>
      </c>
      <c r="C864" s="61"/>
      <c r="D864" s="17">
        <v>106465</v>
      </c>
      <c r="E864" s="16"/>
      <c r="F864" s="16"/>
      <c r="G864" s="16"/>
      <c r="H864" s="16">
        <f t="shared" ref="H864" si="4287">+H863+D864</f>
        <v>78129071</v>
      </c>
      <c r="I864" s="16"/>
      <c r="J864" s="436">
        <f t="shared" ref="J864" si="4288">+D864/H863</f>
        <v>1.364540425629977E-3</v>
      </c>
      <c r="K864" s="16"/>
      <c r="L864" s="16"/>
      <c r="M864" s="16"/>
      <c r="N864" s="16">
        <f t="shared" ref="N864" si="4289">SUM(D858:D864)</f>
        <v>506098</v>
      </c>
      <c r="O864" s="16">
        <f t="shared" ref="O864" si="4290">+H864/BW864</f>
        <v>91379.030409356725</v>
      </c>
      <c r="P864" s="41"/>
      <c r="Q864" s="17">
        <f t="shared" ref="Q864" si="4291">SUM(D858:D864)</f>
        <v>506098</v>
      </c>
      <c r="R864" s="16"/>
      <c r="S864" s="60">
        <f t="shared" ref="S864" si="4292">+(Q864-Q857)/Q857</f>
        <v>6.2279673298628073E-4</v>
      </c>
      <c r="T864" s="16"/>
      <c r="U864" s="41"/>
      <c r="V864" s="10">
        <f t="shared" si="558"/>
        <v>756</v>
      </c>
      <c r="W864" s="34">
        <v>321</v>
      </c>
      <c r="X864" s="33">
        <v>4256</v>
      </c>
      <c r="Y864" s="33"/>
      <c r="Z864" s="33">
        <f t="shared" ref="Z864" si="4293">SUM(W859:W864)</f>
        <v>1408</v>
      </c>
      <c r="AA864" s="33">
        <f t="shared" ref="AA864" si="4294">+AA863+W864</f>
        <v>907415</v>
      </c>
      <c r="AB864" s="33"/>
      <c r="AC864" s="46">
        <f t="shared" ref="AC864" si="4295">+AA864/H864</f>
        <v>1.1614306792410215E-2</v>
      </c>
      <c r="AD864" s="33"/>
      <c r="AE864" s="33">
        <f t="shared" ref="AE864" si="4296">+AA864/BW864</f>
        <v>1061.3040935672514</v>
      </c>
      <c r="AF864" s="50"/>
      <c r="AG864" s="33"/>
      <c r="AH864" s="33"/>
      <c r="AI864" s="213"/>
      <c r="AJ864" s="50"/>
      <c r="AL864" s="23">
        <f t="shared" ref="AL864" si="4297">+AP864-AP863</f>
        <v>113911</v>
      </c>
      <c r="AM864" s="24"/>
      <c r="AN864" s="24"/>
      <c r="AO864" s="24">
        <v>178263</v>
      </c>
      <c r="AP864" s="24">
        <v>87220986</v>
      </c>
      <c r="AQ864" s="24">
        <v>20336656</v>
      </c>
      <c r="AR864" s="461">
        <f t="shared" ref="AR864" si="4298">+AL864/AP863</f>
        <v>1.307712375831699E-3</v>
      </c>
      <c r="AS864" s="25"/>
      <c r="AT864" s="25"/>
      <c r="AU864" s="24"/>
      <c r="AV864" s="298">
        <f t="shared" ref="AV864" si="4299">+AP864/H864</f>
        <v>1.1163704480755954</v>
      </c>
      <c r="AW864" s="298"/>
      <c r="AX864" s="24">
        <f t="shared" ref="AX864" si="4300">+AP864/BW864</f>
        <v>102012.84912280702</v>
      </c>
      <c r="AY864" s="308"/>
      <c r="BA864" s="65">
        <f t="shared" ref="BA864" si="4301">+BC864-BC863</f>
        <v>2341512</v>
      </c>
      <c r="BB864" s="66"/>
      <c r="BC864" s="66">
        <v>1065013875</v>
      </c>
      <c r="BD864" s="66"/>
      <c r="BE864" s="66">
        <f t="shared" ref="BE864" si="4302">+D864</f>
        <v>106465</v>
      </c>
      <c r="BF864" s="66"/>
      <c r="BG864" s="144">
        <f t="shared" ref="BG864" si="4303">+BE864/BA864</f>
        <v>4.5468483612298376E-2</v>
      </c>
      <c r="BH864" s="66"/>
      <c r="BI864" s="170"/>
      <c r="BJ864" s="66"/>
      <c r="BK864" s="66"/>
      <c r="BL864" s="66"/>
      <c r="BM864" s="144"/>
      <c r="BN864" s="65">
        <f t="shared" ref="BN864" si="4304">+BC864/BW864</f>
        <v>1245630.2631578948</v>
      </c>
      <c r="BO864" s="66"/>
      <c r="BP864" s="66">
        <f t="shared" ref="BP864" si="4305">+BP863+BE864</f>
        <v>77222093</v>
      </c>
      <c r="BQ864" s="66"/>
      <c r="BR864" s="435">
        <f t="shared" ref="BR864" si="4306">+BP864/BC864</f>
        <v>7.2508062864439213E-2</v>
      </c>
      <c r="BS864" s="66"/>
      <c r="BT864" s="75"/>
      <c r="BU864" s="170"/>
      <c r="BV864" s="1"/>
      <c r="BW864" s="61">
        <f t="shared" si="1544"/>
        <v>855</v>
      </c>
      <c r="BY864" s="59"/>
    </row>
    <row r="865" spans="2:85" x14ac:dyDescent="0.75">
      <c r="B865" s="158">
        <f t="shared" si="3706"/>
        <v>44765</v>
      </c>
      <c r="C865" s="61"/>
      <c r="D865" s="17">
        <v>26497</v>
      </c>
      <c r="E865" s="16"/>
      <c r="F865" s="16"/>
      <c r="G865" s="16"/>
      <c r="H865" s="16">
        <f t="shared" ref="H865" si="4307">+H864+D865</f>
        <v>78155568</v>
      </c>
      <c r="I865" s="16"/>
      <c r="J865" s="436">
        <f t="shared" ref="J865" si="4308">+D865/H864</f>
        <v>3.391439276169046E-4</v>
      </c>
      <c r="K865" s="16"/>
      <c r="L865" s="16"/>
      <c r="M865" s="16"/>
      <c r="N865" s="16">
        <f t="shared" ref="N865" si="4309">SUM(D859:D865)</f>
        <v>505592</v>
      </c>
      <c r="O865" s="16">
        <f t="shared" ref="O865" si="4310">+H865/BW865</f>
        <v>91303.233644859807</v>
      </c>
      <c r="P865" s="41"/>
      <c r="Q865" s="17">
        <f t="shared" ref="Q865" si="4311">SUM(D859:D865)</f>
        <v>505592</v>
      </c>
      <c r="R865" s="16"/>
      <c r="S865" s="60">
        <f t="shared" ref="S865" si="4312">+(Q865-Q858)/Q858</f>
        <v>7.8138704173244672E-3</v>
      </c>
      <c r="T865" s="16"/>
      <c r="U865" s="41"/>
      <c r="V865" s="10">
        <f t="shared" si="558"/>
        <v>757</v>
      </c>
      <c r="W865" s="34">
        <v>67</v>
      </c>
      <c r="X865" s="33">
        <v>4256</v>
      </c>
      <c r="Y865" s="33"/>
      <c r="Z865" s="33">
        <f t="shared" ref="Z865" si="4313">SUM(W860:W865)</f>
        <v>1454</v>
      </c>
      <c r="AA865" s="33">
        <f t="shared" ref="AA865" si="4314">+AA864+W865</f>
        <v>907482</v>
      </c>
      <c r="AB865" s="33"/>
      <c r="AC865" s="46">
        <f t="shared" ref="AC865" si="4315">+AA865/H865</f>
        <v>1.161122647077429E-2</v>
      </c>
      <c r="AD865" s="33"/>
      <c r="AE865" s="33">
        <f t="shared" ref="AE865" si="4316">+AA865/BW865</f>
        <v>1060.1425233644859</v>
      </c>
      <c r="AF865" s="50"/>
      <c r="AG865" s="33"/>
      <c r="AH865" s="33"/>
      <c r="AI865" s="213"/>
      <c r="AJ865" s="50"/>
      <c r="AL865" s="23">
        <f t="shared" ref="AL865" si="4317">+AP865-AP864</f>
        <v>107336</v>
      </c>
      <c r="AM865" s="24"/>
      <c r="AN865" s="24"/>
      <c r="AO865" s="24">
        <v>178263</v>
      </c>
      <c r="AP865" s="24">
        <v>87328322</v>
      </c>
      <c r="AQ865" s="24">
        <v>20336656</v>
      </c>
      <c r="AR865" s="461">
        <f t="shared" ref="AR865" si="4318">+AL865/AP864</f>
        <v>1.2306212635569151E-3</v>
      </c>
      <c r="AS865" s="25"/>
      <c r="AT865" s="25"/>
      <c r="AU865" s="24"/>
      <c r="AV865" s="298">
        <f t="shared" ref="AV865" si="4319">+AP865/H865</f>
        <v>1.1173653296205333</v>
      </c>
      <c r="AW865" s="298"/>
      <c r="AX865" s="24">
        <f t="shared" ref="AX865" si="4320">+AP865/BW865</f>
        <v>102019.06775700934</v>
      </c>
      <c r="AY865" s="308"/>
      <c r="BA865" s="65">
        <f t="shared" ref="BA865" si="4321">+BC865-BC864</f>
        <v>153347</v>
      </c>
      <c r="BB865" s="66"/>
      <c r="BC865" s="66">
        <v>1065167222</v>
      </c>
      <c r="BD865" s="66"/>
      <c r="BE865" s="66">
        <f t="shared" ref="BE865" si="4322">+D865</f>
        <v>26497</v>
      </c>
      <c r="BF865" s="66"/>
      <c r="BG865" s="144">
        <f t="shared" ref="BG865" si="4323">+BE865/BA865</f>
        <v>0.17279112079140771</v>
      </c>
      <c r="BH865" s="66"/>
      <c r="BI865" s="170"/>
      <c r="BJ865" s="66"/>
      <c r="BK865" s="66"/>
      <c r="BL865" s="66"/>
      <c r="BM865" s="144"/>
      <c r="BN865" s="65">
        <f t="shared" ref="BN865" si="4324">+BC865/BW865</f>
        <v>1244354.2313084111</v>
      </c>
      <c r="BO865" s="66"/>
      <c r="BP865" s="66">
        <f t="shared" ref="BP865" si="4325">+BP864+BE865</f>
        <v>77248590</v>
      </c>
      <c r="BQ865" s="66"/>
      <c r="BR865" s="435">
        <f t="shared" ref="BR865" si="4326">+BP865/BC865</f>
        <v>7.2522500133786499E-2</v>
      </c>
      <c r="BS865" s="66"/>
      <c r="BT865" s="75"/>
      <c r="BU865" s="170"/>
      <c r="BV865" s="1"/>
      <c r="BW865" s="61">
        <f t="shared" si="1544"/>
        <v>856</v>
      </c>
      <c r="BY865" s="59"/>
    </row>
    <row r="866" spans="2:85" x14ac:dyDescent="0.75">
      <c r="B866" s="347">
        <f t="shared" si="3706"/>
        <v>44766</v>
      </c>
      <c r="C866" s="61"/>
      <c r="D866" s="17">
        <v>22556</v>
      </c>
      <c r="E866" s="16"/>
      <c r="F866" s="16"/>
      <c r="G866" s="16"/>
      <c r="H866" s="16">
        <f t="shared" ref="H866" si="4327">+H865+D866</f>
        <v>78178124</v>
      </c>
      <c r="I866" s="16"/>
      <c r="J866" s="436">
        <f t="shared" ref="J866" si="4328">+D866/H865</f>
        <v>2.8860387784527392E-4</v>
      </c>
      <c r="K866" s="16"/>
      <c r="L866" s="16"/>
      <c r="M866" s="16"/>
      <c r="N866" s="16">
        <f t="shared" ref="N866" si="4329">SUM(D860:D866)</f>
        <v>503391</v>
      </c>
      <c r="O866" s="16">
        <f t="shared" ref="O866" si="4330">+H866/BW866</f>
        <v>91223.01516919487</v>
      </c>
      <c r="P866" s="41"/>
      <c r="Q866" s="17">
        <f t="shared" ref="Q866" si="4331">SUM(D860:D866)</f>
        <v>503391</v>
      </c>
      <c r="R866" s="16"/>
      <c r="S866" s="60">
        <f t="shared" ref="S866" si="4332">+(Q866-Q859)/Q859</f>
        <v>1.793070508865848E-3</v>
      </c>
      <c r="T866" s="16"/>
      <c r="U866" s="41"/>
      <c r="V866" s="10">
        <f t="shared" si="558"/>
        <v>758</v>
      </c>
      <c r="W866" s="34">
        <v>17</v>
      </c>
      <c r="X866" s="33">
        <v>4256</v>
      </c>
      <c r="Y866" s="33"/>
      <c r="Z866" s="33">
        <f t="shared" ref="Z866" si="4333">SUM(W861:W866)</f>
        <v>1322</v>
      </c>
      <c r="AA866" s="33">
        <f t="shared" ref="AA866" si="4334">+AA865+W866</f>
        <v>907499</v>
      </c>
      <c r="AB866" s="33"/>
      <c r="AC866" s="46">
        <f t="shared" ref="AC866" si="4335">+AA866/H866</f>
        <v>1.1608093844769159E-2</v>
      </c>
      <c r="AD866" s="33"/>
      <c r="AE866" s="33">
        <f t="shared" ref="AE866" si="4336">+AA866/BW866</f>
        <v>1058.9253208868145</v>
      </c>
      <c r="AF866" s="50"/>
      <c r="AG866" s="33"/>
      <c r="AH866" s="33"/>
      <c r="AI866" s="213"/>
      <c r="AJ866" s="50"/>
      <c r="AL866" s="23">
        <f t="shared" ref="AL866" si="4337">+AP866-AP865</f>
        <v>103862</v>
      </c>
      <c r="AM866" s="24"/>
      <c r="AN866" s="24"/>
      <c r="AO866" s="24">
        <v>178263</v>
      </c>
      <c r="AP866" s="24">
        <v>87432184</v>
      </c>
      <c r="AQ866" s="24">
        <v>20336656</v>
      </c>
      <c r="AR866" s="461">
        <f t="shared" ref="AR866" si="4338">+AL866/AP865</f>
        <v>1.1893277876105302E-3</v>
      </c>
      <c r="AS866" s="25"/>
      <c r="AT866" s="25"/>
      <c r="AU866" s="24"/>
      <c r="AV866" s="298">
        <f t="shared" ref="AV866" si="4339">+AP866/H866</f>
        <v>1.1183714769108555</v>
      </c>
      <c r="AW866" s="298"/>
      <c r="AX866" s="24">
        <f t="shared" ref="AX866" si="4340">+AP866/BW866</f>
        <v>102021.21820303384</v>
      </c>
      <c r="AY866" s="308"/>
      <c r="BA866" s="65">
        <f t="shared" ref="BA866" si="4341">+BC866-BC865</f>
        <v>139303</v>
      </c>
      <c r="BB866" s="66"/>
      <c r="BC866" s="66">
        <v>1065306525</v>
      </c>
      <c r="BD866" s="66"/>
      <c r="BE866" s="66">
        <f t="shared" ref="BE866" si="4342">+D866</f>
        <v>22556</v>
      </c>
      <c r="BF866" s="66"/>
      <c r="BG866" s="144">
        <f t="shared" ref="BG866" si="4343">+BE866/BA866</f>
        <v>0.16192041808144836</v>
      </c>
      <c r="BH866" s="66"/>
      <c r="BI866" s="170"/>
      <c r="BJ866" s="66"/>
      <c r="BK866" s="66"/>
      <c r="BL866" s="66"/>
      <c r="BM866" s="144"/>
      <c r="BN866" s="65">
        <f t="shared" ref="BN866" si="4344">+BC866/BW866</f>
        <v>1243064.7899649942</v>
      </c>
      <c r="BO866" s="66"/>
      <c r="BP866" s="66">
        <f t="shared" ref="BP866" si="4345">+BP865+BE866</f>
        <v>77271146</v>
      </c>
      <c r="BQ866" s="66"/>
      <c r="BR866" s="435">
        <f t="shared" ref="BR866" si="4346">+BP866/BC866</f>
        <v>7.253419010082568E-2</v>
      </c>
      <c r="BS866" s="66"/>
      <c r="BT866" s="75"/>
      <c r="BU866" s="170"/>
      <c r="BV866" s="1"/>
      <c r="BW866" s="61">
        <f t="shared" si="1544"/>
        <v>857</v>
      </c>
      <c r="BY866" s="59"/>
    </row>
    <row r="867" spans="2:85" x14ac:dyDescent="0.75">
      <c r="B867" s="158">
        <f t="shared" si="3706"/>
        <v>44767</v>
      </c>
      <c r="C867" s="61"/>
      <c r="D867" s="17"/>
      <c r="E867" s="16"/>
      <c r="F867" s="16"/>
      <c r="G867" s="16"/>
      <c r="H867" s="16"/>
      <c r="I867" s="16"/>
      <c r="J867" s="436"/>
      <c r="K867" s="16"/>
      <c r="L867" s="16"/>
      <c r="M867" s="16"/>
      <c r="N867" s="16"/>
      <c r="O867" s="16"/>
      <c r="P867" s="41"/>
      <c r="Q867" s="410"/>
      <c r="R867" s="16"/>
      <c r="S867" s="60"/>
      <c r="T867" s="16"/>
      <c r="U867" s="41"/>
      <c r="V867" s="10"/>
      <c r="W867" s="34"/>
      <c r="X867" s="33"/>
      <c r="Y867" s="33"/>
      <c r="Z867" s="33"/>
      <c r="AA867" s="33"/>
      <c r="AB867" s="33"/>
      <c r="AC867" s="46"/>
      <c r="AD867" s="33"/>
      <c r="AE867" s="33"/>
      <c r="AF867" s="50"/>
      <c r="AG867" s="33"/>
      <c r="AH867" s="33"/>
      <c r="AI867" s="213"/>
      <c r="AJ867" s="50"/>
      <c r="AK867" s="10"/>
      <c r="AL867" s="23"/>
      <c r="AM867" s="24"/>
      <c r="AN867" s="24"/>
      <c r="AO867" s="24"/>
      <c r="AP867" s="24"/>
      <c r="AQ867" s="24"/>
      <c r="AR867" s="461"/>
      <c r="AS867" s="25"/>
      <c r="AT867" s="25"/>
      <c r="AU867" s="24"/>
      <c r="AV867" s="298"/>
      <c r="AW867" s="298"/>
      <c r="AX867" s="24"/>
      <c r="AY867" s="308"/>
      <c r="AZ867" s="10"/>
      <c r="BA867" s="65"/>
      <c r="BB867" s="66"/>
      <c r="BC867" s="66"/>
      <c r="BD867" s="66"/>
      <c r="BE867" s="66"/>
      <c r="BF867" s="66"/>
      <c r="BG867" s="144"/>
      <c r="BH867" s="66"/>
      <c r="BI867" s="170"/>
      <c r="BJ867" s="66"/>
      <c r="BK867" s="66"/>
      <c r="BL867" s="66"/>
      <c r="BM867" s="144"/>
      <c r="BN867" s="65"/>
      <c r="BO867" s="66"/>
      <c r="BP867" s="66"/>
      <c r="BQ867" s="66"/>
      <c r="BR867" s="435"/>
      <c r="BS867" s="66"/>
      <c r="BT867" s="75"/>
      <c r="BU867" s="170"/>
      <c r="BV867" s="1"/>
      <c r="BW867" s="61"/>
      <c r="BY867" s="59"/>
    </row>
    <row r="868" spans="2:85" x14ac:dyDescent="0.75">
      <c r="B868" s="158">
        <f t="shared" si="3706"/>
        <v>44768</v>
      </c>
      <c r="C868" s="61"/>
      <c r="D868" s="17"/>
      <c r="E868" s="16"/>
      <c r="F868" s="16"/>
      <c r="G868" s="16"/>
      <c r="H868" s="16"/>
      <c r="I868" s="16"/>
      <c r="J868" s="436"/>
      <c r="K868" s="16"/>
      <c r="L868" s="16"/>
      <c r="M868" s="16"/>
      <c r="N868" s="16"/>
      <c r="O868" s="16"/>
      <c r="P868" s="41"/>
      <c r="Q868" s="410"/>
      <c r="R868" s="16"/>
      <c r="S868" s="60"/>
      <c r="T868" s="16"/>
      <c r="U868" s="41"/>
      <c r="V868" s="10"/>
      <c r="W868" s="34"/>
      <c r="X868" s="33"/>
      <c r="Y868" s="33"/>
      <c r="Z868" s="33"/>
      <c r="AA868" s="33"/>
      <c r="AB868" s="33"/>
      <c r="AC868" s="46"/>
      <c r="AD868" s="33"/>
      <c r="AE868" s="33"/>
      <c r="AF868" s="50"/>
      <c r="AG868" s="33"/>
      <c r="AH868" s="33"/>
      <c r="AI868" s="213"/>
      <c r="AJ868" s="50"/>
      <c r="AK868" s="10"/>
      <c r="AL868" s="23"/>
      <c r="AM868" s="24"/>
      <c r="AN868" s="24"/>
      <c r="AO868" s="24"/>
      <c r="AP868" s="24"/>
      <c r="AQ868" s="24"/>
      <c r="AR868" s="461"/>
      <c r="AS868" s="25"/>
      <c r="AT868" s="25"/>
      <c r="AU868" s="24"/>
      <c r="AV868" s="298"/>
      <c r="AW868" s="298"/>
      <c r="AX868" s="24"/>
      <c r="AY868" s="308"/>
      <c r="AZ868" s="10"/>
      <c r="BA868" s="65"/>
      <c r="BB868" s="66"/>
      <c r="BC868" s="66"/>
      <c r="BD868" s="66"/>
      <c r="BE868" s="66"/>
      <c r="BF868" s="66"/>
      <c r="BG868" s="144"/>
      <c r="BH868" s="66"/>
      <c r="BI868" s="170"/>
      <c r="BJ868" s="66"/>
      <c r="BK868" s="66"/>
      <c r="BL868" s="66"/>
      <c r="BM868" s="144"/>
      <c r="BN868" s="65"/>
      <c r="BO868" s="66"/>
      <c r="BP868" s="66"/>
      <c r="BQ868" s="66"/>
      <c r="BR868" s="435"/>
      <c r="BS868" s="66"/>
      <c r="BT868" s="75"/>
      <c r="BU868" s="170"/>
      <c r="BV868" s="1"/>
      <c r="BW868" s="61"/>
      <c r="BY868" s="59"/>
    </row>
    <row r="869" spans="2:85" x14ac:dyDescent="0.75">
      <c r="B869" s="158">
        <f t="shared" si="3706"/>
        <v>44769</v>
      </c>
      <c r="C869" s="61"/>
      <c r="D869" s="17"/>
      <c r="E869" s="16"/>
      <c r="F869" s="16"/>
      <c r="G869" s="16"/>
      <c r="H869" s="16"/>
      <c r="I869" s="16"/>
      <c r="J869" s="436"/>
      <c r="K869" s="16"/>
      <c r="L869" s="16"/>
      <c r="M869" s="16"/>
      <c r="N869" s="16"/>
      <c r="O869" s="16"/>
      <c r="P869" s="41"/>
      <c r="Q869" s="410"/>
      <c r="R869" s="16"/>
      <c r="S869" s="60"/>
      <c r="T869" s="16"/>
      <c r="U869" s="41"/>
      <c r="V869" s="10"/>
      <c r="W869" s="34"/>
      <c r="X869" s="33"/>
      <c r="Y869" s="33"/>
      <c r="Z869" s="33"/>
      <c r="AA869" s="33"/>
      <c r="AB869" s="33"/>
      <c r="AC869" s="46"/>
      <c r="AD869" s="33"/>
      <c r="AE869" s="33"/>
      <c r="AF869" s="50"/>
      <c r="AG869" s="33"/>
      <c r="AH869" s="33"/>
      <c r="AI869" s="213"/>
      <c r="AJ869" s="50"/>
      <c r="AK869" s="10"/>
      <c r="AL869" s="23"/>
      <c r="AM869" s="24"/>
      <c r="AN869" s="24"/>
      <c r="AO869" s="24"/>
      <c r="AP869" s="24"/>
      <c r="AQ869" s="24"/>
      <c r="AR869" s="461"/>
      <c r="AS869" s="25"/>
      <c r="AT869" s="25"/>
      <c r="AU869" s="24"/>
      <c r="AV869" s="298"/>
      <c r="AW869" s="298"/>
      <c r="AX869" s="24"/>
      <c r="AY869" s="308"/>
      <c r="AZ869" s="10"/>
      <c r="BA869" s="65"/>
      <c r="BB869" s="66"/>
      <c r="BC869" s="66"/>
      <c r="BD869" s="66"/>
      <c r="BE869" s="66"/>
      <c r="BF869" s="66"/>
      <c r="BG869" s="144"/>
      <c r="BH869" s="66"/>
      <c r="BI869" s="170"/>
      <c r="BJ869" s="66"/>
      <c r="BK869" s="66"/>
      <c r="BL869" s="66"/>
      <c r="BM869" s="144"/>
      <c r="BN869" s="65"/>
      <c r="BO869" s="66"/>
      <c r="BP869" s="66"/>
      <c r="BQ869" s="66"/>
      <c r="BR869" s="435"/>
      <c r="BS869" s="66"/>
      <c r="BT869" s="75"/>
      <c r="BU869" s="170"/>
      <c r="BV869" s="1"/>
      <c r="BW869" s="61">
        <f>+BW860+1</f>
        <v>852</v>
      </c>
      <c r="BY869" s="59"/>
    </row>
    <row r="870" spans="2:85" x14ac:dyDescent="0.75">
      <c r="B870" s="158">
        <f t="shared" si="3706"/>
        <v>44770</v>
      </c>
      <c r="D870" s="559"/>
      <c r="E870" s="19"/>
      <c r="F870" s="19"/>
      <c r="G870" s="19"/>
      <c r="H870" s="19"/>
      <c r="I870" s="19"/>
      <c r="J870" s="39"/>
      <c r="K870" s="19"/>
      <c r="L870" s="19"/>
      <c r="M870" s="19"/>
      <c r="N870" s="19"/>
      <c r="O870" s="19"/>
      <c r="P870" s="43"/>
      <c r="Q870" s="18"/>
      <c r="R870" s="19"/>
      <c r="S870" s="19"/>
      <c r="T870" s="19"/>
      <c r="U870" s="43"/>
      <c r="V870" s="1"/>
      <c r="W870" s="35"/>
      <c r="X870" s="36"/>
      <c r="Y870" s="36"/>
      <c r="Z870" s="36"/>
      <c r="AA870" s="36"/>
      <c r="AB870" s="36"/>
      <c r="AC870" s="47"/>
      <c r="AD870" s="36"/>
      <c r="AE870" s="36"/>
      <c r="AF870" s="51"/>
      <c r="AG870" s="36"/>
      <c r="AH870" s="36"/>
      <c r="AI870" s="36"/>
      <c r="AJ870" s="51"/>
      <c r="AK870" s="1"/>
      <c r="AL870" s="26"/>
      <c r="AM870" s="27"/>
      <c r="AN870" s="27"/>
      <c r="AO870" s="27"/>
      <c r="AP870" s="27"/>
      <c r="AQ870" s="27"/>
      <c r="AR870" s="27"/>
      <c r="AS870" s="27"/>
      <c r="AT870" s="27"/>
      <c r="AU870" s="27"/>
      <c r="AV870" s="300"/>
      <c r="AW870" s="300"/>
      <c r="AX870" s="27"/>
      <c r="AY870" s="307"/>
      <c r="AZ870" s="1"/>
      <c r="BA870" s="67"/>
      <c r="BB870" s="68"/>
      <c r="BC870" s="68"/>
      <c r="BD870" s="68"/>
      <c r="BE870" s="68"/>
      <c r="BF870" s="68"/>
      <c r="BG870" s="68"/>
      <c r="BH870" s="68"/>
      <c r="BI870" s="171"/>
      <c r="BJ870" s="68"/>
      <c r="BK870" s="68"/>
      <c r="BL870" s="68"/>
      <c r="BM870" s="68"/>
      <c r="BN870" s="67"/>
      <c r="BO870" s="68"/>
      <c r="BP870" s="68"/>
      <c r="BQ870" s="68"/>
      <c r="BR870" s="70"/>
      <c r="BS870" s="68"/>
      <c r="BT870" s="68"/>
      <c r="BU870" s="171"/>
      <c r="BV870" s="1"/>
      <c r="BW870" s="61">
        <f>+BW832+1</f>
        <v>824</v>
      </c>
    </row>
    <row r="871" spans="2:85" x14ac:dyDescent="0.75">
      <c r="B871" s="56"/>
      <c r="D871" s="1"/>
      <c r="E871" s="1"/>
      <c r="F871" s="1"/>
      <c r="G871" s="1"/>
      <c r="H871" s="59"/>
      <c r="I871" s="1"/>
      <c r="J871" s="59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59"/>
      <c r="X871" s="1"/>
      <c r="Y871" s="1"/>
      <c r="Z871" s="1"/>
      <c r="AA871" s="1"/>
      <c r="AB871" s="1"/>
      <c r="AC871" s="59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59"/>
      <c r="BD871" s="1"/>
      <c r="BE871" s="59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</row>
    <row r="872" spans="2:85" x14ac:dyDescent="0.75">
      <c r="B872" s="166" t="s">
        <v>74</v>
      </c>
      <c r="D872" s="56">
        <f>+D866</f>
        <v>22556</v>
      </c>
      <c r="E872" s="56">
        <f>+E238</f>
        <v>0</v>
      </c>
      <c r="F872" s="56">
        <f>+F238</f>
        <v>0</v>
      </c>
      <c r="G872" s="56">
        <f>+G238</f>
        <v>0</v>
      </c>
      <c r="H872" s="56">
        <f t="shared" ref="H872:BP872" si="4347">+H866</f>
        <v>78178124</v>
      </c>
      <c r="I872" s="56">
        <f t="shared" si="4347"/>
        <v>0</v>
      </c>
      <c r="J872" s="56">
        <f t="shared" si="4347"/>
        <v>2.8860387784527392E-4</v>
      </c>
      <c r="K872" s="56">
        <f t="shared" si="4347"/>
        <v>0</v>
      </c>
      <c r="L872" s="56">
        <f t="shared" si="4347"/>
        <v>0</v>
      </c>
      <c r="M872" s="56">
        <f t="shared" si="4347"/>
        <v>0</v>
      </c>
      <c r="N872" s="56">
        <f t="shared" si="4347"/>
        <v>503391</v>
      </c>
      <c r="O872" s="56">
        <f t="shared" si="4347"/>
        <v>91223.01516919487</v>
      </c>
      <c r="P872" s="56">
        <f t="shared" si="4347"/>
        <v>0</v>
      </c>
      <c r="Q872" s="56">
        <f t="shared" si="4347"/>
        <v>503391</v>
      </c>
      <c r="R872" s="56">
        <f t="shared" si="4347"/>
        <v>0</v>
      </c>
      <c r="S872" s="56">
        <f t="shared" si="4347"/>
        <v>1.793070508865848E-3</v>
      </c>
      <c r="T872" s="56">
        <f t="shared" si="4347"/>
        <v>0</v>
      </c>
      <c r="U872" s="56">
        <f t="shared" si="4347"/>
        <v>0</v>
      </c>
      <c r="V872" s="56">
        <f t="shared" si="4347"/>
        <v>758</v>
      </c>
      <c r="W872" s="56">
        <f t="shared" si="4347"/>
        <v>17</v>
      </c>
      <c r="X872" s="56">
        <f t="shared" si="4347"/>
        <v>4256</v>
      </c>
      <c r="Y872" s="56">
        <f t="shared" si="4347"/>
        <v>0</v>
      </c>
      <c r="Z872" s="56">
        <f t="shared" si="4347"/>
        <v>1322</v>
      </c>
      <c r="AA872" s="56">
        <f t="shared" si="4347"/>
        <v>907499</v>
      </c>
      <c r="AB872" s="56">
        <f t="shared" si="4347"/>
        <v>0</v>
      </c>
      <c r="AC872" s="56">
        <f t="shared" si="4347"/>
        <v>1.1608093844769159E-2</v>
      </c>
      <c r="AD872" s="56">
        <f t="shared" si="4347"/>
        <v>0</v>
      </c>
      <c r="AE872" s="56">
        <f t="shared" si="4347"/>
        <v>1058.9253208868145</v>
      </c>
      <c r="AF872" s="56">
        <f t="shared" si="4347"/>
        <v>0</v>
      </c>
      <c r="AG872" s="56">
        <f t="shared" si="4347"/>
        <v>0</v>
      </c>
      <c r="AH872" s="56">
        <f t="shared" si="4347"/>
        <v>0</v>
      </c>
      <c r="AI872" s="56">
        <f t="shared" si="4347"/>
        <v>0</v>
      </c>
      <c r="AJ872" s="56">
        <f t="shared" si="4347"/>
        <v>0</v>
      </c>
      <c r="AK872" s="56">
        <f t="shared" si="4347"/>
        <v>0</v>
      </c>
      <c r="AL872" s="56">
        <f t="shared" si="4347"/>
        <v>103862</v>
      </c>
      <c r="AM872" s="56">
        <f t="shared" si="4347"/>
        <v>0</v>
      </c>
      <c r="AN872" s="56">
        <f t="shared" si="4347"/>
        <v>0</v>
      </c>
      <c r="AO872" s="56">
        <f t="shared" si="4347"/>
        <v>178263</v>
      </c>
      <c r="AP872" s="56">
        <f t="shared" si="4347"/>
        <v>87432184</v>
      </c>
      <c r="AQ872" s="56">
        <f t="shared" si="4347"/>
        <v>20336656</v>
      </c>
      <c r="AR872" s="56">
        <f t="shared" si="4347"/>
        <v>1.1893277876105302E-3</v>
      </c>
      <c r="AS872" s="56">
        <f t="shared" si="4347"/>
        <v>0</v>
      </c>
      <c r="AT872" s="56">
        <f t="shared" si="4347"/>
        <v>0</v>
      </c>
      <c r="AU872" s="56">
        <f t="shared" si="4347"/>
        <v>0</v>
      </c>
      <c r="AV872" s="56">
        <f t="shared" si="4347"/>
        <v>1.1183714769108555</v>
      </c>
      <c r="AW872" s="56">
        <f t="shared" si="4347"/>
        <v>0</v>
      </c>
      <c r="AX872" s="56">
        <f t="shared" si="4347"/>
        <v>102021.21820303384</v>
      </c>
      <c r="AY872" s="56">
        <f t="shared" si="4347"/>
        <v>0</v>
      </c>
      <c r="AZ872" s="56">
        <f t="shared" si="4347"/>
        <v>0</v>
      </c>
      <c r="BA872" s="56">
        <f t="shared" si="4347"/>
        <v>139303</v>
      </c>
      <c r="BB872" s="56">
        <f t="shared" si="4347"/>
        <v>0</v>
      </c>
      <c r="BC872" s="56">
        <f t="shared" si="4347"/>
        <v>1065306525</v>
      </c>
      <c r="BD872" s="56">
        <f t="shared" si="4347"/>
        <v>0</v>
      </c>
      <c r="BE872" s="56">
        <f t="shared" si="4347"/>
        <v>22556</v>
      </c>
      <c r="BF872" s="56">
        <f t="shared" si="4347"/>
        <v>0</v>
      </c>
      <c r="BG872" s="56">
        <f t="shared" si="4347"/>
        <v>0.16192041808144836</v>
      </c>
      <c r="BH872" s="56">
        <f t="shared" si="4347"/>
        <v>0</v>
      </c>
      <c r="BI872" s="56">
        <f t="shared" si="4347"/>
        <v>0</v>
      </c>
      <c r="BJ872" s="56">
        <f t="shared" si="4347"/>
        <v>0</v>
      </c>
      <c r="BK872" s="56">
        <f t="shared" si="4347"/>
        <v>0</v>
      </c>
      <c r="BL872" s="56">
        <f t="shared" si="4347"/>
        <v>0</v>
      </c>
      <c r="BM872" s="56">
        <f t="shared" si="4347"/>
        <v>0</v>
      </c>
      <c r="BN872" s="56">
        <f t="shared" si="4347"/>
        <v>1243064.7899649942</v>
      </c>
      <c r="BO872" s="56">
        <f t="shared" si="4347"/>
        <v>0</v>
      </c>
      <c r="BP872" s="56">
        <f t="shared" si="4347"/>
        <v>77271146</v>
      </c>
      <c r="BQ872" s="56">
        <f t="shared" ref="BQ872" si="4348">+BQ731</f>
        <v>0</v>
      </c>
      <c r="BR872" s="56"/>
      <c r="BS872" s="56"/>
      <c r="BT872" s="56"/>
      <c r="BU872" s="56">
        <f>+BU509</f>
        <v>0</v>
      </c>
      <c r="BV872" s="56">
        <f>+BV505</f>
        <v>0</v>
      </c>
      <c r="BW872" s="56"/>
      <c r="BX872" s="56"/>
      <c r="BY872" s="56"/>
      <c r="BZ872" s="56"/>
      <c r="CA872" s="56"/>
      <c r="CB872" s="56"/>
      <c r="CC872" s="56"/>
      <c r="CD872" s="56"/>
      <c r="CE872" s="61"/>
      <c r="CF872" s="61"/>
      <c r="CG872" s="145"/>
    </row>
    <row r="873" spans="2:85" x14ac:dyDescent="0.75">
      <c r="B873" t="s">
        <v>105</v>
      </c>
      <c r="D873" s="56">
        <f>+D865-D872</f>
        <v>3941</v>
      </c>
      <c r="E873" s="56">
        <f>+E237-E872</f>
        <v>0</v>
      </c>
      <c r="F873" s="56">
        <f>+F237-F872</f>
        <v>0</v>
      </c>
      <c r="G873" s="56">
        <f>+G237-G872</f>
        <v>0</v>
      </c>
      <c r="H873" s="56">
        <f t="shared" ref="H873:BP873" si="4349">+H865-H872</f>
        <v>-22556</v>
      </c>
      <c r="I873" s="56">
        <f t="shared" si="4349"/>
        <v>0</v>
      </c>
      <c r="J873" s="56">
        <f t="shared" si="4349"/>
        <v>5.0540049771630679E-5</v>
      </c>
      <c r="K873" s="56">
        <f t="shared" si="4349"/>
        <v>0</v>
      </c>
      <c r="L873" s="56">
        <f t="shared" si="4349"/>
        <v>0</v>
      </c>
      <c r="M873" s="56">
        <f t="shared" si="4349"/>
        <v>0</v>
      </c>
      <c r="N873" s="56">
        <f t="shared" si="4349"/>
        <v>2201</v>
      </c>
      <c r="O873" s="56">
        <f t="shared" si="4349"/>
        <v>80.218475664936705</v>
      </c>
      <c r="P873" s="56">
        <f t="shared" si="4349"/>
        <v>0</v>
      </c>
      <c r="Q873" s="56">
        <f t="shared" si="4349"/>
        <v>2201</v>
      </c>
      <c r="R873" s="56">
        <f t="shared" si="4349"/>
        <v>0</v>
      </c>
      <c r="S873" s="56">
        <f t="shared" si="4349"/>
        <v>6.0207999084586194E-3</v>
      </c>
      <c r="T873" s="56">
        <f t="shared" si="4349"/>
        <v>0</v>
      </c>
      <c r="U873" s="56">
        <f t="shared" si="4349"/>
        <v>0</v>
      </c>
      <c r="V873" s="56">
        <f t="shared" si="4349"/>
        <v>-1</v>
      </c>
      <c r="W873" s="56">
        <f t="shared" si="4349"/>
        <v>50</v>
      </c>
      <c r="X873" s="56">
        <f t="shared" si="4349"/>
        <v>0</v>
      </c>
      <c r="Y873" s="56">
        <f t="shared" si="4349"/>
        <v>0</v>
      </c>
      <c r="Z873" s="56">
        <f t="shared" si="4349"/>
        <v>132</v>
      </c>
      <c r="AA873" s="56">
        <f t="shared" si="4349"/>
        <v>-17</v>
      </c>
      <c r="AB873" s="56">
        <f t="shared" si="4349"/>
        <v>0</v>
      </c>
      <c r="AC873" s="56">
        <f t="shared" si="4349"/>
        <v>3.1326260051308535E-6</v>
      </c>
      <c r="AD873" s="56">
        <f t="shared" si="4349"/>
        <v>0</v>
      </c>
      <c r="AE873" s="56">
        <f t="shared" si="4349"/>
        <v>1.2172024776714352</v>
      </c>
      <c r="AF873" s="56">
        <f t="shared" si="4349"/>
        <v>0</v>
      </c>
      <c r="AG873" s="56">
        <f t="shared" si="4349"/>
        <v>0</v>
      </c>
      <c r="AH873" s="56">
        <f t="shared" si="4349"/>
        <v>0</v>
      </c>
      <c r="AI873" s="56">
        <f t="shared" si="4349"/>
        <v>0</v>
      </c>
      <c r="AJ873" s="56">
        <f t="shared" si="4349"/>
        <v>0</v>
      </c>
      <c r="AK873" s="56">
        <f t="shared" si="4349"/>
        <v>0</v>
      </c>
      <c r="AL873" s="56">
        <f t="shared" si="4349"/>
        <v>3474</v>
      </c>
      <c r="AM873" s="56">
        <f t="shared" si="4349"/>
        <v>0</v>
      </c>
      <c r="AN873" s="56">
        <f t="shared" si="4349"/>
        <v>0</v>
      </c>
      <c r="AO873" s="56">
        <f t="shared" si="4349"/>
        <v>0</v>
      </c>
      <c r="AP873" s="56">
        <f t="shared" si="4349"/>
        <v>-103862</v>
      </c>
      <c r="AQ873" s="56">
        <f t="shared" si="4349"/>
        <v>0</v>
      </c>
      <c r="AR873" s="56">
        <f t="shared" si="4349"/>
        <v>4.1293475946384923E-5</v>
      </c>
      <c r="AS873" s="56">
        <f t="shared" si="4349"/>
        <v>0</v>
      </c>
      <c r="AT873" s="56">
        <f t="shared" si="4349"/>
        <v>0</v>
      </c>
      <c r="AU873" s="56">
        <f t="shared" si="4349"/>
        <v>0</v>
      </c>
      <c r="AV873" s="56">
        <f t="shared" si="4349"/>
        <v>-1.0061472903222235E-3</v>
      </c>
      <c r="AW873" s="56">
        <f t="shared" si="4349"/>
        <v>0</v>
      </c>
      <c r="AX873" s="56">
        <f t="shared" si="4349"/>
        <v>-2.1504460245050723</v>
      </c>
      <c r="AY873" s="56">
        <f t="shared" si="4349"/>
        <v>0</v>
      </c>
      <c r="AZ873" s="56">
        <f t="shared" si="4349"/>
        <v>0</v>
      </c>
      <c r="BA873" s="56">
        <f t="shared" si="4349"/>
        <v>14044</v>
      </c>
      <c r="BB873" s="56">
        <f t="shared" si="4349"/>
        <v>0</v>
      </c>
      <c r="BC873" s="56">
        <f t="shared" si="4349"/>
        <v>-139303</v>
      </c>
      <c r="BD873" s="56">
        <f t="shared" si="4349"/>
        <v>0</v>
      </c>
      <c r="BE873" s="56">
        <f t="shared" si="4349"/>
        <v>3941</v>
      </c>
      <c r="BF873" s="56">
        <f t="shared" si="4349"/>
        <v>0</v>
      </c>
      <c r="BG873" s="56">
        <f t="shared" si="4349"/>
        <v>1.0870702709959351E-2</v>
      </c>
      <c r="BH873" s="56">
        <f t="shared" si="4349"/>
        <v>0</v>
      </c>
      <c r="BI873" s="56">
        <f t="shared" si="4349"/>
        <v>0</v>
      </c>
      <c r="BJ873" s="56">
        <f t="shared" si="4349"/>
        <v>0</v>
      </c>
      <c r="BK873" s="56">
        <f t="shared" si="4349"/>
        <v>0</v>
      </c>
      <c r="BL873" s="56">
        <f t="shared" si="4349"/>
        <v>0</v>
      </c>
      <c r="BM873" s="56">
        <f t="shared" si="4349"/>
        <v>0</v>
      </c>
      <c r="BN873" s="56">
        <f t="shared" si="4349"/>
        <v>1289.4413434169255</v>
      </c>
      <c r="BO873" s="56">
        <f t="shared" si="4349"/>
        <v>0</v>
      </c>
      <c r="BP873" s="56">
        <f t="shared" si="4349"/>
        <v>-22556</v>
      </c>
      <c r="BQ873" s="56">
        <f t="shared" ref="BQ873" si="4350">+BQ730-BQ872</f>
        <v>0</v>
      </c>
      <c r="BR873" s="56"/>
      <c r="BS873" s="56"/>
      <c r="BT873" s="56"/>
      <c r="BU873" s="56">
        <f>+BU508-BU872</f>
        <v>0</v>
      </c>
      <c r="BV873" s="56">
        <f>+BV504-BV872</f>
        <v>0</v>
      </c>
      <c r="BW873" s="56"/>
      <c r="BX873" s="56"/>
      <c r="BY873" s="56"/>
      <c r="BZ873" s="56"/>
      <c r="CA873" s="56"/>
      <c r="CB873" s="56"/>
      <c r="CC873" s="56"/>
      <c r="CD873" s="56"/>
      <c r="CE873" s="61"/>
      <c r="CF873" s="61"/>
      <c r="CG873" s="105"/>
    </row>
    <row r="874" spans="2:85" x14ac:dyDescent="0.75">
      <c r="B874" s="56"/>
      <c r="D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10"/>
      <c r="BT874" s="10"/>
      <c r="BU874" s="10"/>
      <c r="BV874" s="10"/>
      <c r="BW874" s="10"/>
      <c r="BX874" s="10"/>
      <c r="BY874" s="10"/>
      <c r="BZ874" s="10"/>
      <c r="CA874" s="10"/>
      <c r="CB874" s="61"/>
      <c r="CC874" s="105"/>
      <c r="CD874" s="105"/>
      <c r="CE874" s="105"/>
      <c r="CF874" s="105"/>
    </row>
    <row r="875" spans="2:85" x14ac:dyDescent="0.75">
      <c r="B875" s="56"/>
      <c r="D875" s="56"/>
      <c r="H875" s="1"/>
      <c r="N875" s="145"/>
      <c r="O875" s="1"/>
      <c r="W875" s="56"/>
      <c r="AA875" s="59"/>
      <c r="BA875" s="59"/>
      <c r="BC875" s="56"/>
      <c r="BE875" s="59"/>
      <c r="BJ875" s="61"/>
      <c r="BK875" s="10">
        <f>+BK187</f>
        <v>4928581</v>
      </c>
      <c r="BL875" s="61"/>
      <c r="BM875" s="61"/>
      <c r="BN875" s="61"/>
      <c r="BO875" s="61"/>
      <c r="BP875" s="61"/>
      <c r="BQ875" s="61"/>
      <c r="BR875" s="61"/>
      <c r="BS875" s="10"/>
      <c r="BT875" s="10"/>
    </row>
    <row r="876" spans="2:85" x14ac:dyDescent="0.75">
      <c r="B876" s="56"/>
      <c r="D876" s="56"/>
      <c r="H876" s="56"/>
      <c r="N876" s="59"/>
      <c r="W876" s="56"/>
      <c r="AA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56"/>
      <c r="AU876" t="s">
        <v>161</v>
      </c>
      <c r="BC876" s="56"/>
      <c r="BE876" s="59"/>
      <c r="BH876" s="96"/>
      <c r="BI876" s="96"/>
      <c r="BJ876" s="96"/>
      <c r="BK876" s="493"/>
      <c r="BL876" s="96"/>
      <c r="BM876" s="96"/>
      <c r="BN876" s="96"/>
      <c r="BO876" s="96"/>
      <c r="BP876" s="96"/>
      <c r="BQ876" s="96"/>
      <c r="BR876" s="78"/>
      <c r="BS876" s="1"/>
      <c r="BT876" s="1"/>
    </row>
    <row r="877" spans="2:85" x14ac:dyDescent="0.75">
      <c r="D877" s="1"/>
      <c r="E877" s="111" t="s">
        <v>26</v>
      </c>
      <c r="F877" s="112"/>
      <c r="H877" s="112" t="s">
        <v>59</v>
      </c>
      <c r="I877" s="104"/>
      <c r="J877" s="104"/>
      <c r="K877" s="61"/>
      <c r="L877" s="10"/>
      <c r="W877" s="56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BA877" s="56">
        <f>SUM(BA853:BA859)</f>
        <v>3280069</v>
      </c>
      <c r="BC877" s="56">
        <f>+BA877/7</f>
        <v>468581.28571428574</v>
      </c>
      <c r="BE877" s="56"/>
      <c r="BG877" s="231"/>
      <c r="BH877" s="96"/>
      <c r="BI877" s="96"/>
      <c r="BJ877" s="96"/>
      <c r="BK877" s="493">
        <f>+BK194-BK872</f>
        <v>5763109</v>
      </c>
      <c r="BL877" s="96"/>
      <c r="BM877" s="96"/>
      <c r="BN877" s="96"/>
      <c r="BO877" s="96"/>
      <c r="BP877" s="96"/>
      <c r="BQ877" s="96"/>
      <c r="BR877" s="78"/>
      <c r="BS877" s="1"/>
      <c r="BT877" s="1"/>
    </row>
    <row r="878" spans="2:85" x14ac:dyDescent="0.75">
      <c r="B878" s="56"/>
      <c r="D878" s="1"/>
      <c r="E878" s="111" t="s">
        <v>38</v>
      </c>
      <c r="F878" s="112"/>
      <c r="H878" s="112" t="s">
        <v>40</v>
      </c>
      <c r="I878" s="10"/>
      <c r="J878" s="10"/>
      <c r="K878" s="61"/>
      <c r="L878" s="10"/>
      <c r="AD878" s="1"/>
      <c r="AE878" s="1"/>
      <c r="AF878" s="1"/>
      <c r="AG878" s="1"/>
      <c r="AH878" s="1"/>
      <c r="AI878" s="1">
        <f>SUM(W213:W243)</f>
        <v>25465</v>
      </c>
      <c r="AJ878" s="1"/>
      <c r="AK878" s="1"/>
      <c r="AL878" s="1" t="s">
        <v>17</v>
      </c>
      <c r="AM878" s="1"/>
      <c r="AN878" s="1"/>
      <c r="AO878" s="1"/>
      <c r="BC878" s="56"/>
      <c r="BE878" s="59"/>
      <c r="BH878" s="97"/>
      <c r="BI878" s="97"/>
      <c r="BJ878" s="97"/>
      <c r="BK878" s="493">
        <f>+BK187-BK872</f>
        <v>4928581</v>
      </c>
      <c r="BL878" s="97"/>
      <c r="BM878" s="97"/>
      <c r="BN878" s="97"/>
      <c r="BO878" s="97"/>
      <c r="BP878" s="97"/>
      <c r="BQ878" s="97"/>
      <c r="BR878" s="78"/>
      <c r="BS878" s="1"/>
      <c r="BT878" s="1"/>
    </row>
    <row r="879" spans="2:85" x14ac:dyDescent="0.75">
      <c r="B879" s="231"/>
      <c r="D879" s="1"/>
      <c r="E879" s="111" t="s">
        <v>45</v>
      </c>
      <c r="F879" s="112"/>
      <c r="H879" s="112" t="s">
        <v>55</v>
      </c>
      <c r="I879" s="10"/>
      <c r="J879" s="10"/>
      <c r="K879" s="61"/>
      <c r="L879" s="10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BC879" s="56"/>
      <c r="BE879" s="59"/>
      <c r="BH879" s="97"/>
      <c r="BI879" s="97"/>
      <c r="BJ879" s="97"/>
      <c r="BK879" s="493"/>
      <c r="BL879" s="97"/>
      <c r="BM879" s="97"/>
      <c r="BN879" s="97"/>
      <c r="BO879" s="97"/>
      <c r="BP879" s="97"/>
      <c r="BQ879" s="97"/>
      <c r="BR879" s="78"/>
      <c r="BS879" s="1"/>
      <c r="BT879" s="1"/>
    </row>
    <row r="880" spans="2:85" x14ac:dyDescent="0.75">
      <c r="D880" s="1"/>
      <c r="E880" s="111" t="s">
        <v>60</v>
      </c>
      <c r="F880" s="61"/>
      <c r="H880" s="81" t="s">
        <v>135</v>
      </c>
      <c r="I880" s="61"/>
      <c r="J880" s="61"/>
      <c r="K880" s="61"/>
      <c r="L880" s="6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BH880" s="97"/>
      <c r="BI880" s="97"/>
      <c r="BJ880" s="97"/>
      <c r="BK880" s="496"/>
      <c r="BL880" s="97"/>
      <c r="BM880" s="97"/>
      <c r="BN880" s="97"/>
      <c r="BO880" s="97"/>
      <c r="BP880" s="97"/>
      <c r="BQ880" s="97"/>
      <c r="BR880" s="78"/>
      <c r="BS880" s="1"/>
      <c r="BT880" s="1"/>
    </row>
    <row r="881" spans="2:72" x14ac:dyDescent="0.75">
      <c r="E881" s="111" t="s">
        <v>136</v>
      </c>
      <c r="H881" s="81" t="s">
        <v>137</v>
      </c>
      <c r="AD881" s="1"/>
      <c r="AE881" s="1"/>
      <c r="AF881" s="1"/>
      <c r="AG881" s="1"/>
      <c r="AH881" s="1"/>
      <c r="AI881" s="1"/>
      <c r="BD881" s="78"/>
      <c r="BE881" s="78"/>
      <c r="BF881" s="78"/>
      <c r="BG881" s="78"/>
      <c r="BH881" s="78"/>
      <c r="BI881" s="78"/>
      <c r="BJ881" s="78"/>
      <c r="BK881" s="494"/>
      <c r="BL881" s="78"/>
      <c r="BM881" s="78"/>
      <c r="BN881" s="78"/>
      <c r="BO881" s="78"/>
      <c r="BP881" s="78"/>
      <c r="BQ881" s="78"/>
      <c r="BR881" s="78"/>
      <c r="BS881" s="1"/>
      <c r="BT881" s="1"/>
    </row>
    <row r="882" spans="2:72" x14ac:dyDescent="0.75">
      <c r="B882" s="56"/>
      <c r="AD882" s="1"/>
      <c r="AE882" s="1"/>
      <c r="AF882" s="1"/>
      <c r="AG882" s="1"/>
      <c r="AH882" s="1"/>
      <c r="AI882" s="1"/>
      <c r="BA882" s="545"/>
      <c r="BK882" s="495"/>
    </row>
    <row r="883" spans="2:72" ht="15.5" thickBot="1" x14ac:dyDescent="0.9">
      <c r="D883" s="56"/>
      <c r="AD883" s="1"/>
      <c r="AE883" s="507"/>
      <c r="AF883" s="547"/>
      <c r="AG883" s="507"/>
      <c r="AH883" s="507"/>
      <c r="AI883" s="507"/>
      <c r="AJ883" s="500"/>
      <c r="AK883" s="500"/>
      <c r="AL883" s="500"/>
      <c r="AM883" s="500"/>
      <c r="AN883" s="500"/>
      <c r="AO883" s="500"/>
      <c r="AP883" s="500"/>
      <c r="AQ883" s="500"/>
      <c r="AR883" s="500"/>
      <c r="AS883" s="500"/>
      <c r="AT883" s="500"/>
      <c r="AU883" s="500"/>
      <c r="AV883" s="500"/>
      <c r="AW883" s="500"/>
      <c r="AX883" s="500"/>
      <c r="AZ883" s="106"/>
      <c r="BA883" s="106"/>
      <c r="BB883" s="106"/>
      <c r="BC883" s="106"/>
      <c r="BK883" s="1"/>
    </row>
    <row r="884" spans="2:72" x14ac:dyDescent="0.75">
      <c r="D884" s="531"/>
      <c r="J884" s="486"/>
      <c r="N884" s="56"/>
      <c r="V884" s="106"/>
      <c r="AA884" s="56"/>
      <c r="AD884" s="1"/>
      <c r="AE884" s="507"/>
      <c r="AF884" s="546"/>
      <c r="AG884" s="1"/>
      <c r="AH884" s="1"/>
      <c r="AI884" s="485"/>
      <c r="AJ884" s="464"/>
      <c r="AK884" s="465"/>
      <c r="AL884" s="465"/>
      <c r="AM884" s="465"/>
      <c r="AN884" s="465"/>
      <c r="AO884" s="465"/>
      <c r="AP884" s="465"/>
      <c r="AQ884" s="465"/>
      <c r="AR884" s="465"/>
      <c r="AS884" s="465"/>
      <c r="AT884" s="465"/>
      <c r="AU884" s="465"/>
      <c r="AV884" s="465"/>
      <c r="AW884" s="466"/>
      <c r="AX884" s="500"/>
      <c r="AZ884" s="106"/>
      <c r="BA884" s="77"/>
      <c r="BB884" s="106"/>
      <c r="BC884" s="106"/>
      <c r="BK884" s="56"/>
    </row>
    <row r="885" spans="2:72" x14ac:dyDescent="0.75">
      <c r="D885" s="1"/>
      <c r="J885" s="214"/>
      <c r="N885" s="231"/>
      <c r="AD885" s="1"/>
      <c r="AE885" s="507"/>
      <c r="AF885" s="546"/>
      <c r="AG885" s="1"/>
      <c r="AH885" s="1"/>
      <c r="AI885" s="485"/>
      <c r="AJ885" s="467"/>
      <c r="AK885" s="596" t="s">
        <v>142</v>
      </c>
      <c r="AL885" s="596"/>
      <c r="AM885" s="596"/>
      <c r="AN885" s="596"/>
      <c r="AO885" s="596"/>
      <c r="AP885" s="596"/>
      <c r="AQ885" s="596"/>
      <c r="AR885" s="596"/>
      <c r="AS885" s="596"/>
      <c r="AT885" s="596"/>
      <c r="AU885" s="596"/>
      <c r="AV885" s="596"/>
      <c r="AW885" s="468"/>
      <c r="AX885" s="500"/>
      <c r="AZ885" s="106"/>
      <c r="BA885" s="106"/>
      <c r="BB885" s="106"/>
      <c r="BC885" s="106"/>
    </row>
    <row r="886" spans="2:72" ht="16" x14ac:dyDescent="0.8">
      <c r="D886" s="1"/>
      <c r="H886" s="235"/>
      <c r="J886" s="57"/>
      <c r="N886" s="56"/>
      <c r="AD886" s="1"/>
      <c r="AE886" s="507"/>
      <c r="AF886" s="546"/>
      <c r="AG886" s="1"/>
      <c r="AH886" s="1"/>
      <c r="AI886" s="485"/>
      <c r="AJ886" s="467"/>
      <c r="AK886" s="596" t="s">
        <v>141</v>
      </c>
      <c r="AL886" s="596"/>
      <c r="AM886" s="596"/>
      <c r="AN886" s="596"/>
      <c r="AO886" s="473"/>
      <c r="AP886" s="474" t="s">
        <v>20</v>
      </c>
      <c r="AQ886" s="473"/>
      <c r="AR886" s="474" t="s">
        <v>4</v>
      </c>
      <c r="AS886" s="475"/>
      <c r="AT886" s="475"/>
      <c r="AU886" s="475"/>
      <c r="AV886" s="479" t="s">
        <v>10</v>
      </c>
      <c r="AW886" s="468"/>
      <c r="AX886" s="500"/>
      <c r="AZ886" s="106"/>
      <c r="BA886" s="106"/>
      <c r="BB886" s="106"/>
      <c r="BC886" s="106"/>
    </row>
    <row r="887" spans="2:72" ht="16" x14ac:dyDescent="0.8">
      <c r="H887" s="235"/>
      <c r="N887" s="231"/>
      <c r="AD887" s="1"/>
      <c r="AE887" s="507"/>
      <c r="AF887" s="546"/>
      <c r="AG887" s="1"/>
      <c r="AH887" s="1"/>
      <c r="AI887" s="485"/>
      <c r="AJ887" s="467"/>
      <c r="AK887" s="603" t="s">
        <v>138</v>
      </c>
      <c r="AL887" s="603"/>
      <c r="AM887" s="603"/>
      <c r="AN887" s="603"/>
      <c r="AO887" s="473"/>
      <c r="AP887" s="476">
        <f>+AH50</f>
        <v>898992</v>
      </c>
      <c r="AQ887" s="477"/>
      <c r="AR887" s="476">
        <f>+AH51</f>
        <v>55687</v>
      </c>
      <c r="AS887" s="478"/>
      <c r="AT887" s="478"/>
      <c r="AU887" s="478"/>
      <c r="AV887" s="491">
        <f t="shared" ref="AV887:AV893" si="4351">+AR887/AP887</f>
        <v>6.194382152455194E-2</v>
      </c>
      <c r="AW887" s="468"/>
      <c r="AX887" s="500"/>
      <c r="AZ887" s="106"/>
      <c r="BA887" s="77"/>
      <c r="BB887" s="106"/>
      <c r="BC887" s="106"/>
    </row>
    <row r="888" spans="2:72" ht="16" x14ac:dyDescent="0.8">
      <c r="D888" s="235"/>
      <c r="AD888" s="1"/>
      <c r="AE888" s="507"/>
      <c r="AF888" s="546"/>
      <c r="AG888" s="1"/>
      <c r="AH888" s="1"/>
      <c r="AI888" s="485"/>
      <c r="AJ888" s="467"/>
      <c r="AK888" s="623" t="s">
        <v>139</v>
      </c>
      <c r="AL888" s="600"/>
      <c r="AM888" s="600"/>
      <c r="AN888" s="600"/>
      <c r="AO888" s="64"/>
      <c r="AP888" s="469">
        <f>+AG83</f>
        <v>742147</v>
      </c>
      <c r="AQ888" s="64"/>
      <c r="AR888" s="469">
        <f>+AG84</f>
        <v>42339</v>
      </c>
      <c r="AS888" s="64"/>
      <c r="AT888" s="64"/>
      <c r="AU888" s="64"/>
      <c r="AV888" s="489">
        <f t="shared" si="4351"/>
        <v>5.7049344671608188E-2</v>
      </c>
      <c r="AW888" s="468"/>
      <c r="AX888" s="500"/>
      <c r="AZ888" s="106"/>
      <c r="BA888" s="77"/>
      <c r="BB888" s="106"/>
      <c r="BC888" s="106"/>
    </row>
    <row r="889" spans="2:72" ht="16" x14ac:dyDescent="0.8">
      <c r="AD889" s="1"/>
      <c r="AE889" s="507"/>
      <c r="AF889" s="546"/>
      <c r="AG889" s="1"/>
      <c r="AH889" s="1"/>
      <c r="AI889" s="485"/>
      <c r="AJ889" s="467"/>
      <c r="AK889" s="600" t="s">
        <v>140</v>
      </c>
      <c r="AL889" s="600"/>
      <c r="AM889" s="600"/>
      <c r="AN889" s="600"/>
      <c r="AO889" s="64"/>
      <c r="AP889" s="469">
        <f>+AH113</f>
        <v>869627</v>
      </c>
      <c r="AQ889" s="64"/>
      <c r="AR889" s="469">
        <f>+AH114</f>
        <v>21252</v>
      </c>
      <c r="AS889" s="64"/>
      <c r="AT889" s="64"/>
      <c r="AU889" s="64"/>
      <c r="AV889" s="489">
        <f t="shared" si="4351"/>
        <v>2.4438063675575852E-2</v>
      </c>
      <c r="AW889" s="468"/>
      <c r="AX889" s="500"/>
      <c r="AZ889" s="106"/>
      <c r="BA889" s="106"/>
      <c r="BB889" s="106"/>
      <c r="BC889" s="106"/>
    </row>
    <row r="890" spans="2:72" ht="16" x14ac:dyDescent="0.8">
      <c r="D890" s="428"/>
      <c r="AD890" s="1"/>
      <c r="AE890" s="507"/>
      <c r="AF890" s="546"/>
      <c r="AG890" s="1"/>
      <c r="AH890" s="1"/>
      <c r="AI890" s="485"/>
      <c r="AJ890" s="467"/>
      <c r="AK890" s="600" t="s">
        <v>143</v>
      </c>
      <c r="AL890" s="600"/>
      <c r="AM890" s="600"/>
      <c r="AN890" s="600"/>
      <c r="AO890" s="64"/>
      <c r="AP890" s="469">
        <f>+AG896</f>
        <v>1970617</v>
      </c>
      <c r="AQ890" s="64"/>
      <c r="AR890" s="469">
        <f>+AG898</f>
        <v>25901</v>
      </c>
      <c r="AS890" s="64"/>
      <c r="AT890" s="64"/>
      <c r="AU890" s="64"/>
      <c r="AV890" s="489">
        <f t="shared" si="4351"/>
        <v>1.3143599187462607E-2</v>
      </c>
      <c r="AW890" s="468"/>
      <c r="AX890" s="500"/>
    </row>
    <row r="891" spans="2:72" ht="16" x14ac:dyDescent="0.8">
      <c r="D891" s="428"/>
      <c r="AD891" s="1"/>
      <c r="AE891" s="507"/>
      <c r="AF891" s="546"/>
      <c r="AG891" s="1"/>
      <c r="AH891" s="1"/>
      <c r="AI891" s="485"/>
      <c r="AJ891" s="467"/>
      <c r="AK891" s="543"/>
      <c r="AL891" s="543" t="s">
        <v>151</v>
      </c>
      <c r="AM891" s="543"/>
      <c r="AN891" s="543"/>
      <c r="AO891" s="64"/>
      <c r="AP891" s="469">
        <f>SUM(D144:D174)</f>
        <v>1493931</v>
      </c>
      <c r="AQ891" s="64"/>
      <c r="AR891" s="469">
        <f>SUM(W144:W174)</f>
        <v>30354</v>
      </c>
      <c r="AS891" s="64"/>
      <c r="AT891" s="64"/>
      <c r="AU891" s="64"/>
      <c r="AV891" s="489">
        <f t="shared" si="4351"/>
        <v>2.0318207467413155E-2</v>
      </c>
      <c r="AW891" s="468"/>
      <c r="AX891" s="500"/>
    </row>
    <row r="892" spans="2:72" ht="16" x14ac:dyDescent="0.8">
      <c r="D892" s="428"/>
      <c r="AD892" s="1"/>
      <c r="AE892" s="507"/>
      <c r="AF892" s="546"/>
      <c r="AG892" s="1"/>
      <c r="AH892" s="1"/>
      <c r="AI892" s="485"/>
      <c r="AJ892" s="467"/>
      <c r="AK892" s="543"/>
      <c r="AL892" s="543" t="s">
        <v>152</v>
      </c>
      <c r="AM892" s="543"/>
      <c r="AN892" s="543"/>
      <c r="AO892" s="64"/>
      <c r="AP892" s="469">
        <f>SUM(D175:D204)</f>
        <v>1202331</v>
      </c>
      <c r="AQ892" s="64"/>
      <c r="AR892" s="544">
        <f>SUM(W175:W204)</f>
        <v>24042</v>
      </c>
      <c r="AS892" s="64"/>
      <c r="AT892" s="64"/>
      <c r="AU892" s="64"/>
      <c r="AV892" s="489">
        <f t="shared" si="4351"/>
        <v>1.9996157464125936E-2</v>
      </c>
      <c r="AW892" s="468"/>
      <c r="AX892" s="500"/>
    </row>
    <row r="893" spans="2:72" ht="16" x14ac:dyDescent="0.8">
      <c r="D893" s="428"/>
      <c r="AD893" s="1"/>
      <c r="AE893" s="507"/>
      <c r="AF893" s="546"/>
      <c r="AG893" s="1"/>
      <c r="AH893" s="1"/>
      <c r="AI893" s="485"/>
      <c r="AJ893" s="467"/>
      <c r="AK893" s="543"/>
      <c r="AL893" s="543" t="s">
        <v>153</v>
      </c>
      <c r="AM893" s="543"/>
      <c r="AN893" s="543"/>
      <c r="AO893" s="64"/>
      <c r="AP893" s="469">
        <f>SUM(D205:D230)</f>
        <v>1470960</v>
      </c>
      <c r="AQ893" s="64"/>
      <c r="AR893" s="469">
        <f>SUM(W205:W235)</f>
        <v>24156</v>
      </c>
      <c r="AS893" s="64"/>
      <c r="AT893" s="64"/>
      <c r="AU893" s="64"/>
      <c r="AV893" s="489">
        <f t="shared" si="4351"/>
        <v>1.6421928536465982E-2</v>
      </c>
      <c r="AW893" s="468"/>
      <c r="AX893" s="500"/>
      <c r="BA893" s="486">
        <f>+AV887-AV893</f>
        <v>4.5521892988085955E-2</v>
      </c>
    </row>
    <row r="894" spans="2:72" ht="15.5" thickBot="1" x14ac:dyDescent="0.9">
      <c r="B894" s="427"/>
      <c r="D894" s="235"/>
      <c r="AD894" s="1"/>
      <c r="AE894" s="507"/>
      <c r="AF894" s="546"/>
      <c r="AG894" s="1"/>
      <c r="AH894" s="1"/>
      <c r="AI894" s="485"/>
      <c r="AJ894" s="467"/>
      <c r="AK894" s="480"/>
      <c r="AL894" s="480"/>
      <c r="AM894" s="480"/>
      <c r="AN894" s="480"/>
      <c r="AO894" s="481"/>
      <c r="AP894" s="482"/>
      <c r="AQ894" s="481"/>
      <c r="AR894" s="482"/>
      <c r="AS894" s="481"/>
      <c r="AT894" s="481"/>
      <c r="AU894" s="481"/>
      <c r="AV894" s="483"/>
      <c r="AW894" s="468"/>
      <c r="AX894" s="500"/>
      <c r="BA894">
        <f>+BA893/AV887</f>
        <v>0.73488996751747038</v>
      </c>
    </row>
    <row r="895" spans="2:72" ht="16" x14ac:dyDescent="0.8">
      <c r="B895" s="427"/>
      <c r="D895" s="235"/>
      <c r="AD895" s="1"/>
      <c r="AE895" s="507"/>
      <c r="AF895" s="546"/>
      <c r="AG895" s="1"/>
      <c r="AH895" s="1"/>
      <c r="AI895" s="485"/>
      <c r="AJ895" s="467"/>
      <c r="AK895" s="603" t="s">
        <v>138</v>
      </c>
      <c r="AL895" s="603"/>
      <c r="AM895" s="603"/>
      <c r="AN895" s="603"/>
      <c r="AO895" s="64"/>
      <c r="AP895" s="469"/>
      <c r="AQ895" s="64"/>
      <c r="AR895" s="469">
        <f>+AR887</f>
        <v>55687</v>
      </c>
      <c r="AS895" s="64"/>
      <c r="AT895" s="64"/>
      <c r="AU895" s="64"/>
      <c r="AV895" s="144"/>
      <c r="AW895" s="468"/>
      <c r="AX895" s="500"/>
    </row>
    <row r="896" spans="2:72" ht="16" x14ac:dyDescent="0.8">
      <c r="B896" s="427"/>
      <c r="D896" s="235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10"/>
      <c r="AE896" s="507"/>
      <c r="AF896" s="546"/>
      <c r="AG896" s="33">
        <f>SUM(D113:D143)</f>
        <v>1970617</v>
      </c>
      <c r="AH896" s="1"/>
      <c r="AI896" s="485"/>
      <c r="AJ896" s="467"/>
      <c r="AK896" s="607" t="s">
        <v>153</v>
      </c>
      <c r="AL896" s="607"/>
      <c r="AM896" s="607"/>
      <c r="AN896" s="607"/>
      <c r="AO896" s="64"/>
      <c r="AP896" s="469"/>
      <c r="AQ896" s="64"/>
      <c r="AR896" s="469">
        <f>+AR893</f>
        <v>24156</v>
      </c>
      <c r="AS896" s="64"/>
      <c r="AT896" s="64"/>
      <c r="AU896" s="64"/>
      <c r="AV896" s="144"/>
      <c r="AW896" s="468"/>
      <c r="AX896" s="500"/>
    </row>
    <row r="897" spans="2:87" ht="16" x14ac:dyDescent="0.8">
      <c r="B897" s="427"/>
      <c r="D897" s="235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10"/>
      <c r="AE897" s="507"/>
      <c r="AF897" s="546"/>
      <c r="AG897" s="33">
        <f>SUM(W125:W138)</f>
        <v>12117</v>
      </c>
      <c r="AH897" s="1"/>
      <c r="AI897" s="485"/>
      <c r="AJ897" s="467"/>
      <c r="AK897" s="63"/>
      <c r="AL897" s="497" t="s">
        <v>3</v>
      </c>
      <c r="AM897" s="63"/>
      <c r="AN897" s="63"/>
      <c r="AO897" s="64"/>
      <c r="AP897" s="469"/>
      <c r="AQ897" s="64"/>
      <c r="AR897" s="469">
        <f>+AR895-AR896</f>
        <v>31531</v>
      </c>
      <c r="AS897" s="64"/>
      <c r="AT897" s="64"/>
      <c r="AU897" s="64"/>
      <c r="AV897" s="484">
        <f>+AR897/AR895</f>
        <v>0.5662183274372834</v>
      </c>
      <c r="AW897" s="468"/>
      <c r="AX897" s="500"/>
    </row>
    <row r="898" spans="2:87" ht="15.5" thickBot="1" x14ac:dyDescent="0.9">
      <c r="D898" s="427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10"/>
      <c r="AE898" s="507"/>
      <c r="AF898" s="548"/>
      <c r="AG898" s="33">
        <f>SUM(W113:W143)</f>
        <v>25901</v>
      </c>
      <c r="AH898" s="1"/>
      <c r="AI898" s="485"/>
      <c r="AJ898" s="470"/>
      <c r="AK898" s="471"/>
      <c r="AL898" s="471"/>
      <c r="AM898" s="471"/>
      <c r="AN898" s="471"/>
      <c r="AO898" s="471"/>
      <c r="AP898" s="471"/>
      <c r="AQ898" s="471"/>
      <c r="AR898" s="471"/>
      <c r="AS898" s="471"/>
      <c r="AT898" s="471"/>
      <c r="AU898" s="471"/>
      <c r="AV898" s="471"/>
      <c r="AW898" s="472"/>
      <c r="AX898" s="500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78"/>
      <c r="BP898" s="78"/>
      <c r="BQ898" s="78"/>
      <c r="BR898" s="78"/>
      <c r="BS898" s="1"/>
      <c r="BT898" s="1"/>
      <c r="BU898" s="1"/>
      <c r="BV898" s="1"/>
      <c r="BW898" s="78"/>
      <c r="BX898" s="78"/>
      <c r="BY898" s="78"/>
      <c r="BZ898" s="78"/>
      <c r="CA898" s="78"/>
      <c r="CB898" s="78"/>
      <c r="CC898" s="78"/>
      <c r="CD898" s="78"/>
      <c r="CE898" s="78"/>
      <c r="CF898" s="78"/>
      <c r="CG898" s="78"/>
      <c r="CH898" s="78"/>
      <c r="CI898" s="78"/>
    </row>
    <row r="899" spans="2:87" x14ac:dyDescent="0.75"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10"/>
      <c r="AE899" s="507"/>
      <c r="AF899" s="507"/>
      <c r="AG899" s="507"/>
      <c r="AH899" s="507"/>
      <c r="AI899" s="507"/>
      <c r="AJ899" s="500"/>
      <c r="AK899" s="500"/>
      <c r="AL899" s="500"/>
      <c r="AM899" s="500"/>
      <c r="AN899" s="500"/>
      <c r="AO899" s="500"/>
      <c r="AP899" s="500"/>
      <c r="AQ899" s="500"/>
      <c r="AR899" s="500"/>
      <c r="AS899" s="500"/>
      <c r="AT899" s="500"/>
      <c r="AU899" s="500"/>
      <c r="AV899" s="500"/>
      <c r="AW899" s="500"/>
      <c r="AX899" s="500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77"/>
      <c r="BX899" s="77"/>
      <c r="BY899" s="77"/>
      <c r="BZ899" s="77"/>
      <c r="CA899" s="109"/>
      <c r="CB899" s="1"/>
      <c r="CC899" s="1"/>
      <c r="CD899" s="1"/>
      <c r="CE899" s="1"/>
      <c r="CF899" s="1"/>
      <c r="CG899" s="1"/>
      <c r="CH899" s="1"/>
      <c r="CI899" s="1"/>
    </row>
    <row r="900" spans="2:87" x14ac:dyDescent="0.75">
      <c r="D900">
        <v>10</v>
      </c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10"/>
      <c r="AE900" s="10"/>
      <c r="AF900" s="10"/>
      <c r="AG900" s="10"/>
      <c r="AH900" s="10"/>
      <c r="AI900" s="10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77"/>
      <c r="BX900" s="77"/>
      <c r="BY900" s="77"/>
      <c r="BZ900" s="77"/>
      <c r="CA900" s="77"/>
      <c r="CB900" s="1"/>
      <c r="CC900" s="1"/>
      <c r="CD900" s="1"/>
      <c r="CE900" s="1"/>
      <c r="CF900" s="1"/>
      <c r="CG900" s="1"/>
      <c r="CH900" s="1"/>
      <c r="CI900" s="1"/>
    </row>
    <row r="901" spans="2:87" x14ac:dyDescent="0.75">
      <c r="D901" s="1">
        <v>77000000</v>
      </c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10"/>
      <c r="AE901" s="10"/>
      <c r="AF901" s="10"/>
      <c r="AG901" s="10"/>
      <c r="AH901" s="10"/>
      <c r="AI901" s="10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77"/>
      <c r="BX901" s="77"/>
      <c r="BY901" s="77"/>
      <c r="BZ901" s="77"/>
      <c r="CA901" s="77"/>
      <c r="CB901" s="1"/>
      <c r="CC901" s="1"/>
      <c r="CD901" s="1"/>
      <c r="CE901" s="1"/>
      <c r="CF901" s="1"/>
      <c r="CG901" s="1"/>
    </row>
    <row r="902" spans="2:87" x14ac:dyDescent="0.75">
      <c r="D902" s="57">
        <f>+D901/D904</f>
        <v>0.23262839879154079</v>
      </c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10"/>
      <c r="AE902" s="10"/>
      <c r="AF902" s="10"/>
      <c r="AG902" s="501"/>
      <c r="AH902" s="10"/>
      <c r="AI902" s="10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77"/>
      <c r="BX902" s="77"/>
      <c r="BY902" s="77"/>
      <c r="BZ902" s="77"/>
      <c r="CA902" s="77"/>
      <c r="CB902" s="1"/>
      <c r="CC902" s="1"/>
      <c r="CD902" s="1"/>
      <c r="CE902" s="1"/>
      <c r="CF902" s="1"/>
      <c r="CG902" s="1"/>
    </row>
    <row r="903" spans="2:87" x14ac:dyDescent="0.75"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10"/>
      <c r="AE903" s="10"/>
      <c r="AF903" s="507"/>
      <c r="AG903" s="526"/>
      <c r="AH903" s="507"/>
      <c r="AI903" s="507"/>
      <c r="AJ903" s="500"/>
      <c r="AK903" s="500"/>
      <c r="AL903" s="500"/>
      <c r="AM903" s="500"/>
      <c r="AN903" s="500"/>
      <c r="AO903" s="500"/>
      <c r="AP903" s="500"/>
      <c r="AQ903" s="500"/>
      <c r="AR903" s="500"/>
      <c r="AS903" s="500"/>
      <c r="AT903" s="500"/>
      <c r="AU903" s="500"/>
      <c r="AV903" s="500"/>
      <c r="AW903" s="500"/>
      <c r="AX903" s="500"/>
      <c r="AY903" s="500"/>
      <c r="AZ903" s="500"/>
      <c r="BA903" s="500"/>
      <c r="BB903" s="500"/>
      <c r="BC903" s="500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77"/>
      <c r="BX903" s="77"/>
      <c r="BY903" s="110"/>
      <c r="BZ903" s="77"/>
      <c r="CA903" s="77"/>
    </row>
    <row r="904" spans="2:87" x14ac:dyDescent="0.75">
      <c r="D904" s="1">
        <v>331000000</v>
      </c>
      <c r="H904">
        <v>0.13400000000000001</v>
      </c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10"/>
      <c r="AE904" s="10"/>
      <c r="AF904" s="507"/>
      <c r="AG904" s="527"/>
      <c r="AH904" s="507"/>
      <c r="AI904" s="507"/>
      <c r="AJ904" s="524"/>
      <c r="AK904" s="524"/>
      <c r="AL904" s="525"/>
      <c r="AM904" s="525"/>
      <c r="AN904" s="525"/>
      <c r="AO904" s="525"/>
      <c r="AP904" s="525"/>
      <c r="AQ904" s="525"/>
      <c r="AR904" s="525"/>
      <c r="AS904" s="525"/>
      <c r="AT904" s="525"/>
      <c r="AU904" s="525"/>
      <c r="AV904" s="525"/>
      <c r="AW904" s="525"/>
      <c r="AX904" s="525"/>
      <c r="AY904" s="525"/>
      <c r="AZ904" s="525"/>
      <c r="BA904" s="525"/>
      <c r="BB904" s="524"/>
      <c r="BC904" s="524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77"/>
      <c r="BX904" s="77"/>
      <c r="BY904" s="77"/>
      <c r="BZ904" s="77"/>
      <c r="CA904" s="77"/>
    </row>
    <row r="905" spans="2:87" x14ac:dyDescent="0.75">
      <c r="D905" s="1">
        <f>+D904*H904</f>
        <v>44354000</v>
      </c>
      <c r="H905" s="1">
        <f>+D905*0.001</f>
        <v>44354</v>
      </c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10"/>
      <c r="AE905" s="10"/>
      <c r="AF905" s="507"/>
      <c r="AG905" s="526"/>
      <c r="AH905" s="507"/>
      <c r="AI905" s="507"/>
      <c r="AJ905" s="524"/>
      <c r="AK905" s="524"/>
      <c r="AL905" s="138"/>
      <c r="AM905" s="138"/>
      <c r="AN905" s="138"/>
      <c r="AO905" s="138"/>
      <c r="AP905" s="138"/>
      <c r="AQ905" s="138"/>
      <c r="AR905" s="138"/>
      <c r="AS905" s="78"/>
      <c r="AT905" s="78"/>
      <c r="AU905" s="78"/>
      <c r="AV905" s="98"/>
      <c r="AW905" s="98"/>
      <c r="AX905" s="98"/>
      <c r="AY905" s="98"/>
      <c r="AZ905" s="524"/>
      <c r="BA905" s="524"/>
      <c r="BB905" s="530"/>
      <c r="BC905" s="524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77"/>
      <c r="BX905" s="77"/>
      <c r="BY905" s="77"/>
      <c r="BZ905" s="77"/>
      <c r="CA905" s="77"/>
    </row>
    <row r="906" spans="2:87" x14ac:dyDescent="0.75">
      <c r="D906" s="425">
        <v>7.1999999999999995E-2</v>
      </c>
      <c r="H906" s="1">
        <f>+AA204*H904</f>
        <v>28746.886000000002</v>
      </c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10"/>
      <c r="AE906" s="10"/>
      <c r="AF906" s="507"/>
      <c r="AG906" s="526">
        <v>44031</v>
      </c>
      <c r="AH906" s="507"/>
      <c r="AI906" s="507"/>
      <c r="AJ906" s="524"/>
      <c r="AK906" s="524"/>
      <c r="AL906" s="138"/>
      <c r="AM906" s="138"/>
      <c r="AN906" s="138"/>
      <c r="AO906" s="138"/>
      <c r="AP906" s="138"/>
      <c r="AQ906" s="138"/>
      <c r="AR906" s="138"/>
      <c r="AS906" s="138"/>
      <c r="AT906" s="98"/>
      <c r="AU906" s="78"/>
      <c r="AV906" s="98"/>
      <c r="AW906" s="98"/>
      <c r="AX906" s="98"/>
      <c r="AY906" s="98"/>
      <c r="AZ906" s="524"/>
      <c r="BA906" s="524"/>
      <c r="BB906" s="530"/>
      <c r="BC906" s="524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77"/>
      <c r="BX906" s="77"/>
      <c r="BY906" s="77"/>
      <c r="BZ906" s="77"/>
      <c r="CA906" s="77"/>
    </row>
    <row r="907" spans="2:87" x14ac:dyDescent="0.75"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10"/>
      <c r="AE907" s="10"/>
      <c r="AF907" s="507"/>
      <c r="AG907" s="526">
        <v>44038</v>
      </c>
      <c r="AH907" s="507"/>
      <c r="AI907" s="507"/>
      <c r="AJ907" s="524"/>
      <c r="AK907" s="524"/>
      <c r="AL907" s="78"/>
      <c r="AM907" s="78"/>
      <c r="AN907" s="139"/>
      <c r="AO907" s="139"/>
      <c r="AP907" s="139"/>
      <c r="AQ907" s="139"/>
      <c r="AR907" s="139"/>
      <c r="AS907" s="78"/>
      <c r="AT907" s="78"/>
      <c r="AU907" s="78"/>
      <c r="AV907" s="98"/>
      <c r="AW907" s="98"/>
      <c r="AX907" s="98"/>
      <c r="AY907" s="98"/>
      <c r="AZ907" s="524"/>
      <c r="BA907" s="524"/>
      <c r="BB907" s="530"/>
      <c r="BC907" s="524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77"/>
      <c r="BX907" s="77"/>
      <c r="BY907" s="77"/>
      <c r="BZ907" s="77"/>
      <c r="CA907" s="77"/>
    </row>
    <row r="908" spans="2:87" x14ac:dyDescent="0.75">
      <c r="D908" s="235">
        <v>4.2000000000000003E-2</v>
      </c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10"/>
      <c r="AE908" s="10"/>
      <c r="AF908" s="507"/>
      <c r="AG908" s="526">
        <v>44045</v>
      </c>
      <c r="AH908" s="507"/>
      <c r="AI908" s="507"/>
      <c r="AJ908" s="524"/>
      <c r="AK908" s="524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98"/>
      <c r="AW908" s="98"/>
      <c r="AX908" s="98"/>
      <c r="AY908" s="98"/>
      <c r="AZ908" s="524"/>
      <c r="BA908" s="524"/>
      <c r="BB908" s="530"/>
      <c r="BC908" s="524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2:87" x14ac:dyDescent="0.75">
      <c r="D909" s="531">
        <f>+D904*D906*D908</f>
        <v>1000944.0000000001</v>
      </c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10"/>
      <c r="AE909" s="10"/>
      <c r="AF909" s="507"/>
      <c r="AG909" s="526">
        <v>44052</v>
      </c>
      <c r="AH909" s="507"/>
      <c r="AI909" s="507"/>
      <c r="AJ909" s="524"/>
      <c r="AK909" s="524"/>
      <c r="AL909" s="78"/>
      <c r="AM909" s="78"/>
      <c r="AN909" s="139"/>
      <c r="AO909" s="139"/>
      <c r="AP909" s="139"/>
      <c r="AQ909" s="139"/>
      <c r="AR909" s="139"/>
      <c r="AS909" s="139"/>
      <c r="AT909" s="139"/>
      <c r="AU909" s="78"/>
      <c r="AV909" s="98"/>
      <c r="AW909" s="98"/>
      <c r="AX909" s="98"/>
      <c r="AY909" s="98"/>
      <c r="AZ909" s="524"/>
      <c r="BA909" s="524"/>
      <c r="BB909" s="530"/>
      <c r="BC909" s="524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2:87" x14ac:dyDescent="0.75"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10"/>
      <c r="AE910" s="10"/>
      <c r="AF910" s="507"/>
      <c r="AG910" s="526"/>
      <c r="AH910" s="507"/>
      <c r="AI910" s="507"/>
      <c r="AJ910" s="524"/>
      <c r="AK910" s="524"/>
      <c r="AL910" s="78"/>
      <c r="AM910" s="78"/>
      <c r="AN910" s="139"/>
      <c r="AO910" s="139"/>
      <c r="AP910" s="139"/>
      <c r="AQ910" s="139"/>
      <c r="AR910" s="139"/>
      <c r="AS910" s="139"/>
      <c r="AT910" s="139"/>
      <c r="AU910" s="78"/>
      <c r="AV910" s="98"/>
      <c r="AW910" s="98"/>
      <c r="AX910" s="98"/>
      <c r="AY910" s="98"/>
      <c r="AZ910" s="524"/>
      <c r="BA910" s="524"/>
      <c r="BB910" s="530"/>
      <c r="BC910" s="524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2:87" x14ac:dyDescent="0.75"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10"/>
      <c r="AE911" s="10"/>
      <c r="AF911" s="507"/>
      <c r="AG911" s="526"/>
      <c r="AH911" s="507"/>
      <c r="AI911" s="507"/>
      <c r="AJ911" s="524"/>
      <c r="AK911" s="524"/>
      <c r="AL911" s="78"/>
      <c r="AM911" s="78"/>
      <c r="AN911" s="139"/>
      <c r="AO911" s="139"/>
      <c r="AP911" s="139"/>
      <c r="AQ911" s="139"/>
      <c r="AR911" s="139"/>
      <c r="AS911" s="139"/>
      <c r="AT911" s="139"/>
      <c r="AU911" s="78"/>
      <c r="AV911" s="98"/>
      <c r="AW911" s="98"/>
      <c r="AX911" s="98"/>
      <c r="AY911" s="98"/>
      <c r="AZ911" s="524"/>
      <c r="BA911" s="524"/>
      <c r="BB911" s="530"/>
      <c r="BC911" s="524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2:87" x14ac:dyDescent="0.75"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10"/>
      <c r="AE912" s="10"/>
      <c r="AF912" s="507"/>
      <c r="AG912" s="528"/>
      <c r="AH912" s="507"/>
      <c r="AI912" s="507"/>
      <c r="AJ912" s="524"/>
      <c r="AK912" s="524"/>
      <c r="AL912" s="78"/>
      <c r="AM912" s="78"/>
      <c r="AN912" s="139"/>
      <c r="AO912" s="139"/>
      <c r="AP912" s="139"/>
      <c r="AQ912" s="139"/>
      <c r="AR912" s="139"/>
      <c r="AS912" s="139"/>
      <c r="AT912" s="139"/>
      <c r="AU912" s="78"/>
      <c r="AV912" s="98"/>
      <c r="AW912" s="98"/>
      <c r="AX912" s="98"/>
      <c r="AY912" s="98"/>
      <c r="AZ912" s="524"/>
      <c r="BA912" s="524"/>
      <c r="BB912" s="530"/>
      <c r="BC912" s="524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2:79" x14ac:dyDescent="0.75"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10"/>
      <c r="AE913" s="10"/>
      <c r="AF913" s="507"/>
      <c r="AG913" s="507"/>
      <c r="AH913" s="507"/>
      <c r="AI913" s="507"/>
      <c r="AJ913" s="524"/>
      <c r="AK913" s="524"/>
      <c r="AL913" s="78"/>
      <c r="AM913" s="78"/>
      <c r="AN913" s="139"/>
      <c r="AO913" s="139"/>
      <c r="AP913" s="139"/>
      <c r="AQ913" s="139"/>
      <c r="AR913" s="139"/>
      <c r="AS913" s="139"/>
      <c r="AT913" s="139"/>
      <c r="AU913" s="78"/>
      <c r="AV913" s="98"/>
      <c r="AW913" s="98"/>
      <c r="AX913" s="98"/>
      <c r="AY913" s="98"/>
      <c r="AZ913" s="524"/>
      <c r="BA913" s="524"/>
      <c r="BB913" s="530"/>
      <c r="BC913" s="524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2:79" x14ac:dyDescent="0.75"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10"/>
      <c r="AE914" s="10"/>
      <c r="AF914" s="507"/>
      <c r="AG914" s="507"/>
      <c r="AH914" s="507"/>
      <c r="AI914" s="507"/>
      <c r="AJ914" s="524"/>
      <c r="AK914" s="524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78"/>
      <c r="AW914" s="78"/>
      <c r="AX914" s="78"/>
      <c r="AY914" s="78"/>
      <c r="AZ914" s="524"/>
      <c r="BA914" s="530"/>
      <c r="BB914" s="530"/>
      <c r="BC914" s="524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2:79" x14ac:dyDescent="0.75">
      <c r="AD915" s="10"/>
      <c r="AE915" s="10"/>
      <c r="AF915" s="507"/>
      <c r="AG915" s="507"/>
      <c r="AH915" s="507"/>
      <c r="AI915" s="507"/>
      <c r="AJ915" s="524"/>
      <c r="AK915" s="524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78"/>
      <c r="AW915" s="78"/>
      <c r="AX915" s="78"/>
      <c r="AY915" s="78"/>
      <c r="AZ915" s="524"/>
      <c r="BA915" s="530"/>
      <c r="BB915" s="530"/>
      <c r="BC915" s="524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2:79" ht="15.5" thickBot="1" x14ac:dyDescent="0.9">
      <c r="B916" s="500"/>
      <c r="C916" s="500"/>
      <c r="D916" s="500"/>
      <c r="E916" s="500"/>
      <c r="F916" s="500"/>
      <c r="G916" s="500"/>
      <c r="H916" s="500"/>
      <c r="I916" s="500"/>
      <c r="J916" s="500"/>
      <c r="K916" s="500"/>
      <c r="L916" s="500"/>
      <c r="M916" s="500"/>
      <c r="N916" s="500"/>
      <c r="O916" s="500"/>
      <c r="P916" s="500"/>
      <c r="Q916" s="500"/>
      <c r="R916" s="500"/>
      <c r="S916" s="500"/>
      <c r="T916" s="500"/>
      <c r="U916" s="500"/>
      <c r="V916" s="500"/>
      <c r="AD916" s="10"/>
      <c r="AE916" s="10"/>
      <c r="AF916" s="507"/>
      <c r="AG916" s="507"/>
      <c r="AH916" s="507"/>
      <c r="AI916" s="507"/>
      <c r="AJ916" s="524"/>
      <c r="AK916" s="524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78"/>
      <c r="AW916" s="78"/>
      <c r="AX916" s="78"/>
      <c r="AY916" s="78"/>
      <c r="AZ916" s="524"/>
      <c r="BA916" s="530"/>
      <c r="BB916" s="530"/>
      <c r="BC916" s="524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2:79" x14ac:dyDescent="0.75">
      <c r="B917" s="500"/>
      <c r="C917" s="510"/>
      <c r="D917" s="357"/>
      <c r="E917" s="357"/>
      <c r="F917" s="357"/>
      <c r="G917" s="357"/>
      <c r="H917" s="357"/>
      <c r="I917" s="357"/>
      <c r="J917" s="357"/>
      <c r="K917" s="357"/>
      <c r="L917" s="357"/>
      <c r="M917" s="357"/>
      <c r="N917" s="357"/>
      <c r="O917" s="357"/>
      <c r="P917" s="511"/>
      <c r="V917" s="500"/>
      <c r="AD917" s="10"/>
      <c r="AE917" s="10"/>
      <c r="AF917" s="507"/>
      <c r="AG917" s="507"/>
      <c r="AH917" s="507"/>
      <c r="AI917" s="507"/>
      <c r="AJ917" s="524"/>
      <c r="AK917" s="524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78"/>
      <c r="AW917" s="78"/>
      <c r="AX917" s="78"/>
      <c r="AY917" s="78"/>
      <c r="AZ917" s="524"/>
      <c r="BA917" s="530"/>
      <c r="BB917" s="530"/>
      <c r="BC917" s="524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2:79" x14ac:dyDescent="0.75">
      <c r="B918" s="500"/>
      <c r="C918" s="512"/>
      <c r="D918" s="502" t="s">
        <v>149</v>
      </c>
      <c r="E918" s="387"/>
      <c r="F918" s="387"/>
      <c r="G918" s="387"/>
      <c r="H918" s="602" t="s">
        <v>20</v>
      </c>
      <c r="I918" s="602"/>
      <c r="J918" s="602"/>
      <c r="K918" s="387"/>
      <c r="L918" s="387"/>
      <c r="M918" s="387"/>
      <c r="N918" s="387"/>
      <c r="O918" s="387"/>
      <c r="P918" s="513"/>
      <c r="V918" s="500"/>
      <c r="AD918" s="10"/>
      <c r="AE918" s="10"/>
      <c r="AF918" s="507"/>
      <c r="AG918" s="507"/>
      <c r="AH918" s="507"/>
      <c r="AI918" s="507"/>
      <c r="AJ918" s="524"/>
      <c r="AK918" s="524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78"/>
      <c r="AW918" s="78"/>
      <c r="AX918" s="78"/>
      <c r="AY918" s="78"/>
      <c r="AZ918" s="524"/>
      <c r="BA918" s="530"/>
      <c r="BB918" s="530"/>
      <c r="BC918" s="524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2:79" x14ac:dyDescent="0.75">
      <c r="B919" s="500"/>
      <c r="C919" s="512"/>
      <c r="D919" s="514" t="s">
        <v>150</v>
      </c>
      <c r="E919" s="387"/>
      <c r="F919" s="387"/>
      <c r="G919" s="387"/>
      <c r="H919" s="515" t="s">
        <v>147</v>
      </c>
      <c r="I919" s="502"/>
      <c r="J919" s="516" t="s">
        <v>148</v>
      </c>
      <c r="K919" s="502"/>
      <c r="L919" s="502"/>
      <c r="M919" s="502"/>
      <c r="N919" s="502"/>
      <c r="O919" s="517" t="s">
        <v>3</v>
      </c>
      <c r="P919" s="513"/>
      <c r="V919" s="500"/>
      <c r="AD919" s="10"/>
      <c r="AE919" s="10"/>
      <c r="AF919" s="507"/>
      <c r="AG919" s="507"/>
      <c r="AH919" s="507"/>
      <c r="AI919" s="507"/>
      <c r="AJ919" s="524"/>
      <c r="AK919" s="524"/>
      <c r="AL919" s="529"/>
      <c r="AM919" s="529"/>
      <c r="AN919" s="529"/>
      <c r="AO919" s="529"/>
      <c r="AP919" s="529"/>
      <c r="AQ919" s="529"/>
      <c r="AR919" s="529"/>
      <c r="AS919" s="529"/>
      <c r="AT919" s="529"/>
      <c r="AU919" s="529"/>
      <c r="AV919" s="524"/>
      <c r="AW919" s="524"/>
      <c r="AX919" s="524"/>
      <c r="AY919" s="524"/>
      <c r="AZ919" s="524"/>
      <c r="BA919" s="530"/>
      <c r="BB919" s="530"/>
      <c r="BC919" s="524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2:79" x14ac:dyDescent="0.75">
      <c r="B920" s="500"/>
      <c r="C920" s="512"/>
      <c r="D920" s="503" t="s">
        <v>146</v>
      </c>
      <c r="E920" s="15"/>
      <c r="F920" s="15"/>
      <c r="G920" s="15"/>
      <c r="H920" s="518">
        <f>SUM(D133:D139)</f>
        <v>471981</v>
      </c>
      <c r="I920" s="15"/>
      <c r="J920" s="16">
        <f>+H920/7</f>
        <v>67425.857142857145</v>
      </c>
      <c r="K920" s="15"/>
      <c r="L920" s="15"/>
      <c r="M920" s="15"/>
      <c r="N920" s="15"/>
      <c r="O920" s="15"/>
      <c r="P920" s="513"/>
      <c r="V920" s="500"/>
      <c r="AD920" s="10"/>
      <c r="AE920" s="10"/>
      <c r="AF920" s="507"/>
      <c r="AG920" s="507"/>
      <c r="AH920" s="507"/>
      <c r="AI920" s="507"/>
      <c r="AJ920" s="524"/>
      <c r="AK920" s="524"/>
      <c r="AL920" s="529"/>
      <c r="AM920" s="529"/>
      <c r="AN920" s="529"/>
      <c r="AO920" s="529"/>
      <c r="AP920" s="529"/>
      <c r="AQ920" s="529"/>
      <c r="AR920" s="529"/>
      <c r="AS920" s="529"/>
      <c r="AT920" s="529"/>
      <c r="AU920" s="529"/>
      <c r="AV920" s="529"/>
      <c r="AW920" s="529"/>
      <c r="AX920" s="529"/>
      <c r="AY920" s="529"/>
      <c r="AZ920" s="524"/>
      <c r="BA920" s="524"/>
      <c r="BB920" s="530"/>
      <c r="BC920" s="524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2:79" x14ac:dyDescent="0.75">
      <c r="B921" s="500"/>
      <c r="C921" s="512"/>
      <c r="D921" s="503" t="s">
        <v>145</v>
      </c>
      <c r="E921" s="15"/>
      <c r="F921" s="15"/>
      <c r="G921" s="15"/>
      <c r="H921" s="16">
        <f>SUM(D140:D146)</f>
        <v>427527</v>
      </c>
      <c r="I921" s="15"/>
      <c r="J921" s="16">
        <f>+H921/7</f>
        <v>61075.285714285717</v>
      </c>
      <c r="K921" s="15"/>
      <c r="L921" s="15"/>
      <c r="M921" s="15"/>
      <c r="N921" s="15"/>
      <c r="O921" s="15"/>
      <c r="P921" s="513"/>
      <c r="V921" s="500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78"/>
      <c r="AU921" s="98"/>
      <c r="AV921" s="140"/>
      <c r="AW921" s="140"/>
      <c r="AX921" s="140"/>
      <c r="AY921" s="140"/>
      <c r="AZ921" s="98"/>
      <c r="BA921" s="98"/>
      <c r="BB921" s="98"/>
      <c r="BC921" s="98"/>
    </row>
    <row r="922" spans="2:79" x14ac:dyDescent="0.75">
      <c r="B922" s="506"/>
      <c r="C922" s="512"/>
      <c r="D922" s="503" t="s">
        <v>144</v>
      </c>
      <c r="E922" s="15"/>
      <c r="F922" s="15"/>
      <c r="G922" s="15"/>
      <c r="H922" s="16">
        <f>SUM(D147:D153)</f>
        <v>383516</v>
      </c>
      <c r="I922" s="15"/>
      <c r="J922" s="16">
        <f>+H922/7</f>
        <v>54788</v>
      </c>
      <c r="K922" s="15"/>
      <c r="L922" s="15"/>
      <c r="M922" s="15"/>
      <c r="N922" s="15"/>
      <c r="O922" s="518">
        <f>+H920-H922</f>
        <v>88465</v>
      </c>
      <c r="P922" s="513"/>
      <c r="V922" s="500"/>
      <c r="AA922">
        <f>+O922/7</f>
        <v>12637.857142857143</v>
      </c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78"/>
      <c r="AW922" s="78"/>
      <c r="AX922" s="78"/>
      <c r="AY922" s="78"/>
      <c r="AZ922" s="98"/>
      <c r="BA922" s="141"/>
      <c r="BB922" s="98"/>
      <c r="BC922" s="98"/>
    </row>
    <row r="923" spans="2:79" x14ac:dyDescent="0.75">
      <c r="B923" s="507"/>
      <c r="C923" s="512"/>
      <c r="D923" s="519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60">
        <f>+O922/H920</f>
        <v>0.18743339244588236</v>
      </c>
      <c r="P923" s="513"/>
      <c r="V923" s="500"/>
      <c r="X923" s="61"/>
      <c r="Y923" s="61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78">
        <v>480454</v>
      </c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</row>
    <row r="924" spans="2:79" ht="15.5" thickBot="1" x14ac:dyDescent="0.9">
      <c r="B924" s="507"/>
      <c r="C924" s="520"/>
      <c r="D924" s="521"/>
      <c r="E924" s="521"/>
      <c r="F924" s="521"/>
      <c r="G924" s="521"/>
      <c r="H924" s="521"/>
      <c r="I924" s="521"/>
      <c r="J924" s="522"/>
      <c r="K924" s="521"/>
      <c r="L924" s="521"/>
      <c r="M924" s="521"/>
      <c r="N924" s="521"/>
      <c r="O924" s="521"/>
      <c r="P924" s="523"/>
      <c r="V924" s="500"/>
      <c r="X924" s="61"/>
      <c r="Y924" s="61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140">
        <f>+N201</f>
        <v>290088</v>
      </c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</row>
    <row r="925" spans="2:79" x14ac:dyDescent="0.75">
      <c r="B925" s="507"/>
      <c r="C925" s="500"/>
      <c r="D925" s="508"/>
      <c r="E925" s="500"/>
      <c r="F925" s="500"/>
      <c r="G925" s="500"/>
      <c r="H925" s="509"/>
      <c r="I925" s="500"/>
      <c r="J925" s="500"/>
      <c r="K925" s="500"/>
      <c r="L925" s="500"/>
      <c r="M925" s="500"/>
      <c r="N925" s="500"/>
      <c r="O925" s="500"/>
      <c r="P925" s="500"/>
      <c r="Q925" s="500"/>
      <c r="R925" s="500"/>
      <c r="S925" s="500"/>
      <c r="T925" s="500"/>
      <c r="U925" s="500"/>
      <c r="V925" s="500"/>
      <c r="X925" s="61"/>
      <c r="Y925" s="61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140">
        <f>+AP923-AP924</f>
        <v>190366</v>
      </c>
      <c r="AQ925" s="98"/>
      <c r="AR925" s="98"/>
    </row>
    <row r="926" spans="2:79" x14ac:dyDescent="0.75">
      <c r="B926" s="1"/>
      <c r="D926" s="55"/>
      <c r="X926" s="61"/>
      <c r="Y926" s="61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84">
        <f>+AP925/AP923</f>
        <v>0.3962210742339537</v>
      </c>
      <c r="AQ926" s="98"/>
      <c r="AR926" s="98"/>
    </row>
    <row r="927" spans="2:79" x14ac:dyDescent="0.75">
      <c r="B927" s="55"/>
      <c r="D927" s="55"/>
      <c r="J927" s="56">
        <f>+J920-J922</f>
        <v>12637.857142857145</v>
      </c>
      <c r="X927" s="61"/>
      <c r="Y927" s="61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</row>
    <row r="928" spans="2:79" x14ac:dyDescent="0.75">
      <c r="B928" s="57"/>
      <c r="D928" s="55"/>
      <c r="X928" s="61"/>
      <c r="Y928" s="61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</row>
    <row r="929" spans="2:61" x14ac:dyDescent="0.75">
      <c r="B929" s="1"/>
      <c r="D929" s="55"/>
      <c r="X929" s="61"/>
      <c r="Y929" s="61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</row>
    <row r="930" spans="2:61" x14ac:dyDescent="0.75">
      <c r="B930" s="1"/>
      <c r="D930" s="55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  <c r="AL930" s="106"/>
      <c r="AM930" s="106"/>
      <c r="AN930" s="106"/>
      <c r="AO930" s="106"/>
      <c r="AP930" s="106"/>
      <c r="AQ930" s="106"/>
      <c r="AR930" s="106"/>
    </row>
    <row r="931" spans="2:61" x14ac:dyDescent="0.75">
      <c r="B931" s="1"/>
      <c r="D931" s="55"/>
      <c r="AT931" s="500"/>
      <c r="AU931" s="500"/>
      <c r="AV931" s="500"/>
      <c r="AW931" s="500"/>
      <c r="AX931" s="500"/>
      <c r="AY931" s="500"/>
      <c r="AZ931" s="500"/>
      <c r="BA931" s="500"/>
      <c r="BB931" s="500"/>
      <c r="BC931" s="500"/>
      <c r="BD931" s="500"/>
      <c r="BE931" s="500"/>
      <c r="BF931" s="500"/>
      <c r="BG931" s="500"/>
      <c r="BH931" s="500"/>
      <c r="BI931" s="500"/>
    </row>
    <row r="932" spans="2:61" ht="16" x14ac:dyDescent="0.8">
      <c r="B932" s="1"/>
      <c r="D932" s="55"/>
      <c r="AT932" s="500"/>
      <c r="AU932" s="533"/>
      <c r="AV932" s="534"/>
      <c r="AW932" s="534"/>
      <c r="AX932" s="534"/>
      <c r="AY932" s="534"/>
      <c r="AZ932" s="534"/>
      <c r="BA932" s="534"/>
      <c r="BB932" s="534"/>
      <c r="BC932" s="534"/>
      <c r="BD932" s="534"/>
      <c r="BE932" s="534" t="s">
        <v>156</v>
      </c>
      <c r="BF932" s="534"/>
      <c r="BG932" s="534" t="s">
        <v>2</v>
      </c>
      <c r="BH932" s="533"/>
      <c r="BI932" s="500"/>
    </row>
    <row r="933" spans="2:61" ht="16.75" thickBot="1" x14ac:dyDescent="0.95">
      <c r="B933" s="57" t="e">
        <f>+B932/B931</f>
        <v>#DIV/0!</v>
      </c>
      <c r="D933" s="55"/>
      <c r="AT933" s="500"/>
      <c r="AU933" s="533"/>
      <c r="AV933" s="591" t="s">
        <v>155</v>
      </c>
      <c r="AW933" s="591"/>
      <c r="AX933" s="591"/>
      <c r="AY933" s="534"/>
      <c r="AZ933" s="534"/>
      <c r="BA933" s="535" t="s">
        <v>20</v>
      </c>
      <c r="BB933" s="534"/>
      <c r="BC933" s="535" t="s">
        <v>3</v>
      </c>
      <c r="BD933" s="534"/>
      <c r="BE933" s="535" t="s">
        <v>65</v>
      </c>
      <c r="BF933" s="534"/>
      <c r="BG933" s="535" t="s">
        <v>65</v>
      </c>
      <c r="BH933" s="533"/>
      <c r="BI933" s="500"/>
    </row>
    <row r="934" spans="2:61" ht="21" x14ac:dyDescent="1">
      <c r="B934" s="1"/>
      <c r="D934" s="55"/>
      <c r="AT934" s="500"/>
      <c r="AU934" s="533"/>
      <c r="AV934" s="536" t="s">
        <v>143</v>
      </c>
      <c r="AW934" s="533"/>
      <c r="AX934" s="537"/>
      <c r="AY934" s="533"/>
      <c r="AZ934" s="533"/>
      <c r="BA934" s="538">
        <f>+N143</f>
        <v>1970617</v>
      </c>
      <c r="BB934" s="537"/>
      <c r="BC934" s="537"/>
      <c r="BD934" s="537"/>
      <c r="BE934" s="537"/>
      <c r="BF934" s="537"/>
      <c r="BG934" s="537"/>
      <c r="BH934" s="533"/>
      <c r="BI934" s="500"/>
    </row>
    <row r="935" spans="2:61" ht="21" x14ac:dyDescent="1">
      <c r="B935" s="1"/>
      <c r="D935" s="55"/>
      <c r="AT935" s="500"/>
      <c r="AU935" s="533"/>
      <c r="AV935" s="536" t="s">
        <v>151</v>
      </c>
      <c r="AW935" s="533"/>
      <c r="AX935" s="537"/>
      <c r="AY935" s="533"/>
      <c r="AZ935" s="533"/>
      <c r="BA935" s="538">
        <f>+N174</f>
        <v>1493931</v>
      </c>
      <c r="BB935" s="537"/>
      <c r="BC935" s="538">
        <f>+BA935-BA934</f>
        <v>-476686</v>
      </c>
      <c r="BD935" s="537"/>
      <c r="BE935" s="539">
        <f>+BC935/BA934</f>
        <v>-0.24189682723735764</v>
      </c>
      <c r="BF935" s="537"/>
      <c r="BG935" s="537"/>
      <c r="BH935" s="533"/>
      <c r="BI935" s="500"/>
    </row>
    <row r="936" spans="2:61" ht="21" x14ac:dyDescent="1">
      <c r="B936" s="1">
        <f>+B932*50</f>
        <v>0</v>
      </c>
      <c r="D936" s="55"/>
      <c r="AT936" s="500"/>
      <c r="AU936" s="533"/>
      <c r="AV936" s="536" t="s">
        <v>152</v>
      </c>
      <c r="AW936" s="533"/>
      <c r="AX936" s="537"/>
      <c r="AY936" s="533"/>
      <c r="AZ936" s="533"/>
      <c r="BA936" s="538">
        <f>+N204</f>
        <v>1202331</v>
      </c>
      <c r="BB936" s="537"/>
      <c r="BC936" s="538">
        <f>+BA936-BA935</f>
        <v>-291600</v>
      </c>
      <c r="BD936" s="537"/>
      <c r="BE936" s="539">
        <f>+BC936/BA935</f>
        <v>-0.19518973767864781</v>
      </c>
      <c r="BF936" s="537"/>
      <c r="BG936" s="537"/>
      <c r="BH936" s="533"/>
      <c r="BI936" s="500"/>
    </row>
    <row r="937" spans="2:61" ht="21" x14ac:dyDescent="1">
      <c r="B937" s="1"/>
      <c r="D937" s="55"/>
      <c r="AT937" s="500"/>
      <c r="AU937" s="533"/>
      <c r="AV937" s="536" t="s">
        <v>153</v>
      </c>
      <c r="AW937" s="533"/>
      <c r="AX937" s="537"/>
      <c r="AY937" s="533"/>
      <c r="AZ937" s="540" t="s">
        <v>26</v>
      </c>
      <c r="BA937" s="538">
        <f>+N218</f>
        <v>371489</v>
      </c>
      <c r="BB937" s="537"/>
      <c r="BC937" s="538">
        <f>+BA937-BA936</f>
        <v>-830842</v>
      </c>
      <c r="BD937" s="537"/>
      <c r="BE937" s="539">
        <f>+BC937/BA936</f>
        <v>-0.69102601529861574</v>
      </c>
      <c r="BF937" s="537"/>
      <c r="BG937" s="539">
        <f>+(BA937-BA934)/BA934</f>
        <v>-0.81148594577231392</v>
      </c>
      <c r="BH937" s="533"/>
      <c r="BI937" s="500"/>
    </row>
    <row r="938" spans="2:61" x14ac:dyDescent="0.75">
      <c r="B938" s="1"/>
      <c r="D938" s="55"/>
      <c r="AT938" s="500"/>
      <c r="AU938" s="533"/>
      <c r="AV938" s="533"/>
      <c r="AW938" s="533"/>
      <c r="AX938" s="533"/>
      <c r="AY938" s="533"/>
      <c r="AZ938" s="533"/>
      <c r="BA938" s="533"/>
      <c r="BB938" s="533"/>
      <c r="BC938" s="533"/>
      <c r="BD938" s="533"/>
      <c r="BE938" s="533"/>
      <c r="BF938" s="533"/>
      <c r="BG938" s="533"/>
      <c r="BH938" s="533"/>
      <c r="BI938" s="500"/>
    </row>
    <row r="939" spans="2:61" ht="16.75" x14ac:dyDescent="0.75">
      <c r="B939" s="1"/>
      <c r="D939" s="55"/>
      <c r="AT939" s="500"/>
      <c r="AU939" s="533"/>
      <c r="AV939" s="533"/>
      <c r="AW939" s="533"/>
      <c r="AX939" s="541" t="s">
        <v>26</v>
      </c>
      <c r="AY939" s="533"/>
      <c r="AZ939" s="542" t="s">
        <v>154</v>
      </c>
      <c r="BA939" s="533"/>
      <c r="BB939" s="533"/>
      <c r="BC939" s="533"/>
      <c r="BD939" s="533"/>
      <c r="BE939" s="533"/>
      <c r="BF939" s="533"/>
      <c r="BG939" s="533"/>
      <c r="BH939" s="533"/>
      <c r="BI939" s="500"/>
    </row>
    <row r="940" spans="2:61" x14ac:dyDescent="0.75">
      <c r="B940" s="1"/>
      <c r="D940" s="55"/>
      <c r="AT940" s="500"/>
      <c r="AU940" s="533"/>
      <c r="AV940" s="533"/>
      <c r="AW940" s="533"/>
      <c r="AX940" s="533"/>
      <c r="AY940" s="533"/>
      <c r="AZ940" s="533"/>
      <c r="BA940" s="533"/>
      <c r="BB940" s="533"/>
      <c r="BC940" s="533"/>
      <c r="BD940" s="533"/>
      <c r="BE940" s="533"/>
      <c r="BF940" s="533"/>
      <c r="BG940" s="533"/>
      <c r="BH940" s="533"/>
      <c r="BI940" s="500"/>
    </row>
    <row r="941" spans="2:61" x14ac:dyDescent="0.75">
      <c r="B941" s="1"/>
      <c r="D941" s="55"/>
      <c r="AT941" s="532"/>
      <c r="AU941" s="532"/>
      <c r="AV941" s="532"/>
      <c r="AW941" s="532"/>
      <c r="AX941" s="532"/>
      <c r="AY941" s="532"/>
      <c r="AZ941" s="532"/>
      <c r="BA941" s="532"/>
      <c r="BB941" s="532"/>
      <c r="BC941" s="532"/>
      <c r="BD941" s="532"/>
      <c r="BE941" s="532"/>
      <c r="BF941" s="532"/>
      <c r="BG941" s="532"/>
      <c r="BH941" s="532"/>
      <c r="BI941" s="532"/>
    </row>
    <row r="942" spans="2:61" x14ac:dyDescent="0.75">
      <c r="B942" s="1"/>
      <c r="D942" s="55"/>
    </row>
    <row r="943" spans="2:61" x14ac:dyDescent="0.75">
      <c r="B943" s="1"/>
      <c r="D943" s="55"/>
      <c r="AS943" s="61"/>
      <c r="AT943" s="500"/>
      <c r="AU943" s="500"/>
      <c r="AV943" s="500"/>
      <c r="AW943" s="500"/>
      <c r="AX943" s="500"/>
      <c r="AY943" s="500"/>
      <c r="AZ943" s="500"/>
      <c r="BA943" s="500"/>
      <c r="BB943" s="500"/>
      <c r="BC943" s="500"/>
      <c r="BD943" s="500"/>
      <c r="BE943" s="500"/>
      <c r="BF943" s="500"/>
      <c r="BG943" s="500"/>
      <c r="BH943" s="500"/>
      <c r="BI943" s="500"/>
    </row>
    <row r="944" spans="2:61" x14ac:dyDescent="0.75">
      <c r="B944" s="1"/>
      <c r="D944" s="55"/>
      <c r="AT944" s="500"/>
      <c r="AU944" s="550"/>
      <c r="AV944" s="550"/>
      <c r="AW944" s="550"/>
      <c r="AX944" s="550"/>
      <c r="AY944" s="550"/>
      <c r="AZ944" s="550"/>
      <c r="BA944" s="550"/>
      <c r="BB944" s="550"/>
      <c r="BC944" s="550"/>
      <c r="BD944" s="550"/>
      <c r="BE944" s="550"/>
      <c r="BF944" s="550"/>
      <c r="BG944" s="550"/>
      <c r="BH944" s="550"/>
      <c r="BI944" s="500"/>
    </row>
    <row r="945" spans="2:68" ht="15.5" thickBot="1" x14ac:dyDescent="0.9">
      <c r="B945" s="1"/>
      <c r="D945" s="55"/>
      <c r="AT945" s="500"/>
      <c r="AU945" s="550"/>
      <c r="AV945" s="608" t="s">
        <v>160</v>
      </c>
      <c r="AW945" s="608"/>
      <c r="AX945" s="608"/>
      <c r="AY945" s="551"/>
      <c r="AZ945" s="551"/>
      <c r="BA945" s="552" t="s">
        <v>23</v>
      </c>
      <c r="BB945" s="553"/>
      <c r="BC945" s="552" t="s">
        <v>3</v>
      </c>
      <c r="BD945" s="553"/>
      <c r="BE945" s="552" t="s">
        <v>20</v>
      </c>
      <c r="BF945" s="553"/>
      <c r="BG945" s="552" t="s">
        <v>21</v>
      </c>
      <c r="BH945" s="550"/>
      <c r="BI945" s="500"/>
    </row>
    <row r="946" spans="2:68" x14ac:dyDescent="0.75">
      <c r="B946" s="1"/>
      <c r="AT946" s="500"/>
      <c r="AU946" s="550"/>
      <c r="AV946" s="551" t="s">
        <v>143</v>
      </c>
      <c r="AW946" s="551"/>
      <c r="AX946" s="551"/>
      <c r="AY946" s="551"/>
      <c r="AZ946" s="551"/>
      <c r="BA946" s="554">
        <f>+BK275</f>
        <v>13351981</v>
      </c>
      <c r="BB946" s="551"/>
      <c r="BC946" s="551"/>
      <c r="BD946" s="551"/>
      <c r="BE946" s="555">
        <f>+N143</f>
        <v>1970617</v>
      </c>
      <c r="BF946" s="551"/>
      <c r="BG946" s="556">
        <f>+BE946/BA946</f>
        <v>0.14758985951223269</v>
      </c>
      <c r="BH946" s="550"/>
      <c r="BI946" s="500"/>
    </row>
    <row r="947" spans="2:68" x14ac:dyDescent="0.75">
      <c r="B947" s="1"/>
      <c r="AT947" s="500"/>
      <c r="AU947" s="550"/>
      <c r="AV947" s="551"/>
      <c r="AW947" s="551"/>
      <c r="AX947" s="551"/>
      <c r="AY947" s="551"/>
      <c r="AZ947" s="551"/>
      <c r="BA947" s="554"/>
      <c r="BB947" s="551"/>
      <c r="BC947" s="551"/>
      <c r="BD947" s="551"/>
      <c r="BE947" s="551"/>
      <c r="BF947" s="551"/>
      <c r="BG947" s="556"/>
      <c r="BH947" s="550"/>
      <c r="BI947" s="500"/>
    </row>
    <row r="948" spans="2:68" x14ac:dyDescent="0.75">
      <c r="B948" s="1"/>
      <c r="AT948" s="500"/>
      <c r="AU948" s="550"/>
      <c r="AV948" s="551" t="s">
        <v>159</v>
      </c>
      <c r="AW948" s="551"/>
      <c r="AX948" s="551"/>
      <c r="AY948" s="551"/>
      <c r="AZ948" s="551"/>
      <c r="BA948" s="554">
        <v>52440389</v>
      </c>
      <c r="BB948" s="551"/>
      <c r="BC948" s="556">
        <f>+(BA948-BA946)/BA946</f>
        <v>2.9275362210296736</v>
      </c>
      <c r="BD948" s="551"/>
      <c r="BE948" s="555">
        <f>+N273</f>
        <v>1462688</v>
      </c>
      <c r="BF948" s="551"/>
      <c r="BG948" s="556">
        <f>+BE948/BA948</f>
        <v>2.7892394162064665E-2</v>
      </c>
      <c r="BH948" s="550"/>
      <c r="BI948" s="500"/>
    </row>
    <row r="949" spans="2:68" x14ac:dyDescent="0.75">
      <c r="B949" s="1"/>
      <c r="AT949" s="500"/>
      <c r="AU949" s="550"/>
      <c r="AV949" s="551"/>
      <c r="AW949" s="551"/>
      <c r="AX949" s="551"/>
      <c r="AY949" s="551"/>
      <c r="AZ949" s="551"/>
      <c r="BA949" s="554"/>
      <c r="BB949" s="551"/>
      <c r="BC949" s="551"/>
      <c r="BD949" s="551"/>
      <c r="BE949" s="551"/>
      <c r="BF949" s="551"/>
      <c r="BG949" s="551"/>
      <c r="BH949" s="550"/>
      <c r="BI949" s="500"/>
    </row>
    <row r="950" spans="2:68" x14ac:dyDescent="0.75">
      <c r="B950" s="1"/>
      <c r="AT950" s="500"/>
      <c r="AU950" s="550"/>
      <c r="AV950" s="588" t="s">
        <v>105</v>
      </c>
      <c r="AW950" s="588"/>
      <c r="AX950" s="588"/>
      <c r="AY950" s="588"/>
      <c r="AZ950" s="551"/>
      <c r="BA950" s="555">
        <f>+BA948-BA946</f>
        <v>39088408</v>
      </c>
      <c r="BB950" s="551"/>
      <c r="BC950" s="551"/>
      <c r="BD950" s="551"/>
      <c r="BE950" s="555">
        <f>+BE948-BE946</f>
        <v>-507929</v>
      </c>
      <c r="BF950" s="551"/>
      <c r="BG950" s="558"/>
      <c r="BH950" s="550"/>
      <c r="BI950" s="500"/>
    </row>
    <row r="951" spans="2:68" x14ac:dyDescent="0.75">
      <c r="B951" s="1"/>
      <c r="AT951" s="500"/>
      <c r="AU951" s="550"/>
      <c r="AV951" s="550"/>
      <c r="AW951" s="550"/>
      <c r="AX951" s="550"/>
      <c r="AY951" s="550"/>
      <c r="AZ951" s="550"/>
      <c r="BA951" s="550"/>
      <c r="BB951" s="550"/>
      <c r="BC951" s="550"/>
      <c r="BD951" s="550"/>
      <c r="BE951" s="550"/>
      <c r="BF951" s="550"/>
      <c r="BG951" s="550"/>
      <c r="BH951" s="550"/>
      <c r="BI951" s="500"/>
    </row>
    <row r="952" spans="2:68" x14ac:dyDescent="0.75">
      <c r="B952" s="1"/>
      <c r="AT952" s="500"/>
      <c r="AU952" s="500"/>
      <c r="AV952" s="500"/>
      <c r="AW952" s="500"/>
      <c r="AX952" s="500"/>
      <c r="AY952" s="500"/>
      <c r="AZ952" s="500"/>
      <c r="BA952" s="500"/>
      <c r="BB952" s="500"/>
      <c r="BC952" s="500"/>
      <c r="BD952" s="500"/>
      <c r="BE952" s="557"/>
      <c r="BF952" s="500"/>
      <c r="BG952" s="507"/>
      <c r="BH952" s="500"/>
      <c r="BI952" s="500"/>
    </row>
    <row r="953" spans="2:68" x14ac:dyDescent="0.75">
      <c r="B953" s="1"/>
    </row>
    <row r="954" spans="2:68" x14ac:dyDescent="0.75">
      <c r="B954" s="1"/>
    </row>
    <row r="955" spans="2:68" x14ac:dyDescent="0.75">
      <c r="B955" s="1"/>
      <c r="H955" s="1">
        <v>4000000</v>
      </c>
      <c r="AR955" s="500"/>
      <c r="AS955" s="500"/>
      <c r="AT955" s="500"/>
      <c r="AU955" s="500"/>
      <c r="AV955" s="500"/>
      <c r="AW955" s="500"/>
      <c r="AX955" s="500"/>
      <c r="AY955" s="500"/>
      <c r="AZ955" s="500"/>
      <c r="BA955" s="500"/>
      <c r="BB955" s="500"/>
      <c r="BC955" s="500"/>
      <c r="BD955" s="500"/>
      <c r="BE955" s="500"/>
      <c r="BF955" s="500"/>
      <c r="BG955" s="500"/>
      <c r="BH955" s="500"/>
      <c r="BI955" s="500"/>
    </row>
    <row r="956" spans="2:68" ht="16" x14ac:dyDescent="0.8">
      <c r="B956" s="1"/>
      <c r="H956" s="1"/>
      <c r="AR956" s="500"/>
      <c r="AS956" s="601" t="s">
        <v>170</v>
      </c>
      <c r="AT956" s="601"/>
      <c r="AU956" s="601"/>
      <c r="AV956" s="601"/>
      <c r="AW956" s="601"/>
      <c r="AX956" s="601"/>
      <c r="AY956" s="601"/>
      <c r="AZ956" s="601"/>
      <c r="BA956" s="601"/>
      <c r="BB956" s="601"/>
      <c r="BC956" s="601"/>
      <c r="BD956" s="601"/>
      <c r="BE956" s="601"/>
      <c r="BF956" s="601"/>
      <c r="BG956" s="601"/>
      <c r="BH956" s="601"/>
      <c r="BI956" s="500"/>
    </row>
    <row r="957" spans="2:68" x14ac:dyDescent="0.75">
      <c r="H957" s="1">
        <f>+H955/7</f>
        <v>571428.57142857148</v>
      </c>
      <c r="AR957" s="500"/>
      <c r="AS957" s="533"/>
      <c r="AT957" s="561"/>
      <c r="AU957" s="561"/>
      <c r="AV957" s="561"/>
      <c r="AW957" s="561"/>
      <c r="AX957" s="561"/>
      <c r="AY957" s="561"/>
      <c r="AZ957" s="561"/>
      <c r="BA957" s="561"/>
      <c r="BB957" s="561"/>
      <c r="BC957" s="561"/>
      <c r="BD957" s="561"/>
      <c r="BE957" s="589" t="s">
        <v>166</v>
      </c>
      <c r="BF957" s="561"/>
      <c r="BG957" s="597" t="s">
        <v>167</v>
      </c>
      <c r="BH957" s="533"/>
      <c r="BI957" s="500"/>
    </row>
    <row r="958" spans="2:68" x14ac:dyDescent="0.75">
      <c r="AR958" s="500"/>
      <c r="AS958" s="533"/>
      <c r="AT958" s="596" t="s">
        <v>19</v>
      </c>
      <c r="AU958" s="596"/>
      <c r="AV958" s="596"/>
      <c r="AW958" s="596"/>
      <c r="AX958" s="596"/>
      <c r="AY958" s="596"/>
      <c r="AZ958" s="561"/>
      <c r="BA958" s="560" t="s">
        <v>20</v>
      </c>
      <c r="BB958" s="561"/>
      <c r="BC958" s="560" t="s">
        <v>165</v>
      </c>
      <c r="BD958" s="561"/>
      <c r="BE958" s="590"/>
      <c r="BF958" s="561"/>
      <c r="BG958" s="593"/>
      <c r="BH958" s="533"/>
      <c r="BI958" s="500"/>
    </row>
    <row r="959" spans="2:68" x14ac:dyDescent="0.75">
      <c r="H959" t="s">
        <v>168</v>
      </c>
      <c r="J959">
        <v>28</v>
      </c>
      <c r="N959" s="1">
        <f>+H957*J959</f>
        <v>16000000.000000002</v>
      </c>
      <c r="AR959" s="500"/>
      <c r="AS959" s="533"/>
      <c r="AT959" s="595" t="s">
        <v>162</v>
      </c>
      <c r="AU959" s="595"/>
      <c r="AV959" s="595"/>
      <c r="AW959" s="595"/>
      <c r="AX959" s="595"/>
      <c r="AY959" s="561"/>
      <c r="AZ959" s="561"/>
      <c r="BA959" s="562">
        <f>+H174</f>
        <v>6826001</v>
      </c>
      <c r="BB959" s="561"/>
      <c r="BC959" s="561">
        <v>10</v>
      </c>
      <c r="BD959" s="561"/>
      <c r="BE959" s="563">
        <f>+BA959*BC959</f>
        <v>68260010</v>
      </c>
      <c r="BF959" s="561"/>
      <c r="BG959" s="561"/>
      <c r="BH959" s="533"/>
      <c r="BI959" s="500"/>
      <c r="BP959" s="56">
        <f>+BE959-BA959</f>
        <v>61434009</v>
      </c>
    </row>
    <row r="960" spans="2:68" x14ac:dyDescent="0.75">
      <c r="D960" s="56">
        <f>+N959+N960</f>
        <v>33714285.714285716</v>
      </c>
      <c r="H960" t="s">
        <v>169</v>
      </c>
      <c r="J960">
        <v>31</v>
      </c>
      <c r="N960" s="1">
        <f>+J960*H$957</f>
        <v>17714285.714285716</v>
      </c>
      <c r="AR960" s="500"/>
      <c r="AS960" s="533"/>
      <c r="AT960" s="595" t="s">
        <v>171</v>
      </c>
      <c r="AU960" s="595"/>
      <c r="AV960" s="595"/>
      <c r="AW960" s="595"/>
      <c r="AX960" s="595"/>
      <c r="AY960" s="561"/>
      <c r="AZ960" s="561"/>
      <c r="BA960" s="562">
        <f>+BA972-BA959</f>
        <v>3109228</v>
      </c>
      <c r="BB960" s="561"/>
      <c r="BC960" s="561">
        <v>5</v>
      </c>
      <c r="BD960" s="561"/>
      <c r="BE960" s="563">
        <f>+BA960*BC960</f>
        <v>15546140</v>
      </c>
      <c r="BF960" s="561"/>
      <c r="BG960" s="561"/>
      <c r="BH960" s="533"/>
      <c r="BI960" s="500"/>
      <c r="BP960" s="56">
        <f>+BE960-BA960</f>
        <v>12436912</v>
      </c>
    </row>
    <row r="961" spans="4:75" x14ac:dyDescent="0.75">
      <c r="D961" s="56">
        <f>+D960+N961</f>
        <v>50857142.857142866</v>
      </c>
      <c r="H961" t="s">
        <v>138</v>
      </c>
      <c r="J961">
        <v>30</v>
      </c>
      <c r="N961" s="1">
        <f>+J961*H$957</f>
        <v>17142857.142857146</v>
      </c>
      <c r="AR961" s="500"/>
      <c r="AS961" s="533"/>
      <c r="AT961" s="595" t="s">
        <v>163</v>
      </c>
      <c r="AU961" s="595"/>
      <c r="AV961" s="595"/>
      <c r="AW961" s="595"/>
      <c r="AX961" s="595"/>
      <c r="AY961" s="595"/>
      <c r="AZ961" s="595"/>
      <c r="BA961" s="562">
        <f>+BA974-BA972</f>
        <v>16784558</v>
      </c>
      <c r="BB961" s="561"/>
      <c r="BC961" s="561">
        <v>1</v>
      </c>
      <c r="BD961" s="561"/>
      <c r="BE961" s="563">
        <f>+BC961*BA961</f>
        <v>16784558</v>
      </c>
      <c r="BF961" s="561"/>
      <c r="BG961" s="561"/>
      <c r="BH961" s="533"/>
      <c r="BI961" s="500"/>
      <c r="BP961" s="56">
        <f>+BE961-BA961</f>
        <v>0</v>
      </c>
    </row>
    <row r="962" spans="4:75" x14ac:dyDescent="0.75">
      <c r="D962" s="56">
        <f>+D961+N962</f>
        <v>68571428.571428582</v>
      </c>
      <c r="H962" t="s">
        <v>139</v>
      </c>
      <c r="J962">
        <v>31</v>
      </c>
      <c r="N962" s="1">
        <f>+J962*H$957</f>
        <v>17714285.714285716</v>
      </c>
      <c r="AR962" s="500"/>
      <c r="AS962" s="533"/>
      <c r="AT962" s="569" t="s">
        <v>183</v>
      </c>
      <c r="AU962" s="561"/>
      <c r="AV962" s="561"/>
      <c r="AW962" s="561"/>
      <c r="AX962" s="561"/>
      <c r="AY962" s="561"/>
      <c r="AZ962" s="561"/>
      <c r="BA962" s="562">
        <f>SUM(D328:D386)</f>
        <v>4197929</v>
      </c>
      <c r="BB962" s="561"/>
      <c r="BC962" s="561">
        <v>1</v>
      </c>
      <c r="BD962" s="561"/>
      <c r="BE962" s="563">
        <f>+BC962*BA962</f>
        <v>4197929</v>
      </c>
      <c r="BF962" s="561"/>
      <c r="BG962" s="561"/>
      <c r="BH962" s="533"/>
      <c r="BI962" s="500"/>
      <c r="BP962" s="56">
        <f>+BE962-BA962</f>
        <v>0</v>
      </c>
    </row>
    <row r="963" spans="4:75" x14ac:dyDescent="0.75">
      <c r="D963" s="56"/>
      <c r="N963" s="1"/>
      <c r="AR963" s="500"/>
      <c r="AS963" s="533"/>
      <c r="AT963" s="569" t="s">
        <v>188</v>
      </c>
      <c r="AU963" s="561"/>
      <c r="AV963" s="561"/>
      <c r="AW963" s="561"/>
      <c r="AX963" s="561"/>
      <c r="AY963" s="561"/>
      <c r="AZ963" s="561"/>
      <c r="BA963" s="562">
        <f>SUM(D387:D509)</f>
        <v>4225210</v>
      </c>
      <c r="BB963" s="561"/>
      <c r="BC963" s="561">
        <v>1</v>
      </c>
      <c r="BD963" s="561"/>
      <c r="BE963" s="563">
        <f>+BC963*BA963</f>
        <v>4225210</v>
      </c>
      <c r="BF963" s="561"/>
      <c r="BG963" s="561"/>
      <c r="BH963" s="533"/>
      <c r="BI963" s="500"/>
      <c r="BP963" s="56"/>
    </row>
    <row r="964" spans="4:75" x14ac:dyDescent="0.75">
      <c r="AR964" s="500"/>
      <c r="AS964" s="533"/>
      <c r="AT964" s="595" t="s">
        <v>189</v>
      </c>
      <c r="AU964" s="595"/>
      <c r="AV964" s="595"/>
      <c r="AW964" s="595"/>
      <c r="AX964" s="595"/>
      <c r="AY964" s="595"/>
      <c r="AZ964" s="595"/>
      <c r="BA964" s="585">
        <f>SUM(D510:D635)</f>
        <v>11511436</v>
      </c>
      <c r="BB964" s="561"/>
      <c r="BC964" s="561"/>
      <c r="BD964" s="561"/>
      <c r="BE964" s="563"/>
      <c r="BF964" s="561"/>
      <c r="BG964" s="561"/>
      <c r="BH964" s="533"/>
      <c r="BI964" s="500"/>
      <c r="BP964" s="56">
        <f>+BA962-BA963</f>
        <v>-27281</v>
      </c>
    </row>
    <row r="965" spans="4:75" ht="15.5" thickBot="1" x14ac:dyDescent="0.9">
      <c r="D965" s="56">
        <f>+BE965+D962</f>
        <v>177585275.5714286</v>
      </c>
      <c r="H965" s="59">
        <f>+D965/320000000</f>
        <v>0.55495398616071434</v>
      </c>
      <c r="AR965" s="500"/>
      <c r="AS965" s="533"/>
      <c r="AT965" s="561"/>
      <c r="AU965" s="561"/>
      <c r="AV965" s="561"/>
      <c r="AW965" s="561"/>
      <c r="AX965" s="561"/>
      <c r="AY965" s="561"/>
      <c r="AZ965" s="561"/>
      <c r="BA965" s="564">
        <f>SUM(BA959:BA964)</f>
        <v>46654362</v>
      </c>
      <c r="BB965" s="561"/>
      <c r="BC965" s="561"/>
      <c r="BD965" s="561"/>
      <c r="BE965" s="564">
        <f>SUM(BE959:BE964)</f>
        <v>109013847</v>
      </c>
      <c r="BF965" s="561"/>
      <c r="BG965" s="565">
        <f>+BE965/320000000</f>
        <v>0.34066827187499998</v>
      </c>
      <c r="BH965" s="533"/>
      <c r="BI965" s="500"/>
      <c r="BP965" s="59">
        <f>+BP964/BA962</f>
        <v>-6.4986806589630271E-3</v>
      </c>
    </row>
    <row r="966" spans="4:75" ht="15.5" thickTop="1" x14ac:dyDescent="0.75">
      <c r="D966" s="56"/>
      <c r="H966" s="59"/>
      <c r="AR966" s="500"/>
      <c r="AS966" s="533"/>
      <c r="AT966" s="575" t="s">
        <v>185</v>
      </c>
      <c r="AU966" s="561"/>
      <c r="AV966" s="561"/>
      <c r="AW966" s="561"/>
      <c r="AX966" s="561"/>
      <c r="AY966" s="561"/>
      <c r="AZ966" s="561"/>
      <c r="BA966" s="484">
        <f>+BY986</f>
        <v>0.61144144144144141</v>
      </c>
      <c r="BB966" s="561"/>
      <c r="BC966" s="561"/>
      <c r="BD966" s="561"/>
      <c r="BE966" s="574"/>
      <c r="BF966" s="561"/>
      <c r="BG966" s="484"/>
      <c r="BH966" s="533"/>
      <c r="BI966" s="500"/>
      <c r="BP966" s="59"/>
    </row>
    <row r="967" spans="4:75" x14ac:dyDescent="0.75">
      <c r="D967" s="56"/>
      <c r="H967" s="59"/>
      <c r="AR967" s="500"/>
      <c r="AS967" s="533"/>
      <c r="AT967" s="575" t="s">
        <v>187</v>
      </c>
      <c r="AU967" s="561"/>
      <c r="AV967" s="561"/>
      <c r="AW967" s="561"/>
      <c r="AX967" s="561"/>
      <c r="AY967" s="561"/>
      <c r="AZ967" s="561"/>
      <c r="BA967" s="576">
        <f>+BA965*BA966</f>
        <v>28526410.350810811</v>
      </c>
      <c r="BB967" s="561"/>
      <c r="BC967" s="561"/>
      <c r="BD967" s="561"/>
      <c r="BE967" s="574"/>
      <c r="BF967" s="561"/>
      <c r="BG967" s="484"/>
      <c r="BH967" s="533"/>
      <c r="BI967" s="500"/>
      <c r="BP967" s="59"/>
    </row>
    <row r="968" spans="4:75" ht="15.5" thickBot="1" x14ac:dyDescent="0.9">
      <c r="D968" s="56"/>
      <c r="H968" s="59"/>
      <c r="AR968" s="500"/>
      <c r="AS968" s="533"/>
      <c r="AT968" s="575" t="s">
        <v>186</v>
      </c>
      <c r="AU968" s="561"/>
      <c r="AV968" s="561"/>
      <c r="AW968" s="561"/>
      <c r="AX968" s="561"/>
      <c r="AY968" s="561"/>
      <c r="AZ968" s="561"/>
      <c r="BA968" s="564">
        <f>+BA965-BA967</f>
        <v>18127951.649189189</v>
      </c>
      <c r="BB968" s="561"/>
      <c r="BC968" s="561"/>
      <c r="BD968" s="561"/>
      <c r="BE968" s="574"/>
      <c r="BF968" s="561"/>
      <c r="BG968" s="484"/>
      <c r="BH968" s="533"/>
      <c r="BI968" s="500"/>
      <c r="BP968" s="59"/>
    </row>
    <row r="969" spans="4:75" ht="15.5" thickTop="1" x14ac:dyDescent="0.75">
      <c r="AR969" s="500"/>
      <c r="AS969" s="533"/>
      <c r="AT969" s="561"/>
      <c r="AU969" s="561"/>
      <c r="AV969" s="561"/>
      <c r="AW969" s="561"/>
      <c r="AX969" s="561"/>
      <c r="AY969" s="561"/>
      <c r="AZ969" s="561"/>
      <c r="BA969" s="561"/>
      <c r="BB969" s="561"/>
      <c r="BC969" s="561"/>
      <c r="BD969" s="561"/>
      <c r="BE969" s="561"/>
      <c r="BF969" s="561"/>
      <c r="BG969" s="561"/>
      <c r="BH969" s="533"/>
      <c r="BI969" s="500"/>
      <c r="BP969">
        <v>35761323</v>
      </c>
      <c r="BR969" s="56">
        <f>+BA965-BP969</f>
        <v>10893039</v>
      </c>
    </row>
    <row r="970" spans="4:75" x14ac:dyDescent="0.75">
      <c r="AR970" s="500"/>
      <c r="AS970" s="500"/>
      <c r="AT970" s="500"/>
      <c r="AU970" s="500"/>
      <c r="AV970" s="500"/>
      <c r="AW970" s="500"/>
      <c r="AX970" s="500"/>
      <c r="AY970" s="500"/>
      <c r="AZ970" s="500"/>
      <c r="BA970" s="500"/>
      <c r="BB970" s="500"/>
      <c r="BC970" s="500"/>
      <c r="BD970" s="500"/>
      <c r="BE970" s="500"/>
      <c r="BF970" s="500"/>
      <c r="BG970" s="500"/>
      <c r="BH970" s="500"/>
      <c r="BI970" s="500"/>
    </row>
    <row r="971" spans="4:75" x14ac:dyDescent="0.75">
      <c r="BP971" s="587">
        <v>221538504.58886749</v>
      </c>
      <c r="BQ971" s="598"/>
      <c r="BR971" s="598"/>
      <c r="BS971" s="598"/>
      <c r="BT971" s="598"/>
    </row>
    <row r="972" spans="4:75" x14ac:dyDescent="0.75">
      <c r="AV972" t="s">
        <v>153</v>
      </c>
      <c r="BA972" s="56">
        <f>+H235</f>
        <v>9935229</v>
      </c>
    </row>
    <row r="974" spans="4:75" x14ac:dyDescent="0.75">
      <c r="AV974" t="s">
        <v>164</v>
      </c>
      <c r="BA974" s="56">
        <f>+H327</f>
        <v>26719787</v>
      </c>
    </row>
    <row r="975" spans="4:75" x14ac:dyDescent="0.75">
      <c r="BA975" s="56"/>
    </row>
    <row r="976" spans="4:75" x14ac:dyDescent="0.75">
      <c r="AR976" s="500"/>
      <c r="AS976" s="500"/>
      <c r="AT976" s="500"/>
      <c r="AU976" s="500"/>
      <c r="AV976" s="500"/>
      <c r="AW976" s="500"/>
      <c r="AX976" s="500"/>
      <c r="AY976" s="500"/>
      <c r="AZ976" s="500"/>
      <c r="BA976" s="557"/>
      <c r="BB976" s="500"/>
      <c r="BC976" s="500"/>
      <c r="BD976" s="500"/>
      <c r="BE976" s="500"/>
      <c r="BF976" s="500"/>
      <c r="BG976" s="500"/>
      <c r="BH976" s="500"/>
      <c r="BI976" s="500"/>
      <c r="BJ976" s="500"/>
      <c r="BK976" s="500"/>
      <c r="BL976" s="500"/>
      <c r="BM976" s="500"/>
      <c r="BN976" s="500"/>
      <c r="BO976" s="500"/>
      <c r="BP976" s="500"/>
      <c r="BQ976" s="500"/>
      <c r="BR976" s="500"/>
      <c r="BS976" s="500"/>
      <c r="BT976" s="500"/>
      <c r="BU976" s="500"/>
      <c r="BV976" s="500"/>
      <c r="BW976" s="500"/>
    </row>
    <row r="977" spans="44:90" ht="14.4" customHeight="1" x14ac:dyDescent="0.75">
      <c r="AR977" s="500"/>
      <c r="AS977" s="533"/>
      <c r="AT977" s="596" t="s">
        <v>176</v>
      </c>
      <c r="AU977" s="596"/>
      <c r="AV977" s="596"/>
      <c r="AW977" s="596"/>
      <c r="AX977" s="596"/>
      <c r="AY977" s="596"/>
      <c r="AZ977" s="596"/>
      <c r="BA977" s="596"/>
      <c r="BB977" s="596"/>
      <c r="BC977" s="596"/>
      <c r="BD977" s="596"/>
      <c r="BE977" s="596"/>
      <c r="BF977" s="596"/>
      <c r="BG977" s="596"/>
      <c r="BH977" s="596"/>
      <c r="BI977" s="596"/>
      <c r="BJ977" s="596"/>
      <c r="BK977" s="596"/>
      <c r="BL977" s="596"/>
      <c r="BM977" s="596"/>
      <c r="BN977" s="596"/>
      <c r="BO977" s="596"/>
      <c r="BP977" s="596"/>
      <c r="BQ977" s="596"/>
      <c r="BR977" s="596"/>
      <c r="BS977" s="596"/>
      <c r="BT977" s="596"/>
      <c r="BU977" s="596"/>
      <c r="BV977" s="596"/>
      <c r="BW977" s="500"/>
    </row>
    <row r="978" spans="44:90" ht="14.4" customHeight="1" x14ac:dyDescent="0.75">
      <c r="AR978" s="500"/>
      <c r="AS978" s="533"/>
      <c r="AT978" s="533"/>
      <c r="AU978" s="533"/>
      <c r="AV978" s="533"/>
      <c r="AW978" s="533"/>
      <c r="AX978" s="533"/>
      <c r="AY978" s="533"/>
      <c r="AZ978" s="533"/>
      <c r="BA978" s="604" t="s">
        <v>172</v>
      </c>
      <c r="BB978" s="604"/>
      <c r="BC978" s="604"/>
      <c r="BD978" s="604"/>
      <c r="BE978" s="604"/>
      <c r="BF978" s="561"/>
      <c r="BG978" s="596" t="s">
        <v>180</v>
      </c>
      <c r="BH978" s="596"/>
      <c r="BI978" s="596"/>
      <c r="BJ978" s="596"/>
      <c r="BK978" s="596"/>
      <c r="BL978" s="596"/>
      <c r="BM978" s="596"/>
      <c r="BN978" s="596"/>
      <c r="BO978" s="596"/>
      <c r="BP978" s="596"/>
      <c r="BQ978" s="533"/>
      <c r="BR978" s="592" t="s">
        <v>176</v>
      </c>
      <c r="BS978" s="592"/>
      <c r="BT978" s="592"/>
      <c r="BU978" s="592"/>
      <c r="BV978" s="592"/>
      <c r="BW978" s="500"/>
    </row>
    <row r="979" spans="44:90" x14ac:dyDescent="0.75">
      <c r="AR979" s="500"/>
      <c r="AS979" s="533"/>
      <c r="AT979" s="533"/>
      <c r="AU979" s="533"/>
      <c r="AV979" s="533"/>
      <c r="AW979" s="533"/>
      <c r="AX979" s="533"/>
      <c r="AY979" s="533"/>
      <c r="AZ979" s="533"/>
      <c r="BA979" s="570" t="s">
        <v>177</v>
      </c>
      <c r="BB979" s="571"/>
      <c r="BC979" s="572" t="s">
        <v>182</v>
      </c>
      <c r="BD979" s="571"/>
      <c r="BE979" s="572" t="s">
        <v>178</v>
      </c>
      <c r="BF979" s="561"/>
      <c r="BG979" s="570"/>
      <c r="BH979" s="571"/>
      <c r="BI979" s="606"/>
      <c r="BJ979" s="606"/>
      <c r="BK979" s="606"/>
      <c r="BL979" s="606"/>
      <c r="BM979" s="606"/>
      <c r="BN979" s="606"/>
      <c r="BO979" s="473"/>
      <c r="BP979" s="572"/>
      <c r="BQ979" s="533"/>
      <c r="BR979" s="593"/>
      <c r="BS979" s="593"/>
      <c r="BT979" s="593"/>
      <c r="BU979" s="593"/>
      <c r="BV979" s="593"/>
      <c r="BW979" s="500"/>
    </row>
    <row r="980" spans="44:90" x14ac:dyDescent="0.75">
      <c r="AR980" s="500"/>
      <c r="AS980" s="533"/>
      <c r="AT980" s="533"/>
      <c r="AU980" s="533"/>
      <c r="AV980" s="533"/>
      <c r="AW980" s="533"/>
      <c r="AX980" s="533"/>
      <c r="AY980" s="533"/>
      <c r="AZ980" s="533"/>
      <c r="BA980" s="568" t="s">
        <v>173</v>
      </c>
      <c r="BB980" s="566"/>
      <c r="BC980" s="568" t="s">
        <v>175</v>
      </c>
      <c r="BD980" s="566"/>
      <c r="BE980" s="568" t="s">
        <v>174</v>
      </c>
      <c r="BF980" s="561"/>
      <c r="BG980" s="567" t="s">
        <v>180</v>
      </c>
      <c r="BH980" s="561"/>
      <c r="BI980" s="605" t="s">
        <v>184</v>
      </c>
      <c r="BJ980" s="605"/>
      <c r="BK980" s="605"/>
      <c r="BL980" s="605"/>
      <c r="BM980" s="605"/>
      <c r="BN980" s="605"/>
      <c r="BO980" s="561"/>
      <c r="BP980" s="568" t="s">
        <v>181</v>
      </c>
      <c r="BQ980" s="533"/>
      <c r="BR980" s="594" t="s">
        <v>179</v>
      </c>
      <c r="BS980" s="594"/>
      <c r="BT980" s="594"/>
      <c r="BU980" s="594"/>
      <c r="BV980" s="594"/>
      <c r="BW980" s="500"/>
    </row>
    <row r="981" spans="44:90" x14ac:dyDescent="0.75">
      <c r="AR981" s="500"/>
      <c r="AS981" s="533"/>
      <c r="AT981" s="595" t="s">
        <v>162</v>
      </c>
      <c r="AU981" s="595"/>
      <c r="AV981" s="595"/>
      <c r="AW981" s="595"/>
      <c r="AX981" s="595"/>
      <c r="AY981" s="561"/>
      <c r="AZ981" s="561"/>
      <c r="BA981" s="562">
        <f>+BA959</f>
        <v>6826001</v>
      </c>
      <c r="BB981" s="561"/>
      <c r="BC981" s="562">
        <f>+BE981-BA981</f>
        <v>61434009</v>
      </c>
      <c r="BD981" s="561"/>
      <c r="BE981" s="562">
        <f>+BE959</f>
        <v>68260010</v>
      </c>
      <c r="BF981" s="533"/>
      <c r="BG981" s="563">
        <v>0</v>
      </c>
      <c r="BH981" s="563"/>
      <c r="BI981" s="563"/>
      <c r="BJ981" s="563"/>
      <c r="BK981" s="563"/>
      <c r="BL981" s="563"/>
      <c r="BM981" s="563"/>
      <c r="BN981" s="563">
        <f>+BG981</f>
        <v>0</v>
      </c>
      <c r="BO981" s="563"/>
      <c r="BP981" s="563">
        <f>+BN981*0.5</f>
        <v>0</v>
      </c>
      <c r="BQ981" s="561"/>
      <c r="BR981" s="587">
        <f t="shared" ref="BR981:BR986" si="4352">+BE981+BP981</f>
        <v>68260010</v>
      </c>
      <c r="BS981" s="598"/>
      <c r="BT981" s="598"/>
      <c r="BU981" s="598"/>
      <c r="BV981" s="598"/>
      <c r="BW981" s="500"/>
      <c r="CA981" s="56">
        <f>+BR981</f>
        <v>68260010</v>
      </c>
    </row>
    <row r="982" spans="44:90" x14ac:dyDescent="0.75">
      <c r="AR982" s="500"/>
      <c r="AS982" s="533"/>
      <c r="AT982" s="595" t="s">
        <v>171</v>
      </c>
      <c r="AU982" s="595"/>
      <c r="AV982" s="595"/>
      <c r="AW982" s="595"/>
      <c r="AX982" s="595"/>
      <c r="AY982" s="561"/>
      <c r="AZ982" s="561"/>
      <c r="BA982" s="562">
        <f>+BA981+BA960</f>
        <v>9935229</v>
      </c>
      <c r="BB982" s="561"/>
      <c r="BC982" s="562">
        <f>+BE982-BA982</f>
        <v>73870921</v>
      </c>
      <c r="BD982" s="561"/>
      <c r="BE982" s="562">
        <f>+BE981+BE960</f>
        <v>83806150</v>
      </c>
      <c r="BF982" s="533"/>
      <c r="BG982" s="563">
        <v>0</v>
      </c>
      <c r="BH982" s="563"/>
      <c r="BI982" s="563"/>
      <c r="BJ982" s="563"/>
      <c r="BK982" s="563"/>
      <c r="BL982" s="563"/>
      <c r="BM982" s="563"/>
      <c r="BN982" s="563">
        <f>+BN981+BG982</f>
        <v>0</v>
      </c>
      <c r="BO982" s="563"/>
      <c r="BP982" s="563">
        <f>+BN982*0.5</f>
        <v>0</v>
      </c>
      <c r="BQ982" s="561"/>
      <c r="BR982" s="587">
        <f t="shared" si="4352"/>
        <v>83806150</v>
      </c>
      <c r="BS982" s="598"/>
      <c r="BT982" s="598"/>
      <c r="BU982" s="598"/>
      <c r="BV982" s="598"/>
      <c r="BW982" s="500"/>
    </row>
    <row r="983" spans="44:90" x14ac:dyDescent="0.75">
      <c r="AR983" s="500"/>
      <c r="AS983" s="533"/>
      <c r="AT983" s="595" t="s">
        <v>163</v>
      </c>
      <c r="AU983" s="595"/>
      <c r="AV983" s="595"/>
      <c r="AW983" s="595"/>
      <c r="AX983" s="595"/>
      <c r="AY983" s="595"/>
      <c r="AZ983" s="595"/>
      <c r="BA983" s="562">
        <f>+BA982+BA961</f>
        <v>26719787</v>
      </c>
      <c r="BB983" s="561"/>
      <c r="BC983" s="562">
        <f>(+BE983-BA983)*(1-0.2)</f>
        <v>59096736.800000004</v>
      </c>
      <c r="BD983" s="561"/>
      <c r="BE983" s="562">
        <f>+BE982+BE961</f>
        <v>100590708</v>
      </c>
      <c r="BF983" s="533"/>
      <c r="BG983" s="563">
        <f>13400000+5660000</f>
        <v>19060000</v>
      </c>
      <c r="BH983" s="563"/>
      <c r="BI983" s="599"/>
      <c r="BJ983" s="599"/>
      <c r="BK983" s="599"/>
      <c r="BL983" s="599"/>
      <c r="BM983" s="599"/>
      <c r="BN983" s="599"/>
      <c r="BO983" s="563"/>
      <c r="BP983" s="563">
        <f>+BG983</f>
        <v>19060000</v>
      </c>
      <c r="BQ983" s="561"/>
      <c r="BR983" s="587">
        <f t="shared" si="4352"/>
        <v>119650708</v>
      </c>
      <c r="BS983" s="598"/>
      <c r="BT983" s="598"/>
      <c r="BU983" s="598"/>
      <c r="BV983" s="598"/>
      <c r="BW983" s="500"/>
    </row>
    <row r="984" spans="44:90" x14ac:dyDescent="0.75">
      <c r="AR984" s="500"/>
      <c r="AS984" s="533"/>
      <c r="AT984" s="569" t="s">
        <v>183</v>
      </c>
      <c r="AU984" s="561"/>
      <c r="AV984" s="561"/>
      <c r="AW984" s="561"/>
      <c r="AX984" s="561"/>
      <c r="AY984" s="561"/>
      <c r="AZ984" s="561"/>
      <c r="BA984" s="562">
        <f>+BA983+BA962</f>
        <v>30917716</v>
      </c>
      <c r="BB984" s="561"/>
      <c r="BC984" s="562">
        <f>(+BE984-BA984)*(1-0.34)</f>
        <v>48754807.859999992</v>
      </c>
      <c r="BD984" s="561"/>
      <c r="BE984" s="562">
        <f>+BE983+BE962</f>
        <v>104788637</v>
      </c>
      <c r="BF984" s="533"/>
      <c r="BG984" s="563">
        <f>53420000-BG983</f>
        <v>34360000</v>
      </c>
      <c r="BH984" s="563"/>
      <c r="BI984" s="599"/>
      <c r="BJ984" s="599"/>
      <c r="BK984" s="599"/>
      <c r="BL984" s="599"/>
      <c r="BM984" s="599"/>
      <c r="BN984" s="599"/>
      <c r="BO984" s="563"/>
      <c r="BP984" s="563">
        <f>+BP983+BG984</f>
        <v>53420000</v>
      </c>
      <c r="BQ984" s="561"/>
      <c r="BR984" s="587">
        <f t="shared" si="4352"/>
        <v>158208637</v>
      </c>
      <c r="BS984" s="598"/>
      <c r="BT984" s="598"/>
      <c r="BU984" s="598"/>
      <c r="BV984" s="598"/>
      <c r="BW984" s="500"/>
    </row>
    <row r="985" spans="44:90" x14ac:dyDescent="0.75">
      <c r="AR985" s="500"/>
      <c r="AS985" s="533"/>
      <c r="AT985" s="569" t="s">
        <v>188</v>
      </c>
      <c r="AU985" s="561"/>
      <c r="AV985" s="561"/>
      <c r="AW985" s="561"/>
      <c r="AX985" s="561"/>
      <c r="AY985" s="561"/>
      <c r="AZ985" s="561"/>
      <c r="BA985" s="562">
        <v>17702720</v>
      </c>
      <c r="BB985" s="561"/>
      <c r="BC985" s="562">
        <v>36659557</v>
      </c>
      <c r="BD985" s="561"/>
      <c r="BE985" s="562">
        <f>+BA985+BC985</f>
        <v>54362277</v>
      </c>
      <c r="BF985" s="533"/>
      <c r="BG985" s="563">
        <f>164760000-BP984</f>
        <v>111340000</v>
      </c>
      <c r="BH985" s="563"/>
      <c r="BI985" s="599"/>
      <c r="BJ985" s="599"/>
      <c r="BK985" s="599"/>
      <c r="BL985" s="599"/>
      <c r="BM985" s="599"/>
      <c r="BN985" s="599"/>
      <c r="BO985" s="563"/>
      <c r="BP985" s="563">
        <f>+BP984+BG985</f>
        <v>164760000</v>
      </c>
      <c r="BQ985" s="561"/>
      <c r="BR985" s="587">
        <f t="shared" si="4352"/>
        <v>219122277</v>
      </c>
      <c r="BS985" s="598"/>
      <c r="BT985" s="598"/>
      <c r="BU985" s="598"/>
      <c r="BV985" s="598"/>
      <c r="BW985" s="500"/>
      <c r="CL985" s="1">
        <v>333000000</v>
      </c>
    </row>
    <row r="986" spans="44:90" x14ac:dyDescent="0.75">
      <c r="AR986" s="500"/>
      <c r="AS986" s="533"/>
      <c r="AT986" s="569" t="s">
        <v>189</v>
      </c>
      <c r="AU986" s="561"/>
      <c r="AV986" s="561"/>
      <c r="AW986" s="561"/>
      <c r="AX986" s="561"/>
      <c r="AY986" s="561"/>
      <c r="AZ986" s="561"/>
      <c r="BA986" s="562">
        <f>+BA968</f>
        <v>18127951.649189189</v>
      </c>
      <c r="BB986" s="561"/>
      <c r="BC986" s="562">
        <f>+BC982*BY986</f>
        <v>45167742.416846842</v>
      </c>
      <c r="BD986" s="561"/>
      <c r="BE986" s="562">
        <f>+BA986+BC986</f>
        <v>63295694.066036031</v>
      </c>
      <c r="BF986" s="533"/>
      <c r="BG986" s="563">
        <f>203610000-BP985</f>
        <v>38850000</v>
      </c>
      <c r="BH986" s="563"/>
      <c r="BI986" s="599"/>
      <c r="BJ986" s="599"/>
      <c r="BK986" s="599"/>
      <c r="BL986" s="599"/>
      <c r="BM986" s="599"/>
      <c r="BN986" s="599"/>
      <c r="BO986" s="563"/>
      <c r="BP986" s="563">
        <f>+BP985+BG986</f>
        <v>203610000</v>
      </c>
      <c r="BQ986" s="561"/>
      <c r="BR986" s="587">
        <f t="shared" si="4352"/>
        <v>266905694.06603605</v>
      </c>
      <c r="BS986" s="587"/>
      <c r="BT986" s="587"/>
      <c r="BU986" s="587"/>
      <c r="BV986" s="587"/>
      <c r="BW986" s="500"/>
      <c r="BY986" s="59">
        <f>+BP986/CL985</f>
        <v>0.61144144144144141</v>
      </c>
      <c r="CL986" s="1"/>
    </row>
    <row r="987" spans="44:90" x14ac:dyDescent="0.75">
      <c r="AR987" s="500"/>
      <c r="AS987" s="500"/>
      <c r="AT987" s="500"/>
      <c r="AU987" s="500"/>
      <c r="AV987" s="500"/>
      <c r="AW987" s="500"/>
      <c r="AX987" s="500"/>
      <c r="AY987" s="500"/>
      <c r="AZ987" s="500"/>
      <c r="BA987" s="500"/>
      <c r="BB987" s="500"/>
      <c r="BC987" s="500"/>
      <c r="BD987" s="500"/>
      <c r="BE987" s="500"/>
      <c r="BF987" s="500"/>
      <c r="BG987" s="500"/>
      <c r="BH987" s="500"/>
      <c r="BI987" s="500"/>
      <c r="BJ987" s="500"/>
      <c r="BK987" s="500"/>
      <c r="BL987" s="500"/>
      <c r="BM987" s="500"/>
      <c r="BN987" s="500"/>
      <c r="BO987" s="500"/>
      <c r="BP987" s="500"/>
      <c r="BQ987" s="500"/>
      <c r="BR987" s="500"/>
      <c r="BS987" s="500"/>
      <c r="BT987" s="500"/>
      <c r="BU987" s="500"/>
      <c r="BV987" s="500"/>
      <c r="BW987" s="500"/>
      <c r="CL987" s="59">
        <f>+BR986/CL985</f>
        <v>0.80151860079890702</v>
      </c>
    </row>
    <row r="989" spans="44:90" x14ac:dyDescent="0.75">
      <c r="BA989" s="56">
        <f>+BR985+BA967</f>
        <v>247648687.35081083</v>
      </c>
      <c r="BC989" s="59">
        <f>+BA989/CL985</f>
        <v>0.74368975180423669</v>
      </c>
      <c r="BE989" s="56"/>
      <c r="BG989" s="1">
        <v>202530000</v>
      </c>
      <c r="BP989" s="1">
        <f>+(BP986-BP985)/2</f>
        <v>19425000</v>
      </c>
      <c r="CL989" s="56">
        <f>+CL985-BR985</f>
        <v>113877723</v>
      </c>
    </row>
    <row r="990" spans="44:90" x14ac:dyDescent="0.75">
      <c r="BG990" s="56">
        <f>+BP986-BG989</f>
        <v>1080000</v>
      </c>
      <c r="BP990" s="56">
        <v>1800000</v>
      </c>
    </row>
    <row r="991" spans="44:90" ht="15.5" thickBot="1" x14ac:dyDescent="0.9">
      <c r="BP991" s="578">
        <f>+BP989-BP990</f>
        <v>17625000</v>
      </c>
    </row>
    <row r="992" spans="44:90" ht="15.5" thickTop="1" x14ac:dyDescent="0.75">
      <c r="CL992" s="59">
        <f>+BP985/CL985</f>
        <v>0.49477477477477477</v>
      </c>
    </row>
    <row r="994" spans="42:90" x14ac:dyDescent="0.75">
      <c r="BE994" s="500"/>
      <c r="BF994" s="500"/>
      <c r="BG994" s="500"/>
      <c r="BH994" s="500"/>
      <c r="BI994" s="500"/>
      <c r="BJ994" s="500"/>
      <c r="BK994" s="500"/>
      <c r="BL994" s="500"/>
      <c r="BM994" s="500"/>
      <c r="BN994" s="500"/>
      <c r="BO994" s="500"/>
      <c r="BP994" s="500"/>
      <c r="BQ994" s="500"/>
      <c r="BR994" s="500"/>
      <c r="BS994" s="500"/>
      <c r="BT994" s="500"/>
      <c r="BU994" s="500"/>
      <c r="BV994" s="500"/>
      <c r="BW994" s="500"/>
      <c r="BX994" s="500"/>
      <c r="BY994" s="500"/>
    </row>
    <row r="995" spans="42:90" x14ac:dyDescent="0.75">
      <c r="BE995" s="500"/>
      <c r="BF995" s="500"/>
      <c r="BG995" s="500"/>
      <c r="BH995" s="500"/>
      <c r="BI995" s="500"/>
      <c r="BJ995" s="500"/>
      <c r="BK995" s="500"/>
      <c r="BL995" s="500"/>
      <c r="BM995" s="500"/>
      <c r="BN995" s="500"/>
      <c r="BO995" s="500"/>
      <c r="BP995" s="500"/>
      <c r="BQ995" s="500"/>
      <c r="BR995" s="500"/>
      <c r="BS995" s="500"/>
      <c r="BT995" s="500"/>
      <c r="BU995" s="500"/>
      <c r="BV995" s="500"/>
      <c r="BW995" s="500"/>
      <c r="BX995" s="500"/>
      <c r="BY995" s="500"/>
    </row>
    <row r="996" spans="42:90" x14ac:dyDescent="0.75">
      <c r="AP996" s="1">
        <v>1500000</v>
      </c>
      <c r="BE996" s="500"/>
      <c r="BF996" s="500"/>
      <c r="BG996" s="500"/>
      <c r="BH996" s="500"/>
      <c r="BI996" s="500"/>
      <c r="BJ996" s="500"/>
      <c r="BK996" s="500"/>
      <c r="BL996" s="500"/>
      <c r="BM996" s="500"/>
      <c r="BN996" s="500"/>
      <c r="BO996" s="500"/>
      <c r="BP996" s="500"/>
      <c r="BQ996" s="500"/>
      <c r="BR996" s="500"/>
      <c r="BS996" s="500"/>
      <c r="BT996" s="500"/>
      <c r="BU996" s="500"/>
      <c r="BV996" s="500"/>
      <c r="BW996" s="500"/>
      <c r="BX996" s="500"/>
      <c r="BY996" s="500"/>
    </row>
    <row r="997" spans="42:90" x14ac:dyDescent="0.75">
      <c r="AP997">
        <v>7</v>
      </c>
      <c r="BE997" s="500"/>
      <c r="BY997" s="500"/>
      <c r="CL997">
        <v>177090000</v>
      </c>
    </row>
    <row r="998" spans="42:90" x14ac:dyDescent="0.75">
      <c r="AP998" s="1">
        <f>+AP996*AP997</f>
        <v>10500000</v>
      </c>
      <c r="BE998" s="500"/>
      <c r="BY998" s="500"/>
      <c r="CL998" s="231">
        <f>+CL997/CL985</f>
        <v>0.53180180180180181</v>
      </c>
    </row>
    <row r="999" spans="42:90" x14ac:dyDescent="0.75">
      <c r="BE999" s="500"/>
      <c r="BY999" s="500"/>
    </row>
    <row r="1000" spans="42:90" x14ac:dyDescent="0.75">
      <c r="BE1000" s="500"/>
      <c r="BY1000" s="500"/>
    </row>
    <row r="1001" spans="42:90" x14ac:dyDescent="0.75">
      <c r="BE1001" s="500"/>
      <c r="BY1001" s="500"/>
      <c r="CL1001" s="56">
        <f>+BR985+27420000</f>
        <v>246542277</v>
      </c>
    </row>
    <row r="1002" spans="42:90" x14ac:dyDescent="0.75">
      <c r="BE1002" s="500"/>
      <c r="BY1002" s="500"/>
    </row>
    <row r="1003" spans="42:90" x14ac:dyDescent="0.75">
      <c r="BE1003" s="500"/>
      <c r="BY1003" s="500"/>
      <c r="CL1003" s="59">
        <f>+CL1001/CL985</f>
        <v>0.74036719819819818</v>
      </c>
    </row>
    <row r="1004" spans="42:90" x14ac:dyDescent="0.75">
      <c r="BE1004" s="500"/>
      <c r="BY1004" s="500"/>
    </row>
    <row r="1005" spans="42:90" x14ac:dyDescent="0.75">
      <c r="BE1005" s="500"/>
      <c r="BY1005" s="500"/>
    </row>
    <row r="1006" spans="42:90" x14ac:dyDescent="0.75">
      <c r="BE1006" s="500"/>
      <c r="BY1006" s="500"/>
    </row>
    <row r="1007" spans="42:90" x14ac:dyDescent="0.75">
      <c r="BE1007" s="500"/>
      <c r="BY1007" s="500"/>
    </row>
    <row r="1008" spans="42:90" x14ac:dyDescent="0.75">
      <c r="BE1008" s="500"/>
      <c r="BY1008" s="500"/>
    </row>
    <row r="1009" spans="57:77" x14ac:dyDescent="0.75">
      <c r="BE1009" s="500"/>
      <c r="BY1009" s="500"/>
    </row>
    <row r="1010" spans="57:77" x14ac:dyDescent="0.75">
      <c r="BE1010" s="500"/>
      <c r="BF1010" s="500"/>
      <c r="BG1010" s="500"/>
      <c r="BH1010" s="500"/>
      <c r="BI1010" s="500"/>
      <c r="BJ1010" s="500"/>
      <c r="BK1010" s="500"/>
      <c r="BL1010" s="500"/>
      <c r="BM1010" s="500"/>
      <c r="BN1010" s="500"/>
      <c r="BO1010" s="500"/>
      <c r="BP1010" s="500"/>
      <c r="BQ1010" s="500"/>
      <c r="BR1010" s="500"/>
      <c r="BS1010" s="500"/>
      <c r="BT1010" s="500"/>
      <c r="BU1010" s="500"/>
      <c r="BV1010" s="500"/>
      <c r="BW1010" s="500"/>
      <c r="BX1010" s="500"/>
      <c r="BY1010" s="500"/>
    </row>
    <row r="1011" spans="57:77" x14ac:dyDescent="0.75">
      <c r="BE1011" s="500"/>
      <c r="BF1011" s="500"/>
      <c r="BG1011" s="500"/>
      <c r="BH1011" s="500"/>
      <c r="BI1011" s="500"/>
      <c r="BJ1011" s="500"/>
      <c r="BK1011" s="500"/>
      <c r="BL1011" s="500"/>
      <c r="BM1011" s="500"/>
      <c r="BN1011" s="500"/>
      <c r="BO1011" s="500"/>
      <c r="BP1011" s="500"/>
      <c r="BQ1011" s="500"/>
      <c r="BR1011" s="500"/>
      <c r="BS1011" s="500"/>
      <c r="BT1011" s="500"/>
      <c r="BU1011" s="500"/>
      <c r="BV1011" s="500"/>
      <c r="BW1011" s="500"/>
      <c r="BX1011" s="500"/>
      <c r="BY1011" s="500"/>
    </row>
    <row r="1012" spans="57:77" x14ac:dyDescent="0.75">
      <c r="BE1012" s="500"/>
      <c r="BF1012" s="500"/>
      <c r="BG1012" s="500"/>
      <c r="BH1012" s="500"/>
      <c r="BI1012" s="500"/>
      <c r="BJ1012" s="500"/>
      <c r="BK1012" s="500"/>
      <c r="BL1012" s="500"/>
      <c r="BM1012" s="500"/>
      <c r="BN1012" s="500"/>
      <c r="BO1012" s="500"/>
      <c r="BP1012" s="500"/>
      <c r="BQ1012" s="500"/>
      <c r="BR1012" s="500"/>
      <c r="BS1012" s="500"/>
      <c r="BT1012" s="500"/>
      <c r="BU1012" s="500"/>
      <c r="BV1012" s="500"/>
      <c r="BW1012" s="500"/>
      <c r="BX1012" s="500"/>
      <c r="BY1012" s="500"/>
    </row>
    <row r="1013" spans="57:77" x14ac:dyDescent="0.75">
      <c r="BE1013" s="500"/>
      <c r="BF1013" s="500"/>
      <c r="BG1013" s="500"/>
      <c r="BH1013" s="500"/>
      <c r="BI1013" s="500"/>
      <c r="BJ1013" s="500"/>
      <c r="BK1013" s="500"/>
      <c r="BL1013" s="500"/>
      <c r="BM1013" s="500"/>
      <c r="BN1013" s="500"/>
      <c r="BO1013" s="500"/>
      <c r="BP1013" s="500"/>
      <c r="BQ1013" s="500"/>
      <c r="BR1013" s="500"/>
      <c r="BS1013" s="500"/>
      <c r="BT1013" s="500"/>
      <c r="BU1013" s="500"/>
      <c r="BV1013" s="500"/>
      <c r="BW1013" s="500"/>
      <c r="BX1013" s="500"/>
      <c r="BY1013" s="500"/>
    </row>
    <row r="1014" spans="57:77" x14ac:dyDescent="0.75">
      <c r="BE1014" s="500"/>
      <c r="BF1014" s="500"/>
      <c r="BG1014" s="500"/>
      <c r="BH1014" s="500"/>
      <c r="BI1014" s="500"/>
      <c r="BJ1014" s="500"/>
      <c r="BK1014" s="500"/>
      <c r="BL1014" s="500"/>
      <c r="BM1014" s="500"/>
      <c r="BN1014" s="500"/>
      <c r="BO1014" s="500"/>
      <c r="BP1014" s="500"/>
      <c r="BQ1014" s="500"/>
      <c r="BR1014" s="500"/>
      <c r="BS1014" s="500"/>
      <c r="BT1014" s="500"/>
      <c r="BU1014" s="500"/>
      <c r="BV1014" s="500"/>
      <c r="BW1014" s="500"/>
      <c r="BX1014" s="500"/>
      <c r="BY1014" s="500"/>
    </row>
    <row r="1015" spans="57:77" x14ac:dyDescent="0.75">
      <c r="BE1015" s="500"/>
      <c r="BF1015" s="500"/>
      <c r="BG1015" s="500"/>
      <c r="BH1015" s="500"/>
      <c r="BI1015" s="500"/>
      <c r="BJ1015" s="500"/>
      <c r="BK1015" s="500"/>
      <c r="BL1015" s="500"/>
      <c r="BM1015" s="500"/>
      <c r="BN1015" s="500"/>
      <c r="BO1015" s="500"/>
      <c r="BP1015" s="500"/>
      <c r="BQ1015" s="500"/>
      <c r="BR1015" s="500"/>
      <c r="BS1015" s="500"/>
      <c r="BT1015" s="500"/>
      <c r="BU1015" s="500"/>
      <c r="BV1015" s="500"/>
      <c r="BW1015" s="500"/>
      <c r="BX1015" s="500"/>
      <c r="BY1015" s="500"/>
    </row>
    <row r="1016" spans="57:77" x14ac:dyDescent="0.75">
      <c r="BE1016" s="500"/>
      <c r="BF1016" s="500"/>
      <c r="BG1016" s="500"/>
      <c r="BH1016" s="500"/>
      <c r="BI1016" s="500"/>
      <c r="BJ1016" s="500"/>
      <c r="BK1016" s="500"/>
      <c r="BL1016" s="500"/>
      <c r="BM1016" s="500"/>
      <c r="BN1016" s="500"/>
      <c r="BO1016" s="500"/>
      <c r="BP1016" s="500"/>
      <c r="BQ1016" s="500"/>
      <c r="BR1016" s="500"/>
      <c r="BS1016" s="500"/>
      <c r="BT1016" s="500"/>
      <c r="BU1016" s="500"/>
      <c r="BV1016" s="500"/>
      <c r="BW1016" s="500"/>
      <c r="BX1016" s="500"/>
      <c r="BY1016" s="500"/>
    </row>
    <row r="1017" spans="57:77" x14ac:dyDescent="0.75">
      <c r="BE1017" s="500"/>
      <c r="BF1017" s="500"/>
      <c r="BG1017" s="500"/>
      <c r="BH1017" s="500"/>
      <c r="BI1017" s="500"/>
      <c r="BJ1017" s="500"/>
      <c r="BK1017" s="500"/>
      <c r="BL1017" s="500"/>
      <c r="BM1017" s="500"/>
      <c r="BN1017" s="500"/>
      <c r="BO1017" s="500"/>
      <c r="BP1017" s="500"/>
      <c r="BQ1017" s="500"/>
      <c r="BR1017" s="500"/>
      <c r="BS1017" s="500"/>
      <c r="BT1017" s="500"/>
      <c r="BU1017" s="500"/>
      <c r="BV1017" s="500"/>
      <c r="BW1017" s="500"/>
      <c r="BX1017" s="500"/>
      <c r="BY1017" s="500"/>
    </row>
  </sheetData>
  <mergeCells count="60">
    <mergeCell ref="BR982:BV982"/>
    <mergeCell ref="BR983:BV983"/>
    <mergeCell ref="BR985:BV985"/>
    <mergeCell ref="BI984:BN984"/>
    <mergeCell ref="BR984:BV984"/>
    <mergeCell ref="BI983:BN983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886:AN886"/>
    <mergeCell ref="AK896:AN896"/>
    <mergeCell ref="AV945:AX945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85:AV885"/>
    <mergeCell ref="AK887:AN887"/>
    <mergeCell ref="AK888:AN888"/>
    <mergeCell ref="AK889:AN889"/>
    <mergeCell ref="AK890:AN890"/>
    <mergeCell ref="AS956:BH956"/>
    <mergeCell ref="H918:J918"/>
    <mergeCell ref="AK895:AN895"/>
    <mergeCell ref="BI986:BN986"/>
    <mergeCell ref="AT981:AX981"/>
    <mergeCell ref="AT982:AX982"/>
    <mergeCell ref="AT983:AZ983"/>
    <mergeCell ref="BA978:BE978"/>
    <mergeCell ref="BG978:BP978"/>
    <mergeCell ref="BI980:BN980"/>
    <mergeCell ref="BI979:BN979"/>
    <mergeCell ref="BR986:BV986"/>
    <mergeCell ref="AV950:AY950"/>
    <mergeCell ref="BE957:BE958"/>
    <mergeCell ref="AV933:AX933"/>
    <mergeCell ref="BR978:BV979"/>
    <mergeCell ref="BR980:BV980"/>
    <mergeCell ref="AT960:AX960"/>
    <mergeCell ref="AT964:AZ964"/>
    <mergeCell ref="AT958:AY958"/>
    <mergeCell ref="AT961:AZ961"/>
    <mergeCell ref="AT977:BV977"/>
    <mergeCell ref="BG957:BG958"/>
    <mergeCell ref="AT959:AX959"/>
    <mergeCell ref="BP971:BT971"/>
    <mergeCell ref="BI985:BN985"/>
    <mergeCell ref="BR981:BV981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91:AP893 AR891:AR89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85"/>
  <sheetViews>
    <sheetView topLeftCell="A847" workbookViewId="0">
      <selection activeCell="Q869" sqref="Q869"/>
    </sheetView>
  </sheetViews>
  <sheetFormatPr defaultRowHeight="14.75" outlineLevelRow="1" x14ac:dyDescent="0.75"/>
  <cols>
    <col min="1" max="2" width="2.08984375" customWidth="1"/>
    <col min="3" max="3" width="10.86328125" customWidth="1"/>
    <col min="4" max="4" width="2.76953125" customWidth="1"/>
    <col min="5" max="5" width="11" bestFit="1" customWidth="1"/>
    <col min="6" max="6" width="2.08984375" customWidth="1"/>
    <col min="7" max="7" width="11" bestFit="1" customWidth="1"/>
    <col min="8" max="8" width="1.86328125" customWidth="1"/>
    <col min="9" max="9" width="10" bestFit="1" customWidth="1"/>
    <col min="10" max="10" width="1.86328125" customWidth="1"/>
    <col min="11" max="11" width="10.76953125" customWidth="1"/>
    <col min="12" max="12" width="1.54296875" customWidth="1"/>
    <col min="14" max="14" width="2.08984375" customWidth="1"/>
    <col min="15" max="15" width="3.31640625" customWidth="1"/>
    <col min="16" max="16" width="1" customWidth="1"/>
    <col min="17" max="17" width="9.2265625" customWidth="1"/>
    <col min="18" max="18" width="2.31640625" customWidth="1"/>
    <col min="20" max="20" width="2.453125" customWidth="1"/>
    <col min="22" max="22" width="2.31640625" customWidth="1"/>
    <col min="23" max="23" width="5.6796875" customWidth="1"/>
    <col min="24" max="24" width="12.54296875" customWidth="1"/>
    <col min="26" max="26" width="1.86328125" customWidth="1"/>
    <col min="27" max="27" width="2.54296875" customWidth="1"/>
    <col min="28" max="28" width="7.6796875" customWidth="1"/>
    <col min="29" max="29" width="2.453125" customWidth="1"/>
    <col min="30" max="30" width="12" customWidth="1"/>
    <col min="31" max="31" width="1.6796875" customWidth="1"/>
    <col min="32" max="32" width="11" customWidth="1"/>
    <col min="33" max="33" width="1.86328125" customWidth="1"/>
    <col min="35" max="35" width="1.54296875" customWidth="1"/>
    <col min="37" max="37" width="1.86328125" customWidth="1"/>
    <col min="38" max="38" width="8.86328125" customWidth="1"/>
    <col min="40" max="40" width="8.86328125" customWidth="1"/>
    <col min="41" max="41" width="14.6796875" customWidth="1"/>
  </cols>
  <sheetData>
    <row r="1" spans="3:40" ht="16" x14ac:dyDescent="0.8">
      <c r="C1" s="153" t="s">
        <v>5</v>
      </c>
      <c r="D1" s="153"/>
      <c r="E1" s="153"/>
    </row>
    <row r="2" spans="3:40" ht="16" x14ac:dyDescent="0.8">
      <c r="C2" s="153" t="s">
        <v>6</v>
      </c>
      <c r="D2" s="153"/>
      <c r="E2" s="153"/>
    </row>
    <row r="3" spans="3:40" x14ac:dyDescent="0.75">
      <c r="C3" s="154" t="s">
        <v>13</v>
      </c>
      <c r="D3" s="154"/>
    </row>
    <row r="4" spans="3:40" x14ac:dyDescent="0.75">
      <c r="D4" s="154"/>
      <c r="E4" s="154"/>
    </row>
    <row r="5" spans="3:40" x14ac:dyDescent="0.75">
      <c r="C5" s="111" t="s">
        <v>38</v>
      </c>
      <c r="D5" s="112"/>
      <c r="E5" s="112" t="s">
        <v>40</v>
      </c>
    </row>
    <row r="6" spans="3:40" ht="15.5" thickBot="1" x14ac:dyDescent="0.9"/>
    <row r="7" spans="3:40" x14ac:dyDescent="0.75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75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75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75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75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.5" thickBot="1" x14ac:dyDescent="0.9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.5" thickBot="1" x14ac:dyDescent="0.9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.5" thickBot="1" x14ac:dyDescent="0.9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5.5" thickBot="1" x14ac:dyDescent="0.9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75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+K873</f>
        <v>9194879</v>
      </c>
      <c r="AG16" s="187"/>
      <c r="AH16" s="201">
        <f>+AJ31</f>
        <v>28838.112075692308</v>
      </c>
      <c r="AI16" s="201"/>
      <c r="AJ16" s="202">
        <f>+S873</f>
        <v>115407</v>
      </c>
      <c r="AK16" s="203"/>
      <c r="AL16" s="98"/>
      <c r="AM16" s="98"/>
      <c r="AN16" s="98"/>
    </row>
    <row r="17" spans="3:41" x14ac:dyDescent="0.75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1955844</v>
      </c>
      <c r="AG17" s="188"/>
      <c r="AH17" s="149">
        <v>28376</v>
      </c>
      <c r="AI17" s="201"/>
      <c r="AJ17" s="148">
        <v>21127</v>
      </c>
      <c r="AK17" s="205"/>
      <c r="AL17" s="98"/>
      <c r="AM17" s="78"/>
      <c r="AN17" s="78"/>
    </row>
    <row r="18" spans="3:41" x14ac:dyDescent="0.75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3058316</v>
      </c>
      <c r="AG18" s="188"/>
      <c r="AH18" s="149">
        <v>23889</v>
      </c>
      <c r="AI18" s="201"/>
      <c r="AJ18" s="148">
        <v>46047</v>
      </c>
      <c r="AK18" s="205"/>
      <c r="AL18" s="98"/>
      <c r="AM18" s="78"/>
      <c r="AN18" s="78"/>
    </row>
    <row r="19" spans="3:41" ht="15.5" thickBot="1" x14ac:dyDescent="0.9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14209039</v>
      </c>
      <c r="AG19" s="188"/>
      <c r="AH19" s="188"/>
      <c r="AI19" s="188"/>
      <c r="AJ19" s="206">
        <f>SUM(AJ16:AJ18)</f>
        <v>182581</v>
      </c>
      <c r="AK19" s="205"/>
      <c r="AL19" s="98"/>
      <c r="AM19" s="78"/>
      <c r="AN19" s="78"/>
    </row>
    <row r="20" spans="3:41" ht="15.5" thickTop="1" x14ac:dyDescent="0.75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.5" thickBot="1" x14ac:dyDescent="0.9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Table'!H872</f>
        <v>0.18175211009156475</v>
      </c>
      <c r="AG21" s="188"/>
      <c r="AH21" s="188"/>
      <c r="AI21" s="188"/>
      <c r="AJ21" s="208">
        <f>+AJ19/'Main Table'!AA872</f>
        <v>0.20119140627152207</v>
      </c>
      <c r="AK21" s="205"/>
      <c r="AL21" s="98"/>
      <c r="AM21" s="84"/>
      <c r="AN21" s="78"/>
    </row>
    <row r="22" spans="3:41" ht="16.25" thickTop="1" thickBot="1" x14ac:dyDescent="0.9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75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.5" thickBot="1" x14ac:dyDescent="0.9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.5" thickBot="1" x14ac:dyDescent="0.9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75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75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+E873</f>
        <v>5773709</v>
      </c>
      <c r="AE27" s="155"/>
      <c r="AF27" s="186">
        <v>29679</v>
      </c>
      <c r="AG27" s="155"/>
      <c r="AH27" s="177">
        <f>+AD27/AD$31</f>
        <v>0.51778786003382915</v>
      </c>
      <c r="AI27" s="177"/>
      <c r="AJ27" s="155">
        <f>+AF27*AH27</f>
        <v>15367.425897944015</v>
      </c>
      <c r="AK27" s="178"/>
      <c r="AL27" s="106"/>
      <c r="AM27" s="78"/>
      <c r="AN27" s="78"/>
      <c r="AO27" s="106"/>
    </row>
    <row r="28" spans="3:41" x14ac:dyDescent="0.75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+G873</f>
        <v>2572621</v>
      </c>
      <c r="AE28" s="155"/>
      <c r="AF28" s="186">
        <v>28964</v>
      </c>
      <c r="AG28" s="155"/>
      <c r="AH28" s="177">
        <f>+AD28/AD$31</f>
        <v>0.23071338064805305</v>
      </c>
      <c r="AI28" s="177"/>
      <c r="AJ28" s="155">
        <f>+AF28*AH28</f>
        <v>6682.3823570902086</v>
      </c>
      <c r="AK28" s="178"/>
      <c r="AL28" s="106"/>
      <c r="AM28" s="78"/>
      <c r="AN28" s="78"/>
      <c r="AO28" s="106"/>
    </row>
    <row r="29" spans="3:41" x14ac:dyDescent="0.75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+I873</f>
        <v>848549</v>
      </c>
      <c r="AE29" s="155"/>
      <c r="AF29" s="186">
        <v>23800</v>
      </c>
      <c r="AG29" s="155"/>
      <c r="AH29" s="177">
        <f>+AD29/AD$31</f>
        <v>7.6098114893536503E-2</v>
      </c>
      <c r="AI29" s="177"/>
      <c r="AJ29" s="155">
        <f>+AF29*AH29</f>
        <v>1811.1351344661687</v>
      </c>
      <c r="AK29" s="178"/>
      <c r="AL29" s="106"/>
      <c r="AM29" s="78"/>
      <c r="AN29" s="78"/>
      <c r="AO29" s="106"/>
    </row>
    <row r="30" spans="3:41" x14ac:dyDescent="0.75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1955844</v>
      </c>
      <c r="AE30" s="237"/>
      <c r="AF30" s="155">
        <f>+AH17</f>
        <v>28376</v>
      </c>
      <c r="AG30" s="237"/>
      <c r="AH30" s="177">
        <f>+AD30/AD$31</f>
        <v>0.17540064442458125</v>
      </c>
      <c r="AI30" s="237"/>
      <c r="AJ30" s="155">
        <f>+AF30*AH30</f>
        <v>4977.1686861919179</v>
      </c>
      <c r="AK30" s="178"/>
      <c r="AL30" s="106"/>
      <c r="AM30" s="78"/>
      <c r="AN30" s="78"/>
      <c r="AO30" s="106"/>
    </row>
    <row r="31" spans="3:41" ht="15.5" thickBot="1" x14ac:dyDescent="0.9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11150723</v>
      </c>
      <c r="AE31" s="155"/>
      <c r="AF31" s="155"/>
      <c r="AG31" s="155"/>
      <c r="AH31" s="180">
        <f>SUM(AH27:AH30)</f>
        <v>0.99999999999999989</v>
      </c>
      <c r="AI31" s="177"/>
      <c r="AJ31" s="179">
        <f>SUM(AJ27:AJ30)</f>
        <v>28838.112075692308</v>
      </c>
      <c r="AK31" s="178"/>
      <c r="AL31" s="106"/>
      <c r="AM31" s="78"/>
      <c r="AN31" s="78"/>
      <c r="AO31" s="106"/>
    </row>
    <row r="32" spans="3:41" ht="16.25" thickTop="1" thickBot="1" x14ac:dyDescent="0.9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75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75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.5" thickBot="1" x14ac:dyDescent="0.9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.5" thickBot="1" x14ac:dyDescent="0.9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75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75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75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75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.5" thickBot="1" x14ac:dyDescent="0.9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.5" thickTop="1" x14ac:dyDescent="0.75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.5" thickBot="1" x14ac:dyDescent="0.9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6.25" thickTop="1" thickBot="1" x14ac:dyDescent="0.9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75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75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75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75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75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Table'!AA872</f>
        <v>907499</v>
      </c>
      <c r="AJ49" s="56">
        <f>+AJ19</f>
        <v>182581</v>
      </c>
    </row>
    <row r="50" spans="3:36" x14ac:dyDescent="0.75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182581</v>
      </c>
      <c r="AF50" s="231"/>
    </row>
    <row r="51" spans="3:36" x14ac:dyDescent="0.75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724918</v>
      </c>
    </row>
    <row r="52" spans="3:36" x14ac:dyDescent="0.75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75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304465.56</v>
      </c>
    </row>
    <row r="54" spans="3:36" x14ac:dyDescent="0.75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75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420452.44</v>
      </c>
    </row>
    <row r="56" spans="3:36" x14ac:dyDescent="0.75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75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0.46330898436251722</v>
      </c>
    </row>
    <row r="58" spans="3:36" x14ac:dyDescent="0.75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75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75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75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75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75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75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75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75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75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75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75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75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75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75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75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75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75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75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75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75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75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75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75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75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75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75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75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75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75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75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75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75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75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75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75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75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75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75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75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75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75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75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75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75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75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75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75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75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75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75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75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75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75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75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75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75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75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75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75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75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75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75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75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75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75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75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75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75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75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75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75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75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75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75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75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75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75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75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75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75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75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75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75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75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75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75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75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75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75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75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75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75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75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75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75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75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75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75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75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75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75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75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75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75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75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75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75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75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75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75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75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75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75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75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75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75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75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75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75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75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75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75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75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75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75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75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75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75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75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75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75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75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75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75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75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75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75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75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75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75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75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75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75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75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75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75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75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75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75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75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75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75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75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75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75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75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75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75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75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75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75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75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75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75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75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75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75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75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75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75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75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75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75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75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75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75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75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75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75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75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75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75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75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75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75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75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75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75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75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75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75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75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75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75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75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75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75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75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75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75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75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75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75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75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75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75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75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75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75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75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75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75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75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75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75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75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75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75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75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75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75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75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75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75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75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75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75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75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75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75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75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75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75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75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75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75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75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75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75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75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75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75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75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75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75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75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75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75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75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75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75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75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75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75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75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75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75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75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75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75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75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75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75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75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75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75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75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75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75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75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75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75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75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75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75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75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75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75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75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75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75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75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75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75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75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75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75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75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75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75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75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75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75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75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75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75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75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75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75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75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75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75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75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75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75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75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75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75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75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75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75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75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75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75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75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75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75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75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75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75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75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75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75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75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75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75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75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75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75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75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75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75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75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75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75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75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75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75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75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75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75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75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75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75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75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75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75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75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75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75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75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75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75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75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75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75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75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75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75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75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75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75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75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75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75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75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75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75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75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75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75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75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75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75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75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75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75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75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75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75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75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75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75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75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75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75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75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75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75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75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75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75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75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75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75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75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75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75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75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75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75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75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75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75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75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75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75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75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75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75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75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75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75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75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75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75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75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75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75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75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75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75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75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75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75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75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75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75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75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75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75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75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75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75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75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75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75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75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75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75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75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75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75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75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75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75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75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75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75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75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75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75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75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75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75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75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75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75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75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75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75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75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75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75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75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75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75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75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75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75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75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75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75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75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75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75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75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75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75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75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75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75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75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75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75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75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75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75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75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75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75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75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75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75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75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75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75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75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75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75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75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75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75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75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75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75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75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75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75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75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75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75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75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75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75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75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75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75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75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75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75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75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75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75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75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75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75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75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75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75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75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75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75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75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75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75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75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75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75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75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75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75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75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75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75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75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75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75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75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75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75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75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75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75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75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75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75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75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75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75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75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75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75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75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75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75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75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75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75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75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75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75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75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75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75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75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75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75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75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75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75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75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75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75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75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75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75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75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75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75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75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75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75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75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75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75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75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75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75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75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75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75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75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75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75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75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75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75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75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75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75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75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75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75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75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75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75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75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75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75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75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75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75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75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75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75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75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75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75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75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75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75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75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75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75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75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75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75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75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75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75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75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75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75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75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75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75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75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75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75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75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75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75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75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75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75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75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75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75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75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75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75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75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75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75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75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75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75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75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75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75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75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75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75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75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75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75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75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75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75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75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75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75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75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75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75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75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75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75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75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75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75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75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75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75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75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75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75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75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75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75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75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75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75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75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75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75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75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75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75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75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75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75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75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75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75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75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75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75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75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75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75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75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75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75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75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75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75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75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75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75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75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75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75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75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75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75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75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67" si="467">+W795+1</f>
        <v>786</v>
      </c>
      <c r="Y796" s="56"/>
    </row>
    <row r="797" spans="3:25" x14ac:dyDescent="0.75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75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75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75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75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75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75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75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75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75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75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75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75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75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75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75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75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75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75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75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75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75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75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75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75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75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75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75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75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75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75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75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75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75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75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75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75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75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75">
      <c r="C835" s="158">
        <f t="shared" ref="C835:C871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75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75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75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75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75">
      <c r="C840" s="158">
        <f t="shared" si="579"/>
        <v>44739</v>
      </c>
      <c r="E840" s="241">
        <v>5594030</v>
      </c>
      <c r="F840" s="7"/>
      <c r="G840" s="7">
        <v>2478067</v>
      </c>
      <c r="H840" s="581"/>
      <c r="I840" s="7">
        <v>825075</v>
      </c>
      <c r="J840" s="244"/>
      <c r="K840" s="7">
        <f t="shared" ref="K840" si="595">SUM(E840:I840)</f>
        <v>8897172</v>
      </c>
      <c r="L840" s="6"/>
      <c r="M840" s="438">
        <f t="shared" ref="M840" si="596">+(K840-K839)/K839</f>
        <v>1.3705128702942433E-3</v>
      </c>
      <c r="N840" s="29"/>
      <c r="O840" s="29"/>
      <c r="P840" s="29"/>
      <c r="Q840" s="332">
        <f t="shared" ref="Q840" si="597">+K840-K839</f>
        <v>12177</v>
      </c>
      <c r="R840" s="6"/>
      <c r="S840" s="7">
        <f>69576+34007+11034</f>
        <v>114617</v>
      </c>
      <c r="T840" s="6"/>
      <c r="U840" s="243">
        <v>2.402125115017657E-2</v>
      </c>
      <c r="W840">
        <f t="shared" si="467"/>
        <v>830</v>
      </c>
      <c r="Y840" s="56"/>
    </row>
    <row r="841" spans="3:25" x14ac:dyDescent="0.75">
      <c r="C841" s="158">
        <f t="shared" si="579"/>
        <v>44740</v>
      </c>
      <c r="E841" s="241">
        <v>5596149</v>
      </c>
      <c r="F841" s="7"/>
      <c r="G841" s="7">
        <v>2481696</v>
      </c>
      <c r="H841" s="581"/>
      <c r="I841" s="7">
        <v>825075</v>
      </c>
      <c r="J841" s="244"/>
      <c r="K841" s="7">
        <f t="shared" ref="K841" si="598">SUM(E841:I841)</f>
        <v>8902920</v>
      </c>
      <c r="L841" s="6"/>
      <c r="M841" s="438">
        <f t="shared" ref="M841" si="599">+(K841-K840)/K840</f>
        <v>6.460479801896603E-4</v>
      </c>
      <c r="N841" s="29"/>
      <c r="O841" s="29"/>
      <c r="P841" s="29"/>
      <c r="Q841" s="332">
        <f t="shared" ref="Q841" si="600">+K841-K840</f>
        <v>5748</v>
      </c>
      <c r="R841" s="6"/>
      <c r="S841" s="7">
        <f>69621+34023+11034</f>
        <v>114678</v>
      </c>
      <c r="T841" s="6"/>
      <c r="U841" s="243">
        <v>2.402125115017657E-2</v>
      </c>
      <c r="W841">
        <f t="shared" si="467"/>
        <v>831</v>
      </c>
      <c r="Y841" s="56"/>
    </row>
    <row r="842" spans="3:25" x14ac:dyDescent="0.75">
      <c r="C842" s="158">
        <f t="shared" si="579"/>
        <v>44741</v>
      </c>
      <c r="E842" s="241">
        <v>5603772</v>
      </c>
      <c r="F842" s="7"/>
      <c r="G842" s="7">
        <v>2484840</v>
      </c>
      <c r="H842" s="581"/>
      <c r="I842" s="7">
        <v>825075</v>
      </c>
      <c r="J842" s="244"/>
      <c r="K842" s="7">
        <f t="shared" ref="K842" si="601">SUM(E842:I842)</f>
        <v>8913687</v>
      </c>
      <c r="L842" s="6"/>
      <c r="M842" s="438">
        <f t="shared" ref="M842" si="602">+(K842-K841)/K841</f>
        <v>1.2093784960439946E-3</v>
      </c>
      <c r="N842" s="29"/>
      <c r="O842" s="29"/>
      <c r="P842" s="29"/>
      <c r="Q842" s="332">
        <f t="shared" ref="Q842" si="603">+K842-K841</f>
        <v>10767</v>
      </c>
      <c r="R842" s="6"/>
      <c r="S842" s="7">
        <f>69645+34036+11034</f>
        <v>114715</v>
      </c>
      <c r="T842" s="6"/>
      <c r="U842" s="243">
        <v>2.402125115017657E-2</v>
      </c>
      <c r="W842">
        <f t="shared" si="467"/>
        <v>832</v>
      </c>
      <c r="Y842" s="56"/>
    </row>
    <row r="843" spans="3:25" x14ac:dyDescent="0.75">
      <c r="C843" s="158">
        <f t="shared" si="579"/>
        <v>44742</v>
      </c>
      <c r="E843" s="241">
        <v>5611093</v>
      </c>
      <c r="F843" s="7"/>
      <c r="G843" s="7">
        <v>2488751</v>
      </c>
      <c r="H843" s="581"/>
      <c r="I843" s="7">
        <v>825075</v>
      </c>
      <c r="J843" s="244"/>
      <c r="K843" s="7">
        <f t="shared" ref="K843" si="604">SUM(E843:I843)</f>
        <v>8924919</v>
      </c>
      <c r="L843" s="6"/>
      <c r="M843" s="438">
        <f t="shared" ref="M843" si="605">+(K843-K842)/K842</f>
        <v>1.2600846316456926E-3</v>
      </c>
      <c r="N843" s="29"/>
      <c r="O843" s="29"/>
      <c r="P843" s="29"/>
      <c r="Q843" s="332">
        <f t="shared" ref="Q843" si="606">+K843-K842</f>
        <v>11232</v>
      </c>
      <c r="R843" s="6"/>
      <c r="S843" s="7">
        <f>69645+34036+11034</f>
        <v>114715</v>
      </c>
      <c r="T843" s="6"/>
      <c r="U843" s="243">
        <v>2.402125115017657E-2</v>
      </c>
      <c r="W843">
        <f t="shared" si="467"/>
        <v>833</v>
      </c>
      <c r="Y843" s="56"/>
    </row>
    <row r="844" spans="3:25" x14ac:dyDescent="0.75">
      <c r="C844" s="158">
        <f t="shared" si="579"/>
        <v>44743</v>
      </c>
      <c r="E844" s="241">
        <v>5614976</v>
      </c>
      <c r="F844" s="7"/>
      <c r="G844" s="7">
        <v>2492366</v>
      </c>
      <c r="H844" s="581"/>
      <c r="I844" s="7">
        <v>831880</v>
      </c>
      <c r="J844" s="244"/>
      <c r="K844" s="7">
        <f t="shared" ref="K844" si="607">SUM(E844:I844)</f>
        <v>8939222</v>
      </c>
      <c r="L844" s="6"/>
      <c r="M844" s="438">
        <f t="shared" ref="M844" si="608">+(K844-K843)/K843</f>
        <v>1.6025915753409079E-3</v>
      </c>
      <c r="N844" s="29"/>
      <c r="O844" s="29"/>
      <c r="P844" s="29"/>
      <c r="Q844" s="332">
        <f t="shared" ref="Q844" si="609">+K844-K843</f>
        <v>14303</v>
      </c>
      <c r="R844" s="6"/>
      <c r="S844" s="7">
        <f>69690+34057+11045</f>
        <v>114792</v>
      </c>
      <c r="T844" s="6"/>
      <c r="U844" s="243">
        <v>2.402125115017657E-2</v>
      </c>
      <c r="W844">
        <f t="shared" si="467"/>
        <v>834</v>
      </c>
      <c r="Y844" s="56"/>
    </row>
    <row r="845" spans="3:25" x14ac:dyDescent="0.75">
      <c r="C845" s="158">
        <f t="shared" si="579"/>
        <v>44744</v>
      </c>
      <c r="E845" s="241">
        <v>5622208</v>
      </c>
      <c r="F845" s="7"/>
      <c r="G845" s="7">
        <v>2495905</v>
      </c>
      <c r="H845" s="581"/>
      <c r="I845" s="7">
        <v>832572</v>
      </c>
      <c r="J845" s="244"/>
      <c r="K845" s="7">
        <f t="shared" ref="K845" si="610">SUM(E845:I845)</f>
        <v>8950685</v>
      </c>
      <c r="L845" s="6"/>
      <c r="M845" s="438">
        <f t="shared" ref="M845" si="611">+(K845-K844)/K844</f>
        <v>1.282326359050038E-3</v>
      </c>
      <c r="N845" s="29"/>
      <c r="O845" s="29"/>
      <c r="P845" s="29"/>
      <c r="Q845" s="332">
        <f t="shared" ref="Q845" si="612">+K845-K844</f>
        <v>11463</v>
      </c>
      <c r="R845" s="6"/>
      <c r="S845" s="7">
        <f>69698+34064+11045</f>
        <v>114807</v>
      </c>
      <c r="T845" s="6"/>
      <c r="U845" s="243">
        <v>2.402125115017657E-2</v>
      </c>
      <c r="W845">
        <f t="shared" si="467"/>
        <v>835</v>
      </c>
      <c r="Y845" s="56"/>
    </row>
    <row r="846" spans="3:25" x14ac:dyDescent="0.75">
      <c r="C846" s="347">
        <f t="shared" si="579"/>
        <v>44745</v>
      </c>
      <c r="E846" s="241">
        <v>5625004</v>
      </c>
      <c r="F846" s="7"/>
      <c r="G846" s="7">
        <v>2495905</v>
      </c>
      <c r="H846" s="581"/>
      <c r="I846" s="7">
        <v>832913</v>
      </c>
      <c r="J846" s="244"/>
      <c r="K846" s="7">
        <f t="shared" ref="K846" si="613">SUM(E846:I846)</f>
        <v>8953822</v>
      </c>
      <c r="L846" s="6"/>
      <c r="M846" s="438">
        <f t="shared" ref="M846" si="614">+(K846-K845)/K845</f>
        <v>3.504759691576678E-4</v>
      </c>
      <c r="N846" s="29"/>
      <c r="O846" s="29"/>
      <c r="P846" s="29"/>
      <c r="Q846" s="332">
        <f t="shared" ref="Q846" si="615">+K846-K845</f>
        <v>3137</v>
      </c>
      <c r="R846" s="6"/>
      <c r="S846" s="7">
        <f>69698+34064+11045</f>
        <v>114807</v>
      </c>
      <c r="T846" s="6"/>
      <c r="U846" s="243">
        <v>2.402125115017657E-2</v>
      </c>
      <c r="W846">
        <f t="shared" si="467"/>
        <v>836</v>
      </c>
      <c r="Y846" s="56"/>
    </row>
    <row r="847" spans="3:25" x14ac:dyDescent="0.75">
      <c r="C847" s="158">
        <f t="shared" si="579"/>
        <v>44746</v>
      </c>
      <c r="E847" s="241">
        <v>5627346</v>
      </c>
      <c r="F847" s="7"/>
      <c r="G847" s="7">
        <v>2500418</v>
      </c>
      <c r="H847" s="581"/>
      <c r="I847" s="7">
        <v>833260</v>
      </c>
      <c r="J847" s="244"/>
      <c r="K847" s="7">
        <f t="shared" ref="K847" si="616">SUM(E847:I847)</f>
        <v>8961024</v>
      </c>
      <c r="L847" s="6"/>
      <c r="M847" s="438">
        <f t="shared" ref="M847" si="617">+(K847-K846)/K846</f>
        <v>8.0434924884591186E-4</v>
      </c>
      <c r="N847" s="29"/>
      <c r="O847" s="29"/>
      <c r="P847" s="29"/>
      <c r="Q847" s="332">
        <f t="shared" ref="Q847" si="618">+K847-K846</f>
        <v>7202</v>
      </c>
      <c r="R847" s="6"/>
      <c r="S847" s="7">
        <f>69698+34064+11045</f>
        <v>114807</v>
      </c>
      <c r="T847" s="6"/>
      <c r="U847" s="243">
        <v>2.402125115017657E-2</v>
      </c>
      <c r="W847">
        <f t="shared" si="467"/>
        <v>837</v>
      </c>
      <c r="Y847" s="56"/>
    </row>
    <row r="848" spans="3:25" x14ac:dyDescent="0.75">
      <c r="C848" s="158">
        <f t="shared" si="579"/>
        <v>44747</v>
      </c>
      <c r="E848" s="241">
        <v>5639141</v>
      </c>
      <c r="F848" s="7"/>
      <c r="G848" s="7">
        <v>2502617</v>
      </c>
      <c r="H848" s="581"/>
      <c r="I848" s="7">
        <v>833551</v>
      </c>
      <c r="J848" s="244"/>
      <c r="K848" s="7">
        <f t="shared" ref="K848" si="619">SUM(E848:I848)</f>
        <v>8975309</v>
      </c>
      <c r="L848" s="6"/>
      <c r="M848" s="438">
        <f t="shared" ref="M848" si="620">+(K848-K847)/K847</f>
        <v>1.5941258499028682E-3</v>
      </c>
      <c r="N848" s="29"/>
      <c r="O848" s="29"/>
      <c r="P848" s="29"/>
      <c r="Q848" s="332">
        <f t="shared" ref="Q848" si="621">+K848-K847</f>
        <v>14285</v>
      </c>
      <c r="R848" s="6"/>
      <c r="S848" s="7">
        <f>69715+34066+11045</f>
        <v>114826</v>
      </c>
      <c r="T848" s="6"/>
      <c r="U848" s="243">
        <v>2.402125115017657E-2</v>
      </c>
      <c r="W848">
        <f t="shared" si="467"/>
        <v>838</v>
      </c>
      <c r="Y848" s="56"/>
    </row>
    <row r="849" spans="3:25" x14ac:dyDescent="0.75">
      <c r="C849" s="158">
        <f t="shared" si="579"/>
        <v>44748</v>
      </c>
      <c r="E849" s="241">
        <v>5640000</v>
      </c>
      <c r="F849" s="579" t="s">
        <v>26</v>
      </c>
      <c r="G849" s="7">
        <v>2504000</v>
      </c>
      <c r="H849" s="581"/>
      <c r="I849" s="7">
        <v>834000</v>
      </c>
      <c r="J849" s="244"/>
      <c r="K849" s="7">
        <f t="shared" ref="K849" si="622">SUM(E849:I849)</f>
        <v>8978000</v>
      </c>
      <c r="L849" s="6"/>
      <c r="M849" s="438">
        <f t="shared" ref="M849" si="623">+(K849-K848)/K848</f>
        <v>2.9982254649951328E-4</v>
      </c>
      <c r="N849" s="29"/>
      <c r="O849" s="29"/>
      <c r="P849" s="29"/>
      <c r="Q849" s="332">
        <f t="shared" ref="Q849" si="624">+K849-K848</f>
        <v>2691</v>
      </c>
      <c r="R849" s="6"/>
      <c r="S849" s="7">
        <f>69715+34066+11045</f>
        <v>114826</v>
      </c>
      <c r="T849" s="6"/>
      <c r="U849" s="243">
        <v>2.402125115017657E-2</v>
      </c>
      <c r="W849">
        <f t="shared" si="467"/>
        <v>839</v>
      </c>
      <c r="Y849" s="56"/>
    </row>
    <row r="850" spans="3:25" x14ac:dyDescent="0.75">
      <c r="C850" s="158">
        <f t="shared" si="579"/>
        <v>44749</v>
      </c>
      <c r="E850" s="241">
        <v>5646017</v>
      </c>
      <c r="F850" s="7"/>
      <c r="G850" s="7">
        <v>2509617</v>
      </c>
      <c r="H850" s="581"/>
      <c r="I850" s="7">
        <v>835385</v>
      </c>
      <c r="J850" s="244"/>
      <c r="K850" s="7">
        <f t="shared" ref="K850" si="625">SUM(E850:I850)</f>
        <v>8991019</v>
      </c>
      <c r="L850" s="6"/>
      <c r="M850" s="438">
        <f t="shared" ref="M850" si="626">+(K850-K849)/K849</f>
        <v>1.4501002450434395E-3</v>
      </c>
      <c r="N850" s="29"/>
      <c r="O850" s="29"/>
      <c r="P850" s="29"/>
      <c r="Q850" s="332">
        <f t="shared" ref="Q850" si="627">+K850-K849</f>
        <v>13019</v>
      </c>
      <c r="R850" s="6"/>
      <c r="S850" s="7">
        <f>69785+34091+11055</f>
        <v>114931</v>
      </c>
      <c r="T850" s="6"/>
      <c r="U850" s="243">
        <v>2.402125115017657E-2</v>
      </c>
      <c r="W850">
        <f t="shared" si="467"/>
        <v>840</v>
      </c>
      <c r="Y850" s="56"/>
    </row>
    <row r="851" spans="3:25" x14ac:dyDescent="0.75">
      <c r="C851" s="158">
        <f t="shared" si="579"/>
        <v>44750</v>
      </c>
      <c r="E851" s="241">
        <v>5661360</v>
      </c>
      <c r="F851" s="7"/>
      <c r="G851" s="7">
        <v>2514115</v>
      </c>
      <c r="H851" s="581"/>
      <c r="I851" s="7">
        <v>836466</v>
      </c>
      <c r="J851" s="244"/>
      <c r="K851" s="7">
        <f t="shared" ref="K851" si="628">SUM(E851:I851)</f>
        <v>9011941</v>
      </c>
      <c r="L851" s="6"/>
      <c r="M851" s="438">
        <f t="shared" ref="M851" si="629">+(K851-K850)/K850</f>
        <v>2.326988742877754E-3</v>
      </c>
      <c r="N851" s="29"/>
      <c r="O851" s="29"/>
      <c r="P851" s="29"/>
      <c r="Q851" s="332">
        <f t="shared" ref="Q851" si="630">+K851-K850</f>
        <v>20922</v>
      </c>
      <c r="R851" s="6"/>
      <c r="S851" s="7">
        <f>69799+34099+11055</f>
        <v>114953</v>
      </c>
      <c r="T851" s="6"/>
      <c r="U851" s="243">
        <v>2.402125115017657E-2</v>
      </c>
      <c r="W851">
        <f t="shared" si="467"/>
        <v>841</v>
      </c>
      <c r="Y851" s="56"/>
    </row>
    <row r="852" spans="3:25" x14ac:dyDescent="0.75">
      <c r="C852" s="158">
        <f t="shared" si="579"/>
        <v>44751</v>
      </c>
      <c r="E852" s="241">
        <v>5665385</v>
      </c>
      <c r="F852" s="7"/>
      <c r="G852" s="7">
        <v>2517834</v>
      </c>
      <c r="H852" s="581"/>
      <c r="I852" s="7">
        <v>837269</v>
      </c>
      <c r="J852" s="244"/>
      <c r="K852" s="7">
        <f t="shared" ref="K852" si="631">SUM(E852:I852)</f>
        <v>9020488</v>
      </c>
      <c r="L852" s="6"/>
      <c r="M852" s="438">
        <f t="shared" ref="M852" si="632">+(K852-K851)/K851</f>
        <v>9.4840833955748269E-4</v>
      </c>
      <c r="N852" s="29"/>
      <c r="O852" s="29"/>
      <c r="P852" s="29"/>
      <c r="Q852" s="332">
        <f t="shared" ref="Q852" si="633">+K852-K851</f>
        <v>8547</v>
      </c>
      <c r="R852" s="6"/>
      <c r="S852" s="7">
        <f>69799+34107+11055</f>
        <v>114961</v>
      </c>
      <c r="T852" s="6"/>
      <c r="U852" s="243">
        <v>2.402125115017657E-2</v>
      </c>
      <c r="W852">
        <f t="shared" si="467"/>
        <v>842</v>
      </c>
      <c r="Y852" s="56"/>
    </row>
    <row r="853" spans="3:25" x14ac:dyDescent="0.75">
      <c r="C853" s="347">
        <f t="shared" si="579"/>
        <v>44752</v>
      </c>
      <c r="E853" s="241">
        <v>5668645</v>
      </c>
      <c r="F853" s="7"/>
      <c r="G853" s="7">
        <v>2520736</v>
      </c>
      <c r="H853" s="581"/>
      <c r="I853" s="7">
        <v>837751</v>
      </c>
      <c r="J853" s="244"/>
      <c r="K853" s="7">
        <f t="shared" ref="K853" si="634">SUM(E853:I853)</f>
        <v>9027132</v>
      </c>
      <c r="L853" s="6"/>
      <c r="M853" s="438">
        <f t="shared" ref="M853" si="635">+(K853-K852)/K852</f>
        <v>7.3654551727134936E-4</v>
      </c>
      <c r="N853" s="29"/>
      <c r="O853" s="29"/>
      <c r="P853" s="29"/>
      <c r="Q853" s="332">
        <f t="shared" ref="Q853" si="636">+K853-K852</f>
        <v>6644</v>
      </c>
      <c r="R853" s="6"/>
      <c r="S853" s="7">
        <f>69799+34109+11055</f>
        <v>114963</v>
      </c>
      <c r="T853" s="6"/>
      <c r="U853" s="243">
        <v>2.402125115017657E-2</v>
      </c>
      <c r="W853">
        <f t="shared" si="467"/>
        <v>843</v>
      </c>
      <c r="Y853" s="56"/>
    </row>
    <row r="854" spans="3:25" x14ac:dyDescent="0.75">
      <c r="C854" s="158">
        <f t="shared" si="579"/>
        <v>44753</v>
      </c>
      <c r="E854" s="241">
        <v>5679453</v>
      </c>
      <c r="F854" s="7"/>
      <c r="G854" s="7">
        <v>2522649</v>
      </c>
      <c r="H854" s="581"/>
      <c r="I854" s="7">
        <v>838159</v>
      </c>
      <c r="J854" s="244"/>
      <c r="K854" s="7">
        <f t="shared" ref="K854" si="637">SUM(E854:I854)</f>
        <v>9040261</v>
      </c>
      <c r="L854" s="6"/>
      <c r="M854" s="438">
        <f t="shared" ref="M854" si="638">+(K854-K853)/K853</f>
        <v>1.4543932668759025E-3</v>
      </c>
      <c r="N854" s="29"/>
      <c r="O854" s="29"/>
      <c r="P854" s="29"/>
      <c r="Q854" s="332">
        <f t="shared" ref="Q854" si="639">+K854-K853</f>
        <v>13129</v>
      </c>
      <c r="R854" s="6"/>
      <c r="S854" s="7">
        <f>69823+34112+11055</f>
        <v>114990</v>
      </c>
      <c r="T854" s="6"/>
      <c r="U854" s="243">
        <v>2.402125115017657E-2</v>
      </c>
      <c r="W854">
        <f t="shared" si="467"/>
        <v>844</v>
      </c>
      <c r="Y854" s="56"/>
    </row>
    <row r="855" spans="3:25" x14ac:dyDescent="0.75">
      <c r="C855" s="158">
        <f t="shared" si="579"/>
        <v>44754</v>
      </c>
      <c r="E855" s="241">
        <v>5689878</v>
      </c>
      <c r="F855" s="7"/>
      <c r="G855" s="7">
        <v>2527086</v>
      </c>
      <c r="H855" s="581"/>
      <c r="I855" s="7">
        <v>839167</v>
      </c>
      <c r="J855" s="244"/>
      <c r="K855" s="7">
        <f t="shared" ref="K855" si="640">SUM(E855:I855)</f>
        <v>9056131</v>
      </c>
      <c r="L855" s="6"/>
      <c r="M855" s="438">
        <f t="shared" ref="M855" si="641">+(K855-K854)/K854</f>
        <v>1.7554802897836689E-3</v>
      </c>
      <c r="N855" s="29"/>
      <c r="O855" s="29"/>
      <c r="P855" s="29"/>
      <c r="Q855" s="332">
        <f t="shared" ref="Q855" si="642">+K855-K854</f>
        <v>15870</v>
      </c>
      <c r="R855" s="6"/>
      <c r="S855" s="7">
        <f>69868+34126+11078</f>
        <v>115072</v>
      </c>
      <c r="T855" s="6"/>
      <c r="U855" s="243">
        <v>2.402125115017657E-2</v>
      </c>
      <c r="W855">
        <f t="shared" si="467"/>
        <v>845</v>
      </c>
      <c r="Y855" s="56"/>
    </row>
    <row r="856" spans="3:25" x14ac:dyDescent="0.75">
      <c r="C856" s="158">
        <f t="shared" si="579"/>
        <v>44755</v>
      </c>
      <c r="E856" s="241">
        <v>5696031</v>
      </c>
      <c r="F856" s="7"/>
      <c r="G856" s="7">
        <v>2530796</v>
      </c>
      <c r="H856" s="581"/>
      <c r="I856" s="7">
        <v>840071</v>
      </c>
      <c r="J856" s="244"/>
      <c r="K856" s="7">
        <f t="shared" ref="K856" si="643">SUM(E856:I856)</f>
        <v>9066898</v>
      </c>
      <c r="L856" s="6"/>
      <c r="M856" s="438">
        <f t="shared" ref="M856" si="644">+(K856-K855)/K855</f>
        <v>1.1889183140129046E-3</v>
      </c>
      <c r="N856" s="29"/>
      <c r="O856" s="29"/>
      <c r="P856" s="29"/>
      <c r="Q856" s="332">
        <f t="shared" ref="Q856" si="645">+K856-K855</f>
        <v>10767</v>
      </c>
      <c r="R856" s="6"/>
      <c r="S856" s="7">
        <f>69889+34133+11083</f>
        <v>115105</v>
      </c>
      <c r="T856" s="6"/>
      <c r="U856" s="243">
        <v>2.402125115017657E-2</v>
      </c>
      <c r="W856">
        <f t="shared" si="467"/>
        <v>846</v>
      </c>
      <c r="Y856" s="56"/>
    </row>
    <row r="857" spans="3:25" x14ac:dyDescent="0.75">
      <c r="C857" s="158">
        <f t="shared" si="579"/>
        <v>44756</v>
      </c>
      <c r="E857" s="241">
        <v>5710064</v>
      </c>
      <c r="F857" s="7"/>
      <c r="G857" s="7">
        <v>2539038</v>
      </c>
      <c r="H857" s="581"/>
      <c r="I857" s="7">
        <v>840892</v>
      </c>
      <c r="J857" s="244"/>
      <c r="K857" s="7">
        <f t="shared" ref="K857" si="646">SUM(E857:I857)</f>
        <v>9089994</v>
      </c>
      <c r="L857" s="6"/>
      <c r="M857" s="438">
        <f t="shared" ref="M857" si="647">+(K857-K856)/K856</f>
        <v>2.5472879478736828E-3</v>
      </c>
      <c r="N857" s="29"/>
      <c r="O857" s="29"/>
      <c r="P857" s="29"/>
      <c r="Q857" s="332">
        <f t="shared" ref="Q857" si="648">+K857-K856</f>
        <v>23096</v>
      </c>
      <c r="R857" s="6"/>
      <c r="S857" s="7">
        <f>69921+34152+11085</f>
        <v>115158</v>
      </c>
      <c r="T857" s="6"/>
      <c r="U857" s="243">
        <v>2.402125115017657E-2</v>
      </c>
      <c r="W857">
        <f t="shared" si="467"/>
        <v>847</v>
      </c>
      <c r="Y857" s="56"/>
    </row>
    <row r="858" spans="3:25" x14ac:dyDescent="0.75">
      <c r="C858" s="158">
        <f t="shared" si="579"/>
        <v>44757</v>
      </c>
      <c r="E858" s="241">
        <v>5710185</v>
      </c>
      <c r="F858" s="7"/>
      <c r="G858" s="7">
        <v>2539038</v>
      </c>
      <c r="H858" s="581"/>
      <c r="I858" s="7">
        <v>841737</v>
      </c>
      <c r="J858" s="244"/>
      <c r="K858" s="7">
        <f t="shared" ref="K858" si="649">SUM(E858:I858)</f>
        <v>9090960</v>
      </c>
      <c r="L858" s="6"/>
      <c r="M858" s="438">
        <f t="shared" ref="M858" si="650">+(K858-K857)/K857</f>
        <v>1.0627069720838099E-4</v>
      </c>
      <c r="N858" s="29"/>
      <c r="O858" s="29"/>
      <c r="P858" s="29"/>
      <c r="Q858" s="332">
        <f t="shared" ref="Q858" si="651">+K858-K857</f>
        <v>966</v>
      </c>
      <c r="R858" s="6"/>
      <c r="S858" s="7">
        <f>69934+34152+11085</f>
        <v>115171</v>
      </c>
      <c r="T858" s="6"/>
      <c r="U858" s="243">
        <v>2.402125115017657E-2</v>
      </c>
      <c r="W858">
        <f t="shared" si="467"/>
        <v>848</v>
      </c>
      <c r="Y858" s="56"/>
    </row>
    <row r="859" spans="3:25" x14ac:dyDescent="0.75">
      <c r="C859" s="158">
        <f t="shared" si="579"/>
        <v>44758</v>
      </c>
      <c r="E859" s="241">
        <v>5718145</v>
      </c>
      <c r="F859" s="7"/>
      <c r="G859" s="7">
        <v>2542826</v>
      </c>
      <c r="H859" s="581"/>
      <c r="I859" s="7">
        <v>842567</v>
      </c>
      <c r="J859" s="244"/>
      <c r="K859" s="7">
        <f t="shared" ref="K859" si="652">SUM(E859:I859)</f>
        <v>9103538</v>
      </c>
      <c r="L859" s="6"/>
      <c r="M859" s="438">
        <f t="shared" ref="M859" si="653">+(K859-K858)/K858</f>
        <v>1.3835722519953888E-3</v>
      </c>
      <c r="N859" s="29"/>
      <c r="O859" s="29"/>
      <c r="P859" s="29"/>
      <c r="Q859" s="332">
        <f t="shared" ref="Q859" si="654">+K859-K858</f>
        <v>12578</v>
      </c>
      <c r="R859" s="6"/>
      <c r="S859" s="7">
        <f>69934+34159+11085</f>
        <v>115178</v>
      </c>
      <c r="T859" s="6"/>
      <c r="U859" s="243">
        <v>2.402125115017657E-2</v>
      </c>
      <c r="W859">
        <f t="shared" si="467"/>
        <v>849</v>
      </c>
      <c r="Y859" s="56"/>
    </row>
    <row r="860" spans="3:25" x14ac:dyDescent="0.75">
      <c r="C860" s="347">
        <f t="shared" si="579"/>
        <v>44759</v>
      </c>
      <c r="E860" s="241">
        <v>5721594</v>
      </c>
      <c r="F860" s="7"/>
      <c r="G860" s="7">
        <v>2545959</v>
      </c>
      <c r="H860" s="581"/>
      <c r="I860" s="7">
        <v>842712</v>
      </c>
      <c r="J860" s="244"/>
      <c r="K860" s="7">
        <f t="shared" ref="K860" si="655">SUM(E860:I860)</f>
        <v>9110265</v>
      </c>
      <c r="L860" s="6"/>
      <c r="M860" s="438">
        <f t="shared" ref="M860" si="656">+(K860-K859)/K859</f>
        <v>7.3894347450408841E-4</v>
      </c>
      <c r="N860" s="29"/>
      <c r="O860" s="29"/>
      <c r="P860" s="29"/>
      <c r="Q860" s="332">
        <f t="shared" ref="Q860" si="657">+K860-K859</f>
        <v>6727</v>
      </c>
      <c r="R860" s="6"/>
      <c r="S860" s="7">
        <f>69934+34159+11085</f>
        <v>115178</v>
      </c>
      <c r="T860" s="6"/>
      <c r="U860" s="243">
        <v>2.402125115017657E-2</v>
      </c>
      <c r="W860">
        <f t="shared" si="467"/>
        <v>850</v>
      </c>
      <c r="Y860" s="56"/>
    </row>
    <row r="861" spans="3:25" x14ac:dyDescent="0.75">
      <c r="C861" s="158">
        <f t="shared" si="579"/>
        <v>44760</v>
      </c>
      <c r="E861" s="241">
        <v>5735705</v>
      </c>
      <c r="F861" s="7"/>
      <c r="G861" s="7">
        <v>2548015</v>
      </c>
      <c r="H861" s="581"/>
      <c r="I861" s="7">
        <v>843286</v>
      </c>
      <c r="J861" s="244"/>
      <c r="K861" s="7">
        <f t="shared" ref="K861" si="658">SUM(E861:I861)</f>
        <v>9127006</v>
      </c>
      <c r="L861" s="6"/>
      <c r="M861" s="438">
        <f t="shared" ref="M861" si="659">+(K861-K860)/K860</f>
        <v>1.8375974793268912E-3</v>
      </c>
      <c r="N861" s="29"/>
      <c r="O861" s="29"/>
      <c r="P861" s="29"/>
      <c r="Q861" s="332">
        <f t="shared" ref="Q861" si="660">+K861-K860</f>
        <v>16741</v>
      </c>
      <c r="R861" s="6"/>
      <c r="S861" s="7">
        <f>69951+34163+11085</f>
        <v>115199</v>
      </c>
      <c r="T861" s="6"/>
      <c r="U861" s="243">
        <v>2.402125115017657E-2</v>
      </c>
      <c r="W861">
        <f t="shared" si="467"/>
        <v>851</v>
      </c>
      <c r="Y861" s="56"/>
    </row>
    <row r="862" spans="3:25" x14ac:dyDescent="0.75">
      <c r="C862" s="158">
        <f t="shared" si="579"/>
        <v>44761</v>
      </c>
      <c r="E862" s="241">
        <v>5741196</v>
      </c>
      <c r="F862" s="7"/>
      <c r="G862" s="7">
        <v>2552342</v>
      </c>
      <c r="H862" s="581"/>
      <c r="I862" s="7">
        <v>844386</v>
      </c>
      <c r="J862" s="244"/>
      <c r="K862" s="7">
        <f t="shared" ref="K862" si="661">SUM(E862:I862)</f>
        <v>9137924</v>
      </c>
      <c r="L862" s="6"/>
      <c r="M862" s="438">
        <f t="shared" ref="M862" si="662">+(K862-K861)/K861</f>
        <v>1.1962301766866375E-3</v>
      </c>
      <c r="N862" s="29"/>
      <c r="O862" s="29"/>
      <c r="P862" s="29"/>
      <c r="Q862" s="332">
        <f t="shared" ref="Q862" si="663">+K862-K861</f>
        <v>10918</v>
      </c>
      <c r="R862" s="6"/>
      <c r="S862" s="7">
        <f>70012+34174+11091</f>
        <v>115277</v>
      </c>
      <c r="T862" s="6"/>
      <c r="U862" s="243">
        <v>2.402125115017657E-2</v>
      </c>
      <c r="W862">
        <f t="shared" si="467"/>
        <v>852</v>
      </c>
      <c r="Y862" s="56"/>
    </row>
    <row r="863" spans="3:25" x14ac:dyDescent="0.75">
      <c r="C863" s="158">
        <f t="shared" si="579"/>
        <v>44762</v>
      </c>
      <c r="E863" s="241">
        <v>5749409</v>
      </c>
      <c r="F863" s="7"/>
      <c r="G863" s="7">
        <v>2556303</v>
      </c>
      <c r="H863" s="581"/>
      <c r="I863" s="7">
        <v>845240</v>
      </c>
      <c r="J863" s="244"/>
      <c r="K863" s="7">
        <f t="shared" ref="K863" si="664">SUM(E863:I863)</f>
        <v>9150952</v>
      </c>
      <c r="L863" s="6"/>
      <c r="M863" s="438">
        <f t="shared" ref="M863" si="665">+(K863-K862)/K862</f>
        <v>1.4257067579025607E-3</v>
      </c>
      <c r="N863" s="29"/>
      <c r="O863" s="29"/>
      <c r="P863" s="29"/>
      <c r="Q863" s="332">
        <f t="shared" ref="Q863" si="666">+K863-K862</f>
        <v>13028</v>
      </c>
      <c r="R863" s="6"/>
      <c r="S863" s="7">
        <f>70041+34189+11091</f>
        <v>115321</v>
      </c>
      <c r="T863" s="6"/>
      <c r="U863" s="243">
        <v>2.402125115017657E-2</v>
      </c>
      <c r="W863">
        <f t="shared" si="467"/>
        <v>853</v>
      </c>
      <c r="Y863" s="56"/>
    </row>
    <row r="864" spans="3:25" x14ac:dyDescent="0.75">
      <c r="C864" s="158">
        <f t="shared" si="579"/>
        <v>44763</v>
      </c>
      <c r="E864" s="241">
        <v>5753981</v>
      </c>
      <c r="F864" s="7"/>
      <c r="G864" s="7">
        <v>2560841</v>
      </c>
      <c r="H864" s="581"/>
      <c r="I864" s="7">
        <v>846026</v>
      </c>
      <c r="J864" s="244"/>
      <c r="K864" s="7">
        <f t="shared" ref="K864" si="667">SUM(E864:I864)</f>
        <v>9160848</v>
      </c>
      <c r="L864" s="6"/>
      <c r="M864" s="438">
        <f t="shared" ref="M864" si="668">+(K864-K863)/K863</f>
        <v>1.0814175399455708E-3</v>
      </c>
      <c r="N864" s="29"/>
      <c r="O864" s="29"/>
      <c r="P864" s="29"/>
      <c r="Q864" s="332">
        <f t="shared" ref="Q864" si="669">+K864-K863</f>
        <v>9896</v>
      </c>
      <c r="R864" s="6"/>
      <c r="S864" s="7">
        <f>70073+34196+11093</f>
        <v>115362</v>
      </c>
      <c r="T864" s="6"/>
      <c r="U864" s="243">
        <v>2.402125115017657E-2</v>
      </c>
      <c r="W864">
        <f t="shared" si="467"/>
        <v>854</v>
      </c>
      <c r="Y864" s="56"/>
    </row>
    <row r="865" spans="3:25" x14ac:dyDescent="0.75">
      <c r="C865" s="158">
        <f t="shared" si="579"/>
        <v>44764</v>
      </c>
      <c r="E865" s="241">
        <v>5766596</v>
      </c>
      <c r="F865" s="7"/>
      <c r="G865" s="7">
        <v>2565176</v>
      </c>
      <c r="H865" s="581"/>
      <c r="I865" s="7">
        <v>847255</v>
      </c>
      <c r="J865" s="244"/>
      <c r="K865" s="7">
        <f t="shared" ref="K865" si="670">SUM(E865:I865)</f>
        <v>9179027</v>
      </c>
      <c r="L865" s="6"/>
      <c r="M865" s="438">
        <f t="shared" ref="M865" si="671">+(K865-K864)/K864</f>
        <v>1.9844232760984574E-3</v>
      </c>
      <c r="N865" s="29"/>
      <c r="O865" s="29"/>
      <c r="P865" s="29"/>
      <c r="Q865" s="332">
        <f t="shared" ref="Q865" si="672">+K865-K864</f>
        <v>18179</v>
      </c>
      <c r="R865" s="6"/>
      <c r="S865" s="7">
        <f>70096+34206+11093</f>
        <v>115395</v>
      </c>
      <c r="T865" s="6"/>
      <c r="U865" s="243">
        <v>2.402125115017657E-2</v>
      </c>
      <c r="W865">
        <f t="shared" si="467"/>
        <v>855</v>
      </c>
      <c r="Y865" s="56"/>
    </row>
    <row r="866" spans="3:25" x14ac:dyDescent="0.75">
      <c r="C866" s="158">
        <f t="shared" si="579"/>
        <v>44765</v>
      </c>
      <c r="E866" s="241">
        <v>5770401</v>
      </c>
      <c r="F866" s="7"/>
      <c r="G866" s="7">
        <v>2569202</v>
      </c>
      <c r="H866" s="581"/>
      <c r="I866" s="7">
        <v>848089</v>
      </c>
      <c r="J866" s="244"/>
      <c r="K866" s="7">
        <f t="shared" ref="K866" si="673">SUM(E866:I866)</f>
        <v>9187692</v>
      </c>
      <c r="L866" s="6"/>
      <c r="M866" s="438">
        <f t="shared" ref="M866" si="674">+(K866-K865)/K865</f>
        <v>9.4399983789131465E-4</v>
      </c>
      <c r="N866" s="29"/>
      <c r="O866" s="29"/>
      <c r="P866" s="29"/>
      <c r="Q866" s="332">
        <f t="shared" ref="Q866" si="675">+K866-K865</f>
        <v>8665</v>
      </c>
      <c r="R866" s="6"/>
      <c r="S866" s="7">
        <f>70096+34217+11093</f>
        <v>115406</v>
      </c>
      <c r="T866" s="6"/>
      <c r="U866" s="243">
        <v>2.402125115017657E-2</v>
      </c>
      <c r="W866">
        <f t="shared" si="467"/>
        <v>856</v>
      </c>
      <c r="Y866" s="56"/>
    </row>
    <row r="867" spans="3:25" x14ac:dyDescent="0.75">
      <c r="C867" s="347">
        <f t="shared" si="579"/>
        <v>44766</v>
      </c>
      <c r="E867" s="241">
        <v>5773709</v>
      </c>
      <c r="F867" s="7"/>
      <c r="G867" s="7">
        <v>2572621</v>
      </c>
      <c r="H867" s="581"/>
      <c r="I867" s="7">
        <v>848549</v>
      </c>
      <c r="J867" s="244"/>
      <c r="K867" s="7">
        <f t="shared" ref="K867" si="676">SUM(E867:I867)</f>
        <v>9194879</v>
      </c>
      <c r="L867" s="6"/>
      <c r="M867" s="438">
        <f t="shared" ref="M867" si="677">+(K867-K866)/K866</f>
        <v>7.8224215613670984E-4</v>
      </c>
      <c r="N867" s="29"/>
      <c r="O867" s="29"/>
      <c r="P867" s="29"/>
      <c r="Q867" s="332">
        <f t="shared" ref="Q867" si="678">+K867-K866</f>
        <v>7187</v>
      </c>
      <c r="R867" s="6"/>
      <c r="S867" s="7">
        <f>70096+34218+11093</f>
        <v>115407</v>
      </c>
      <c r="T867" s="6"/>
      <c r="U867" s="243">
        <v>2.402125115017657E-2</v>
      </c>
      <c r="W867">
        <f t="shared" si="467"/>
        <v>857</v>
      </c>
      <c r="Y867" s="56"/>
    </row>
    <row r="868" spans="3:25" x14ac:dyDescent="0.75">
      <c r="C868" s="158">
        <f t="shared" si="579"/>
        <v>44767</v>
      </c>
      <c r="E868" s="241"/>
      <c r="F868" s="7"/>
      <c r="G868" s="7"/>
      <c r="H868" s="581"/>
      <c r="I868" s="7"/>
      <c r="J868" s="244"/>
      <c r="K868" s="7"/>
      <c r="L868" s="6"/>
      <c r="M868" s="438"/>
      <c r="N868" s="29"/>
      <c r="O868" s="29"/>
      <c r="P868" s="29"/>
      <c r="Q868" s="332"/>
      <c r="R868" s="6"/>
      <c r="S868" s="7"/>
      <c r="T868" s="6"/>
      <c r="U868" s="243"/>
      <c r="Y868" s="56"/>
    </row>
    <row r="869" spans="3:25" x14ac:dyDescent="0.75">
      <c r="C869" s="158">
        <f t="shared" si="579"/>
        <v>44768</v>
      </c>
      <c r="E869" s="241"/>
      <c r="F869" s="7"/>
      <c r="G869" s="7"/>
      <c r="H869" s="581"/>
      <c r="I869" s="7"/>
      <c r="J869" s="244"/>
      <c r="K869" s="7"/>
      <c r="L869" s="6"/>
      <c r="M869" s="438"/>
      <c r="N869" s="29"/>
      <c r="O869" s="29"/>
      <c r="P869" s="29"/>
      <c r="Q869" s="332"/>
      <c r="R869" s="6"/>
      <c r="S869" s="7"/>
      <c r="T869" s="6"/>
      <c r="U869" s="243"/>
      <c r="Y869" s="56"/>
    </row>
    <row r="870" spans="3:25" x14ac:dyDescent="0.75">
      <c r="C870" s="158">
        <f t="shared" si="579"/>
        <v>44769</v>
      </c>
      <c r="E870" s="241"/>
      <c r="F870" s="7"/>
      <c r="G870" s="7"/>
      <c r="H870" s="7"/>
      <c r="I870" s="7"/>
      <c r="J870" s="244"/>
      <c r="K870" s="7"/>
      <c r="L870" s="6"/>
      <c r="M870" s="438"/>
      <c r="N870" s="29"/>
      <c r="O870" s="29"/>
      <c r="P870" s="29"/>
      <c r="Q870" s="332"/>
      <c r="R870" s="6"/>
      <c r="S870" s="7"/>
      <c r="T870" s="6"/>
      <c r="U870" s="243"/>
      <c r="Y870" s="56"/>
    </row>
    <row r="871" spans="3:25" ht="15.5" thickBot="1" x14ac:dyDescent="0.9">
      <c r="C871" s="158">
        <f t="shared" si="579"/>
        <v>44770</v>
      </c>
      <c r="E871" s="245"/>
      <c r="F871" s="246"/>
      <c r="G871" s="246"/>
      <c r="H871" s="246"/>
      <c r="I871" s="246"/>
      <c r="J871" s="246"/>
      <c r="K871" s="246"/>
      <c r="L871" s="247"/>
      <c r="M871" s="248"/>
      <c r="N871" s="248"/>
      <c r="O871" s="248"/>
      <c r="P871" s="248"/>
      <c r="Q871" s="331"/>
      <c r="R871" s="247"/>
      <c r="S871" s="247"/>
      <c r="T871" s="247"/>
      <c r="U871" s="249"/>
      <c r="W871">
        <f>+W405+1</f>
        <v>396</v>
      </c>
      <c r="Y871" s="59"/>
    </row>
    <row r="872" spans="3:25" x14ac:dyDescent="0.75">
      <c r="E872" s="56"/>
      <c r="F872" s="1"/>
      <c r="G872" s="56"/>
      <c r="H872" s="56"/>
      <c r="I872" s="56"/>
      <c r="J872" s="1"/>
      <c r="K872" s="56"/>
      <c r="S872" s="56"/>
    </row>
    <row r="873" spans="3:25" x14ac:dyDescent="0.75">
      <c r="C873" s="166" t="s">
        <v>73</v>
      </c>
      <c r="E873" s="56">
        <f>+E867</f>
        <v>5773709</v>
      </c>
      <c r="F873" s="56"/>
      <c r="G873" s="56">
        <f t="shared" ref="G873:U873" si="679">+G867</f>
        <v>2572621</v>
      </c>
      <c r="H873" s="56">
        <f t="shared" si="679"/>
        <v>0</v>
      </c>
      <c r="I873" s="56">
        <f t="shared" si="679"/>
        <v>848549</v>
      </c>
      <c r="J873" s="56">
        <f t="shared" si="679"/>
        <v>0</v>
      </c>
      <c r="K873" s="56">
        <f t="shared" si="679"/>
        <v>9194879</v>
      </c>
      <c r="L873" s="56">
        <f t="shared" si="679"/>
        <v>0</v>
      </c>
      <c r="M873" s="56">
        <f t="shared" si="679"/>
        <v>7.8224215613670984E-4</v>
      </c>
      <c r="N873" s="56">
        <f t="shared" si="679"/>
        <v>0</v>
      </c>
      <c r="O873" s="56">
        <f t="shared" si="679"/>
        <v>0</v>
      </c>
      <c r="P873" s="56">
        <f t="shared" si="679"/>
        <v>0</v>
      </c>
      <c r="Q873" s="56">
        <f t="shared" si="679"/>
        <v>7187</v>
      </c>
      <c r="R873" s="56">
        <f t="shared" si="679"/>
        <v>0</v>
      </c>
      <c r="S873" s="56">
        <f t="shared" si="679"/>
        <v>115407</v>
      </c>
      <c r="T873" s="56">
        <f t="shared" si="679"/>
        <v>0</v>
      </c>
      <c r="U873" s="56">
        <f t="shared" si="679"/>
        <v>2.402125115017657E-2</v>
      </c>
      <c r="V873" s="56">
        <f>+V259</f>
        <v>0</v>
      </c>
    </row>
    <row r="874" spans="3:25" x14ac:dyDescent="0.75">
      <c r="E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</row>
    <row r="875" spans="3:25" x14ac:dyDescent="0.75">
      <c r="E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3:25" x14ac:dyDescent="0.75">
      <c r="C876" s="111"/>
      <c r="D876" s="112"/>
      <c r="E876" s="349"/>
      <c r="F876" s="10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</row>
    <row r="877" spans="3:25" x14ac:dyDescent="0.75">
      <c r="E877" s="56"/>
      <c r="K877" s="56"/>
      <c r="Q877" s="56"/>
    </row>
    <row r="878" spans="3:25" x14ac:dyDescent="0.75">
      <c r="D878" s="549" t="s">
        <v>26</v>
      </c>
      <c r="E878" t="s">
        <v>158</v>
      </c>
      <c r="K878" s="549"/>
      <c r="Q878" s="56"/>
      <c r="S878" s="59"/>
    </row>
    <row r="880" spans="3:25" x14ac:dyDescent="0.75">
      <c r="U880" s="549"/>
    </row>
    <row r="881" spans="3:41" x14ac:dyDescent="0.75">
      <c r="AO881" s="1">
        <v>3797000</v>
      </c>
    </row>
    <row r="882" spans="3:41" x14ac:dyDescent="0.75">
      <c r="C882" s="1"/>
    </row>
    <row r="883" spans="3:41" x14ac:dyDescent="0.75">
      <c r="C883" s="1"/>
      <c r="AO883" s="1">
        <v>30000</v>
      </c>
    </row>
    <row r="884" spans="3:41" x14ac:dyDescent="0.75">
      <c r="C884" s="59"/>
    </row>
    <row r="885" spans="3:41" x14ac:dyDescent="0.75">
      <c r="AO885" s="235">
        <f>+AO883/AO881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60"/>
  <sheetViews>
    <sheetView topLeftCell="A796" workbookViewId="0">
      <selection activeCell="W800" sqref="W800"/>
    </sheetView>
  </sheetViews>
  <sheetFormatPr defaultRowHeight="14.75" outlineLevelRow="1" x14ac:dyDescent="0.75"/>
  <cols>
    <col min="1" max="1" width="2.54296875" customWidth="1"/>
    <col min="2" max="2" width="3.86328125" customWidth="1"/>
    <col min="3" max="3" width="3.2265625" customWidth="1"/>
    <col min="4" max="4" width="2" customWidth="1"/>
    <col min="5" max="5" width="3.6796875" customWidth="1"/>
    <col min="6" max="6" width="13.76953125" customWidth="1"/>
    <col min="9" max="9" width="11.54296875" customWidth="1"/>
    <col min="10" max="10" width="2.6796875" customWidth="1"/>
    <col min="11" max="11" width="3.08984375" customWidth="1"/>
    <col min="13" max="13" width="2.453125" customWidth="1"/>
    <col min="15" max="15" width="2" customWidth="1"/>
    <col min="16" max="16" width="9.6796875" bestFit="1" customWidth="1"/>
    <col min="17" max="17" width="1.453125" customWidth="1"/>
    <col min="18" max="18" width="16.76953125" customWidth="1"/>
    <col min="19" max="19" width="2" customWidth="1"/>
    <col min="20" max="20" width="2.31640625" customWidth="1"/>
    <col min="21" max="21" width="9.08984375" bestFit="1" customWidth="1"/>
    <col min="22" max="22" width="2.2265625" customWidth="1"/>
    <col min="23" max="23" width="14.6796875" bestFit="1" customWidth="1"/>
    <col min="24" max="24" width="1.86328125" customWidth="1"/>
    <col min="25" max="25" width="10.08984375" bestFit="1" customWidth="1"/>
    <col min="26" max="26" width="2" customWidth="1"/>
    <col min="27" max="27" width="11.08984375" bestFit="1" customWidth="1"/>
    <col min="28" max="28" width="2.31640625" customWidth="1"/>
    <col min="29" max="29" width="1.86328125" customWidth="1"/>
    <col min="30" max="30" width="2.453125" customWidth="1"/>
    <col min="36" max="36" width="11.453125" customWidth="1"/>
  </cols>
  <sheetData>
    <row r="1" spans="2:30" ht="16" x14ac:dyDescent="0.8">
      <c r="B1" s="216" t="s">
        <v>5</v>
      </c>
      <c r="C1" s="216"/>
      <c r="D1" s="216"/>
    </row>
    <row r="2" spans="2:30" ht="16.75" thickBot="1" x14ac:dyDescent="0.95">
      <c r="B2" s="216" t="s">
        <v>6</v>
      </c>
      <c r="C2" s="216"/>
      <c r="D2" s="216"/>
    </row>
    <row r="3" spans="2:30" ht="16.75" thickBot="1" x14ac:dyDescent="0.95">
      <c r="B3" s="215" t="s">
        <v>13</v>
      </c>
      <c r="C3" s="215"/>
      <c r="D3" s="153"/>
      <c r="T3" s="668" t="s">
        <v>101</v>
      </c>
      <c r="U3" s="669"/>
      <c r="V3" s="669"/>
      <c r="W3" s="669"/>
      <c r="X3" s="669"/>
      <c r="Y3" s="669"/>
      <c r="Z3" s="669"/>
      <c r="AA3" s="669"/>
      <c r="AB3" s="669"/>
      <c r="AC3" s="669"/>
      <c r="AD3" s="670"/>
    </row>
    <row r="4" spans="2:30" ht="16" x14ac:dyDescent="0.8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6" x14ac:dyDescent="0.8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6" x14ac:dyDescent="0.8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6" x14ac:dyDescent="0.8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6" x14ac:dyDescent="0.8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6" x14ac:dyDescent="0.8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6" x14ac:dyDescent="0.8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6" x14ac:dyDescent="0.8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6" x14ac:dyDescent="0.8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9.5810689957205927E-3</v>
      </c>
      <c r="Z12" s="6"/>
      <c r="AA12" s="254">
        <f t="shared" si="0"/>
        <v>1046</v>
      </c>
      <c r="AB12" s="6"/>
      <c r="AC12" s="258"/>
      <c r="AD12" s="251"/>
    </row>
    <row r="13" spans="2:30" ht="16" x14ac:dyDescent="0.8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6" x14ac:dyDescent="0.8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75">
      <c r="B15" s="215"/>
      <c r="E15" s="671" t="s">
        <v>91</v>
      </c>
      <c r="F15" s="671"/>
      <c r="G15" s="671"/>
      <c r="H15" s="671"/>
      <c r="I15" s="671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75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.5" thickBot="1" x14ac:dyDescent="0.9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.5" thickBot="1" x14ac:dyDescent="0.9">
      <c r="C18" s="1"/>
      <c r="D18" s="677" t="s">
        <v>44</v>
      </c>
      <c r="E18" s="678"/>
      <c r="F18" s="678"/>
      <c r="G18" s="678"/>
      <c r="H18" s="678"/>
      <c r="I18" s="678"/>
      <c r="J18" s="678"/>
      <c r="K18" s="678"/>
      <c r="L18" s="678"/>
      <c r="M18" s="678"/>
      <c r="N18" s="678"/>
      <c r="O18" s="679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.5" thickBot="1" x14ac:dyDescent="0.9">
      <c r="C19" s="1"/>
      <c r="D19" s="133"/>
      <c r="E19" s="680" t="s">
        <v>67</v>
      </c>
      <c r="F19" s="680"/>
      <c r="G19" s="680"/>
      <c r="H19" s="680"/>
      <c r="I19" s="134" t="s">
        <v>66</v>
      </c>
      <c r="J19" s="135"/>
      <c r="K19" s="685" t="s">
        <v>64</v>
      </c>
      <c r="L19" s="685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75">
      <c r="C20" s="1"/>
      <c r="D20" s="113"/>
      <c r="E20" s="114" t="s">
        <v>157</v>
      </c>
      <c r="F20" s="115"/>
      <c r="G20" s="114"/>
      <c r="H20" s="114"/>
      <c r="I20" s="81">
        <f>+'Main Table'!H855</f>
        <v>77433536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75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Table'!AA872</f>
        <v>907499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75">
      <c r="C22" s="1"/>
      <c r="D22" s="113"/>
      <c r="E22" s="114"/>
      <c r="F22" s="114" t="s">
        <v>43</v>
      </c>
      <c r="G22" s="114"/>
      <c r="H22" s="114"/>
      <c r="I22" s="146">
        <v>4442</v>
      </c>
      <c r="J22" s="116"/>
      <c r="K22" s="127"/>
      <c r="L22" s="238">
        <v>4451</v>
      </c>
      <c r="M22" s="127"/>
      <c r="N22" s="147">
        <f>+(I22-L22)/I22</f>
        <v>-2.0261143628995948E-3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75">
      <c r="C23" s="1"/>
      <c r="D23" s="113"/>
      <c r="E23" s="114"/>
      <c r="F23" s="124" t="s">
        <v>62</v>
      </c>
      <c r="G23" s="124"/>
      <c r="H23" s="124"/>
      <c r="I23" s="117">
        <f>+I20-I21-I22</f>
        <v>76521595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75">
      <c r="C24" s="1"/>
      <c r="D24" s="113"/>
      <c r="E24" s="114" t="s">
        <v>69</v>
      </c>
      <c r="F24" s="116"/>
      <c r="G24" s="116"/>
      <c r="H24" s="116"/>
      <c r="I24" s="118">
        <f>+'Main Table'!AP872</f>
        <v>87432184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75">
      <c r="C25" s="1"/>
      <c r="D25" s="681" t="s">
        <v>47</v>
      </c>
      <c r="E25" s="682"/>
      <c r="F25" s="682"/>
      <c r="G25" s="682"/>
      <c r="H25" s="682"/>
      <c r="I25" s="119">
        <f>+I23-I24</f>
        <v>-10910589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75">
      <c r="C26" s="1"/>
      <c r="D26" s="113"/>
      <c r="E26" s="114" t="s">
        <v>63</v>
      </c>
      <c r="F26" s="116"/>
      <c r="G26" s="116"/>
      <c r="H26" s="116"/>
      <c r="I26" s="118">
        <f>+I24</f>
        <v>87432184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.5" thickBot="1" x14ac:dyDescent="0.9">
      <c r="C27" s="1"/>
      <c r="D27" s="681" t="s">
        <v>44</v>
      </c>
      <c r="E27" s="682"/>
      <c r="F27" s="682"/>
      <c r="G27" s="682"/>
      <c r="H27" s="682"/>
      <c r="I27" s="136">
        <f>+I25+I26</f>
        <v>76521595</v>
      </c>
      <c r="J27" s="116"/>
      <c r="K27" s="686">
        <v>76413622</v>
      </c>
      <c r="L27" s="686"/>
      <c r="M27" s="127"/>
      <c r="N27" s="137">
        <f>+I27-K27</f>
        <v>107973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6.25" thickTop="1" thickBot="1" x14ac:dyDescent="0.9">
      <c r="C28" s="10"/>
      <c r="D28" s="122"/>
      <c r="E28" s="683" t="s">
        <v>61</v>
      </c>
      <c r="F28" s="683"/>
      <c r="G28" s="683"/>
      <c r="H28" s="124"/>
      <c r="I28" s="232">
        <f>+I27/I32</f>
        <v>0.97881083715951023</v>
      </c>
      <c r="J28" s="127"/>
      <c r="K28" s="127"/>
      <c r="L28" s="127"/>
      <c r="M28" s="98"/>
      <c r="N28" s="463">
        <f>+N27/K27</f>
        <v>1.4130072253347708E-3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6.25" thickTop="1" thickBot="1" x14ac:dyDescent="0.9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.5" thickBot="1" x14ac:dyDescent="0.9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75" thickBot="1" x14ac:dyDescent="0.95">
      <c r="C31" s="78"/>
      <c r="D31" s="230"/>
      <c r="E31" s="692" t="s">
        <v>101</v>
      </c>
      <c r="F31" s="693"/>
      <c r="G31" s="693"/>
      <c r="H31" s="693"/>
      <c r="I31" s="693"/>
      <c r="J31" s="694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75">
      <c r="C32" s="10"/>
      <c r="D32" s="217"/>
      <c r="E32" s="218" t="s">
        <v>75</v>
      </c>
      <c r="F32" s="24"/>
      <c r="G32" s="24"/>
      <c r="H32" s="24"/>
      <c r="I32" s="687">
        <f>+'Main Table'!H872</f>
        <v>78178124</v>
      </c>
      <c r="J32" s="687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75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75">
      <c r="D34" s="220"/>
      <c r="E34" s="22"/>
      <c r="F34" s="221" t="s">
        <v>100</v>
      </c>
      <c r="G34" s="221"/>
      <c r="H34" s="22"/>
      <c r="I34" s="688">
        <f>+I27</f>
        <v>76521595</v>
      </c>
      <c r="J34" s="689"/>
      <c r="K34" s="22"/>
      <c r="L34" s="25">
        <f>+I34/$I$32</f>
        <v>0.97881083715951023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75">
      <c r="D35" s="220"/>
      <c r="E35" s="22"/>
      <c r="F35" s="22" t="s">
        <v>76</v>
      </c>
      <c r="G35" s="22"/>
      <c r="H35" s="22"/>
      <c r="I35" s="695">
        <f>+I21</f>
        <v>907499</v>
      </c>
      <c r="J35" s="696"/>
      <c r="K35" s="22"/>
      <c r="L35" s="25">
        <f>+I35/$I$32</f>
        <v>1.1608093844769159E-2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.5" thickBot="1" x14ac:dyDescent="0.9">
      <c r="D36" s="220"/>
      <c r="E36" s="684" t="s">
        <v>101</v>
      </c>
      <c r="F36" s="684"/>
      <c r="G36" s="684"/>
      <c r="H36" s="233"/>
      <c r="I36" s="690">
        <f>+I32-I34-I35</f>
        <v>749030</v>
      </c>
      <c r="J36" s="691"/>
      <c r="K36" s="259"/>
      <c r="L36" s="234">
        <f>+I36/$I$32</f>
        <v>9.5810689957205927E-3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6.25" thickTop="1" thickBot="1" x14ac:dyDescent="0.9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75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75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.5" thickBot="1" x14ac:dyDescent="0.9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.5" thickBot="1" x14ac:dyDescent="0.9">
      <c r="D41" s="672" t="s">
        <v>114</v>
      </c>
      <c r="E41" s="673"/>
      <c r="F41" s="673"/>
      <c r="G41" s="673"/>
      <c r="H41" s="673"/>
      <c r="I41" s="673"/>
      <c r="J41" s="673"/>
      <c r="K41" s="673"/>
      <c r="L41" s="673"/>
      <c r="M41" s="673"/>
      <c r="N41" s="673"/>
      <c r="O41" s="674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.5" thickBot="1" x14ac:dyDescent="0.9">
      <c r="D42" s="277"/>
      <c r="E42" s="675" t="s">
        <v>67</v>
      </c>
      <c r="F42" s="675"/>
      <c r="G42" s="675"/>
      <c r="H42" s="675"/>
      <c r="I42" s="260" t="s">
        <v>66</v>
      </c>
      <c r="J42" s="261"/>
      <c r="K42" s="676" t="s">
        <v>35</v>
      </c>
      <c r="L42" s="676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75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75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75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75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75">
      <c r="D47" s="279"/>
      <c r="E47" s="264" t="s">
        <v>69</v>
      </c>
      <c r="F47" s="266"/>
      <c r="G47" s="266"/>
      <c r="H47" s="266"/>
      <c r="I47" s="338">
        <f>+'Main Table'!AP890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75">
      <c r="D48" s="698" t="s">
        <v>47</v>
      </c>
      <c r="E48" s="699"/>
      <c r="F48" s="699"/>
      <c r="G48" s="699"/>
      <c r="H48" s="69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75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.5" thickBot="1" x14ac:dyDescent="0.9">
      <c r="D50" s="698" t="s">
        <v>44</v>
      </c>
      <c r="E50" s="699"/>
      <c r="F50" s="699"/>
      <c r="G50" s="699"/>
      <c r="H50" s="699"/>
      <c r="I50" s="340">
        <f>+I48+I49</f>
        <v>22172</v>
      </c>
      <c r="J50" s="336"/>
      <c r="K50" s="700">
        <v>30167</v>
      </c>
      <c r="L50" s="70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6.25" thickTop="1" thickBot="1" x14ac:dyDescent="0.9">
      <c r="D51" s="270"/>
      <c r="E51" s="701" t="s">
        <v>61</v>
      </c>
      <c r="F51" s="701"/>
      <c r="G51" s="70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6.25" thickTop="1" thickBot="1" x14ac:dyDescent="0.9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.5" thickBot="1" x14ac:dyDescent="0.9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75" thickBot="1" x14ac:dyDescent="0.95">
      <c r="D54" s="317"/>
      <c r="E54" s="664" t="s">
        <v>115</v>
      </c>
      <c r="F54" s="665"/>
      <c r="G54" s="665"/>
      <c r="H54" s="665"/>
      <c r="I54" s="665"/>
      <c r="J54" s="666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75">
      <c r="D55" s="279"/>
      <c r="E55" s="311" t="s">
        <v>75</v>
      </c>
      <c r="F55" s="266"/>
      <c r="G55" s="266"/>
      <c r="H55" s="266"/>
      <c r="I55" s="702">
        <f>+K50</f>
        <v>30167</v>
      </c>
      <c r="J55" s="702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75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75">
      <c r="D57" s="270"/>
      <c r="E57" s="267"/>
      <c r="F57" s="313" t="s">
        <v>100</v>
      </c>
      <c r="G57" s="313"/>
      <c r="H57" s="267"/>
      <c r="I57" s="703">
        <f>+I50</f>
        <v>22172</v>
      </c>
      <c r="J57" s="704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75">
      <c r="D58" s="270"/>
      <c r="E58" s="267"/>
      <c r="F58" s="267" t="s">
        <v>76</v>
      </c>
      <c r="G58" s="267"/>
      <c r="H58" s="267"/>
      <c r="I58" s="705">
        <f>+I44</f>
        <v>1836</v>
      </c>
      <c r="J58" s="706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.5" thickBot="1" x14ac:dyDescent="0.9">
      <c r="D59" s="270"/>
      <c r="E59" s="707" t="s">
        <v>101</v>
      </c>
      <c r="F59" s="707"/>
      <c r="G59" s="707"/>
      <c r="H59" s="267"/>
      <c r="I59" s="667">
        <f>+I55-I57-I58</f>
        <v>6159</v>
      </c>
      <c r="J59" s="708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.5" thickTop="1" x14ac:dyDescent="0.75">
      <c r="D60" s="270"/>
      <c r="E60" s="424"/>
      <c r="F60" s="424" t="s">
        <v>116</v>
      </c>
      <c r="G60" s="424"/>
      <c r="H60" s="267"/>
      <c r="I60" s="709">
        <f>+I45</f>
        <v>1397</v>
      </c>
      <c r="J60" s="709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.5" thickBot="1" x14ac:dyDescent="0.9">
      <c r="D61" s="270"/>
      <c r="E61" s="333"/>
      <c r="F61" s="333" t="s">
        <v>117</v>
      </c>
      <c r="G61" s="333"/>
      <c r="H61" s="267"/>
      <c r="I61" s="667">
        <f>+I59-I60</f>
        <v>4762</v>
      </c>
      <c r="J61" s="667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6.25" thickTop="1" thickBot="1" x14ac:dyDescent="0.9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.5" thickBot="1" x14ac:dyDescent="0.9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.5" thickBot="1" x14ac:dyDescent="0.9">
      <c r="E64" s="664" t="s">
        <v>104</v>
      </c>
      <c r="F64" s="665"/>
      <c r="G64" s="665"/>
      <c r="H64" s="665"/>
      <c r="I64" s="665"/>
      <c r="J64" s="665"/>
      <c r="K64" s="665"/>
      <c r="L64" s="665"/>
      <c r="M64" s="666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75">
      <c r="E65" s="322"/>
      <c r="F65" s="275" t="s">
        <v>96</v>
      </c>
      <c r="G65" s="275"/>
      <c r="H65" s="275"/>
      <c r="I65" s="697">
        <v>11690000</v>
      </c>
      <c r="J65" s="697"/>
      <c r="K65" s="697"/>
      <c r="L65" s="69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75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75">
      <c r="E67" s="322"/>
      <c r="F67" s="663" t="s">
        <v>95</v>
      </c>
      <c r="G67" s="663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.5" thickBot="1" x14ac:dyDescent="0.9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75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75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.5" thickBot="1" x14ac:dyDescent="0.9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.5" thickBot="1" x14ac:dyDescent="0.9">
      <c r="D72" s="726" t="s">
        <v>118</v>
      </c>
      <c r="E72" s="727"/>
      <c r="F72" s="727"/>
      <c r="G72" s="727"/>
      <c r="H72" s="727"/>
      <c r="I72" s="727"/>
      <c r="J72" s="727"/>
      <c r="K72" s="727"/>
      <c r="L72" s="727"/>
      <c r="M72" s="727"/>
      <c r="N72" s="727"/>
      <c r="O72" s="728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.5" thickBot="1" x14ac:dyDescent="0.9">
      <c r="D73" s="354"/>
      <c r="E73" s="729" t="s">
        <v>67</v>
      </c>
      <c r="F73" s="729"/>
      <c r="G73" s="729"/>
      <c r="H73" s="729"/>
      <c r="I73" s="355" t="s">
        <v>66</v>
      </c>
      <c r="J73" s="356"/>
      <c r="K73" s="730" t="s">
        <v>35</v>
      </c>
      <c r="L73" s="730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75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75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75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75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75">
      <c r="D78" s="360"/>
      <c r="E78" s="361" t="s">
        <v>69</v>
      </c>
      <c r="F78" s="16"/>
      <c r="G78" s="16"/>
      <c r="H78" s="16"/>
      <c r="I78" s="366">
        <f>+'Main Table'!AP931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75">
      <c r="D79" s="731" t="s">
        <v>47</v>
      </c>
      <c r="E79" s="732"/>
      <c r="F79" s="732"/>
      <c r="G79" s="732"/>
      <c r="H79" s="732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75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.5" thickBot="1" x14ac:dyDescent="0.9">
      <c r="D81" s="731" t="s">
        <v>44</v>
      </c>
      <c r="E81" s="732"/>
      <c r="F81" s="732"/>
      <c r="G81" s="732"/>
      <c r="H81" s="732"/>
      <c r="I81" s="370">
        <f>+I79+I80</f>
        <v>36684</v>
      </c>
      <c r="J81" s="363"/>
      <c r="K81" s="734">
        <v>48675</v>
      </c>
      <c r="L81" s="734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6.25" thickTop="1" thickBot="1" x14ac:dyDescent="0.9">
      <c r="D82" s="372"/>
      <c r="E82" s="733" t="s">
        <v>61</v>
      </c>
      <c r="F82" s="733"/>
      <c r="G82" s="733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6.25" thickTop="1" thickBot="1" x14ac:dyDescent="0.9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75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75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75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75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75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75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75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75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75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75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75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75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75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75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75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75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75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75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75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75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75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75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75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75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75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75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75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75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75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75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75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75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75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75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75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75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75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75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9.5810689957205927E-3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75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75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75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75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75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75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75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75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75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75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75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75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75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75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75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75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75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75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75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75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75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75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75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75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75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75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75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75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75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75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75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75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75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75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75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75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75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75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75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75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75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75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75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75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75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75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75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75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75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75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75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75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75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75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75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75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75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75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75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75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75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75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75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75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75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75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75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75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75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75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75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75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75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75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75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75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75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75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75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75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75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75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75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75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75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75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75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75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75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75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75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75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75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9.5810689957205927E-3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75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75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75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75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75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75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75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75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75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75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75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75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75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75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75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75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75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75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75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75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75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75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75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75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75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75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75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75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75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75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9.5810689957205927E-3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75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75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75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75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75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75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75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75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75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75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75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75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75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75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75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75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75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75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75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75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75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75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75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75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75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75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75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75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75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75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75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75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75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75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75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75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75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75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75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75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75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75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75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75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75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75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75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75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75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75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75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75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75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75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75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75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75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75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75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75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75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75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75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75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75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75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75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75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75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75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75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75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75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75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75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75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75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75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75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75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75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75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75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75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75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75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75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75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75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75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75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75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75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75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75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75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75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75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75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75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75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75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75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75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75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75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9.5810689957205927E-3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75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75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75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75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75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75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75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75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75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75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75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75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75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75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75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75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75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75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75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75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75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75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75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75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75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75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75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75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75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75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75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75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75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75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75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75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75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75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75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75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75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75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75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75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75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75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75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75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75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75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75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75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75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75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75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75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75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75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75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75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75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75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75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75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75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75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75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75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75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75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75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75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75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75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75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75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75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75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75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75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75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75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75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75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75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75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75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75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75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75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75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75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75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75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75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75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75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75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75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75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75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75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75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75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75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75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75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75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75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75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75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75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75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75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75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75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75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75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75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75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75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75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75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75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75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75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75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75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75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75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75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75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75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75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75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75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75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75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75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75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75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75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75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75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75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75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75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75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75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75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75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75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75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75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75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75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75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75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75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75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75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75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75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75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75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75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75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75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75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75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75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75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75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75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75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75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75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75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75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75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75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75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75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75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75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75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75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75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75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75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75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75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75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75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75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75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75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75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75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75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75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75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75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75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75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75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75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75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75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75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75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75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75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75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75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75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75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75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75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75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75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75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75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75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75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75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75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75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75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75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75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75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75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75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75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75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75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75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75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75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75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75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75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75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75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75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75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75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75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75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75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75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75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75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75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75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75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75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75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75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75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75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75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75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75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75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75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75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75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75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75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75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75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75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75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75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75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75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75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75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75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75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75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75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75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75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75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75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75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75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75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75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75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75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75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75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75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75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75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75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75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75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75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75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75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75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75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75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75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75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75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75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75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75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75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75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75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75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75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75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75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75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75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75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75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75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75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75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75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75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75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75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75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75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75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75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75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75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75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75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75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75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75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75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75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75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75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75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75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75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75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75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75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75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75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75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75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75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75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75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75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75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75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75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75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75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75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75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75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75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75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75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75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75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75">
      <c r="O725" s="98"/>
      <c r="T725" s="250"/>
      <c r="U725" s="252">
        <f t="shared" ref="U725:U74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75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75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75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75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75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75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75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75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75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75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75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75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75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75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75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75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75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75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75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75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75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75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75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75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75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75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75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75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75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75">
      <c r="O755" s="98"/>
      <c r="T755" s="250"/>
      <c r="U755" s="252">
        <f t="shared" ref="U755:U818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75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75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75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75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75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75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75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75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75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75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75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75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75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2" x14ac:dyDescent="0.75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2" x14ac:dyDescent="0.75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2" x14ac:dyDescent="0.75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2" x14ac:dyDescent="0.75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2" x14ac:dyDescent="0.75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2" x14ac:dyDescent="0.75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2" x14ac:dyDescent="0.75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2" x14ac:dyDescent="0.75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2" x14ac:dyDescent="0.75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  <c r="AE777" s="56">
        <f>+W777-W807</f>
        <v>149471</v>
      </c>
      <c r="AF777" s="59">
        <f>+AE777/W777</f>
        <v>0.16966157583187191</v>
      </c>
    </row>
    <row r="778" spans="15:32" x14ac:dyDescent="0.75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2" x14ac:dyDescent="0.75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2" x14ac:dyDescent="0.75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2" x14ac:dyDescent="0.75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2" x14ac:dyDescent="0.75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2" x14ac:dyDescent="0.75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2" x14ac:dyDescent="0.75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2" x14ac:dyDescent="0.75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2" x14ac:dyDescent="0.75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2" x14ac:dyDescent="0.75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2" x14ac:dyDescent="0.75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2" x14ac:dyDescent="0.75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2" x14ac:dyDescent="0.75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2" x14ac:dyDescent="0.75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2" x14ac:dyDescent="0.75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2" x14ac:dyDescent="0.75">
      <c r="O793" s="98"/>
      <c r="T793" s="250"/>
      <c r="U793" s="573">
        <f t="shared" si="157"/>
        <v>44738</v>
      </c>
      <c r="V793" s="6"/>
      <c r="W793" s="580"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  <c r="AE793" s="56">
        <f>+W793-W807</f>
        <v>70751</v>
      </c>
      <c r="AF793" s="59">
        <f>+AE793/W793</f>
        <v>8.8187965473185623E-2</v>
      </c>
    </row>
    <row r="794" spans="15:32" x14ac:dyDescent="0.75">
      <c r="O794" s="98"/>
      <c r="T794" s="250"/>
      <c r="U794" s="252">
        <f t="shared" si="157"/>
        <v>44739</v>
      </c>
      <c r="V794" s="6"/>
      <c r="W794" s="580">
        <v>755667</v>
      </c>
      <c r="X794" s="581"/>
      <c r="Y794" s="44">
        <v>3.0000000000000001E-3</v>
      </c>
      <c r="Z794" s="581"/>
      <c r="AA794" s="582">
        <f t="shared" ref="AA794" si="197">+W793-W794</f>
        <v>46608</v>
      </c>
      <c r="AB794" s="581"/>
      <c r="AC794" s="583"/>
      <c r="AD794" s="251"/>
    </row>
    <row r="795" spans="15:32" x14ac:dyDescent="0.75">
      <c r="O795" s="98"/>
      <c r="T795" s="250"/>
      <c r="U795" s="252">
        <f t="shared" si="157"/>
        <v>44740</v>
      </c>
      <c r="V795" s="6"/>
      <c r="W795" s="580">
        <v>741719</v>
      </c>
      <c r="X795" s="581"/>
      <c r="Y795" s="44">
        <v>3.0000000000000001E-3</v>
      </c>
      <c r="Z795" s="581"/>
      <c r="AA795" s="582">
        <f t="shared" ref="AA795" si="198">+W794-W795</f>
        <v>13948</v>
      </c>
      <c r="AB795" s="581"/>
      <c r="AC795" s="583"/>
      <c r="AD795" s="251"/>
    </row>
    <row r="796" spans="15:32" x14ac:dyDescent="0.75">
      <c r="O796" s="98"/>
      <c r="T796" s="250"/>
      <c r="U796" s="252">
        <f t="shared" si="157"/>
        <v>44741</v>
      </c>
      <c r="V796" s="6"/>
      <c r="W796" s="580">
        <v>760319</v>
      </c>
      <c r="X796" s="581"/>
      <c r="Y796" s="44">
        <v>3.0000000000000001E-3</v>
      </c>
      <c r="Z796" s="581"/>
      <c r="AA796" s="582">
        <f t="shared" ref="AA796" si="199">+W795-W796</f>
        <v>-18600</v>
      </c>
      <c r="AB796" s="581"/>
      <c r="AC796" s="583"/>
      <c r="AD796" s="251"/>
    </row>
    <row r="797" spans="15:32" x14ac:dyDescent="0.75">
      <c r="O797" s="98"/>
      <c r="T797" s="250"/>
      <c r="U797" s="252">
        <f t="shared" si="157"/>
        <v>44742</v>
      </c>
      <c r="V797" s="6"/>
      <c r="W797" s="580">
        <v>815453</v>
      </c>
      <c r="X797" s="581"/>
      <c r="Y797" s="44">
        <v>3.0000000000000001E-3</v>
      </c>
      <c r="Z797" s="581"/>
      <c r="AA797" s="582">
        <f t="shared" ref="AA797" si="200">+W796-W797</f>
        <v>-55134</v>
      </c>
      <c r="AB797" s="581"/>
      <c r="AC797" s="583"/>
      <c r="AD797" s="251"/>
    </row>
    <row r="798" spans="15:32" x14ac:dyDescent="0.75">
      <c r="O798" s="98"/>
      <c r="T798" s="250"/>
      <c r="U798" s="252">
        <f t="shared" si="157"/>
        <v>44743</v>
      </c>
      <c r="V798" s="6"/>
      <c r="W798" s="580">
        <v>887561</v>
      </c>
      <c r="X798" s="581"/>
      <c r="Y798" s="44">
        <v>3.0000000000000001E-3</v>
      </c>
      <c r="Z798" s="581"/>
      <c r="AA798" s="582">
        <f t="shared" ref="AA798" si="201">+W797-W798</f>
        <v>-72108</v>
      </c>
      <c r="AB798" s="581"/>
      <c r="AC798" s="583"/>
      <c r="AD798" s="251"/>
    </row>
    <row r="799" spans="15:32" x14ac:dyDescent="0.75">
      <c r="O799" s="98"/>
      <c r="T799" s="250"/>
      <c r="U799" s="252">
        <f t="shared" si="157"/>
        <v>44744</v>
      </c>
      <c r="V799" s="6"/>
      <c r="W799" s="580">
        <v>880042</v>
      </c>
      <c r="X799" s="581"/>
      <c r="Y799" s="44">
        <v>3.0000000000000001E-3</v>
      </c>
      <c r="Z799" s="581"/>
      <c r="AA799" s="582">
        <f t="shared" ref="AA799" si="202">+W798-W799</f>
        <v>7519</v>
      </c>
      <c r="AB799" s="581"/>
      <c r="AC799" s="583"/>
      <c r="AD799" s="251"/>
    </row>
    <row r="800" spans="15:32" x14ac:dyDescent="0.75">
      <c r="O800" s="98"/>
      <c r="T800" s="250"/>
      <c r="U800" s="573">
        <f t="shared" si="157"/>
        <v>44745</v>
      </c>
      <c r="V800" s="6"/>
      <c r="W800" s="580">
        <v>805960</v>
      </c>
      <c r="X800" s="581"/>
      <c r="Y800" s="44">
        <v>3.0000000000000001E-3</v>
      </c>
      <c r="Z800" s="581"/>
      <c r="AA800" s="582">
        <f t="shared" ref="AA800" si="203">+W799-W800</f>
        <v>74082</v>
      </c>
      <c r="AB800" s="581"/>
      <c r="AC800" s="583"/>
      <c r="AD800" s="251"/>
    </row>
    <row r="801" spans="15:30" x14ac:dyDescent="0.75">
      <c r="O801" s="98"/>
      <c r="T801" s="250"/>
      <c r="U801" s="252">
        <f t="shared" si="157"/>
        <v>44746</v>
      </c>
      <c r="V801" s="6"/>
      <c r="W801" s="580">
        <v>725552</v>
      </c>
      <c r="X801" s="581"/>
      <c r="Y801" s="44">
        <v>3.0000000000000001E-3</v>
      </c>
      <c r="Z801" s="581"/>
      <c r="AA801" s="582">
        <f t="shared" ref="AA801" si="204">+W800-W801</f>
        <v>80408</v>
      </c>
      <c r="AB801" s="581"/>
      <c r="AC801" s="583"/>
      <c r="AD801" s="251"/>
    </row>
    <row r="802" spans="15:30" x14ac:dyDescent="0.75">
      <c r="O802" s="98"/>
      <c r="T802" s="250"/>
      <c r="U802" s="252">
        <f t="shared" si="157"/>
        <v>44747</v>
      </c>
      <c r="V802" s="6"/>
      <c r="W802" s="580">
        <v>674570</v>
      </c>
      <c r="X802" s="581"/>
      <c r="Y802" s="44">
        <v>3.0000000000000001E-3</v>
      </c>
      <c r="Z802" s="581"/>
      <c r="AA802" s="582">
        <f t="shared" ref="AA802" si="205">+W801-W802</f>
        <v>50982</v>
      </c>
      <c r="AB802" s="581"/>
      <c r="AC802" s="583"/>
      <c r="AD802" s="251"/>
    </row>
    <row r="803" spans="15:30" x14ac:dyDescent="0.75">
      <c r="O803" s="98"/>
      <c r="T803" s="250"/>
      <c r="U803" s="252">
        <f t="shared" si="157"/>
        <v>44748</v>
      </c>
      <c r="V803" s="6"/>
      <c r="W803" s="580">
        <v>671689</v>
      </c>
      <c r="X803" s="581"/>
      <c r="Y803" s="44">
        <v>3.0000000000000001E-3</v>
      </c>
      <c r="Z803" s="581"/>
      <c r="AA803" s="582">
        <f t="shared" ref="AA803" si="206">+W802-W803</f>
        <v>2881</v>
      </c>
      <c r="AB803" s="581"/>
      <c r="AC803" s="583"/>
      <c r="AD803" s="251"/>
    </row>
    <row r="804" spans="15:30" x14ac:dyDescent="0.75">
      <c r="O804" s="98"/>
      <c r="T804" s="250"/>
      <c r="U804" s="252">
        <f t="shared" si="157"/>
        <v>44749</v>
      </c>
      <c r="V804" s="6"/>
      <c r="W804" s="580">
        <v>719540</v>
      </c>
      <c r="X804" s="581"/>
      <c r="Y804" s="44">
        <v>3.0000000000000001E-3</v>
      </c>
      <c r="Z804" s="581"/>
      <c r="AA804" s="582">
        <f t="shared" ref="AA804" si="207">+W803-W804</f>
        <v>-47851</v>
      </c>
      <c r="AB804" s="581"/>
      <c r="AC804" s="583"/>
      <c r="AD804" s="251"/>
    </row>
    <row r="805" spans="15:30" x14ac:dyDescent="0.75">
      <c r="O805" s="98"/>
      <c r="T805" s="250"/>
      <c r="U805" s="252">
        <f t="shared" si="157"/>
        <v>44750</v>
      </c>
      <c r="V805" s="6"/>
      <c r="W805" s="580">
        <v>807329</v>
      </c>
      <c r="X805" s="581"/>
      <c r="Y805" s="44">
        <v>3.0000000000000001E-3</v>
      </c>
      <c r="Z805" s="581"/>
      <c r="AA805" s="582">
        <f t="shared" ref="AA805" si="208">+W804-W805</f>
        <v>-87789</v>
      </c>
      <c r="AB805" s="581"/>
      <c r="AC805" s="583"/>
      <c r="AD805" s="251"/>
    </row>
    <row r="806" spans="15:30" x14ac:dyDescent="0.75">
      <c r="O806" s="98"/>
      <c r="T806" s="250"/>
      <c r="U806" s="252">
        <f t="shared" si="157"/>
        <v>44751</v>
      </c>
      <c r="V806" s="6"/>
      <c r="W806" s="580">
        <v>786080</v>
      </c>
      <c r="X806" s="581"/>
      <c r="Y806" s="44">
        <v>3.0000000000000001E-3</v>
      </c>
      <c r="Z806" s="581"/>
      <c r="AA806" s="582">
        <f t="shared" ref="AA806" si="209">+W805-W806</f>
        <v>21249</v>
      </c>
      <c r="AB806" s="581"/>
      <c r="AC806" s="583"/>
      <c r="AD806" s="251"/>
    </row>
    <row r="807" spans="15:30" x14ac:dyDescent="0.75">
      <c r="O807" s="98"/>
      <c r="T807" s="250"/>
      <c r="U807" s="573">
        <f t="shared" si="157"/>
        <v>44752</v>
      </c>
      <c r="V807" s="6"/>
      <c r="W807" s="580">
        <v>731524</v>
      </c>
      <c r="X807" s="581"/>
      <c r="Y807" s="44">
        <v>3.0000000000000001E-3</v>
      </c>
      <c r="Z807" s="581"/>
      <c r="AA807" s="582">
        <f t="shared" ref="AA807" si="210">+W806-W807</f>
        <v>54556</v>
      </c>
      <c r="AB807" s="581"/>
      <c r="AC807" s="583"/>
      <c r="AD807" s="251"/>
    </row>
    <row r="808" spans="15:30" x14ac:dyDescent="0.75">
      <c r="O808" s="98"/>
      <c r="T808" s="250"/>
      <c r="U808" s="252">
        <f t="shared" si="157"/>
        <v>44753</v>
      </c>
      <c r="V808" s="6"/>
      <c r="W808" s="580">
        <v>689419</v>
      </c>
      <c r="X808" s="581"/>
      <c r="Y808" s="44">
        <v>3.0000000000000001E-3</v>
      </c>
      <c r="Z808" s="581"/>
      <c r="AA808" s="582">
        <f t="shared" ref="AA808" si="211">+W807-W808</f>
        <v>42105</v>
      </c>
      <c r="AB808" s="581"/>
      <c r="AC808" s="583"/>
      <c r="AD808" s="251"/>
    </row>
    <row r="809" spans="15:30" x14ac:dyDescent="0.75">
      <c r="O809" s="98"/>
      <c r="T809" s="250"/>
      <c r="U809" s="252">
        <f t="shared" si="157"/>
        <v>44754</v>
      </c>
      <c r="V809" s="6"/>
      <c r="W809" s="580">
        <v>698972</v>
      </c>
      <c r="X809" s="581"/>
      <c r="Y809" s="44">
        <v>3.0000000000000001E-3</v>
      </c>
      <c r="Z809" s="581"/>
      <c r="AA809" s="582">
        <f t="shared" ref="AA809" si="212">+W808-W809</f>
        <v>-9553</v>
      </c>
      <c r="AB809" s="581"/>
      <c r="AC809" s="583"/>
      <c r="AD809" s="251"/>
    </row>
    <row r="810" spans="15:30" x14ac:dyDescent="0.75">
      <c r="O810" s="98"/>
      <c r="T810" s="250"/>
      <c r="U810" s="252">
        <f t="shared" si="157"/>
        <v>44755</v>
      </c>
      <c r="V810" s="6"/>
      <c r="W810" s="580">
        <v>704270</v>
      </c>
      <c r="X810" s="581"/>
      <c r="Y810" s="44">
        <v>3.0000000000000001E-3</v>
      </c>
      <c r="Z810" s="581"/>
      <c r="AA810" s="582">
        <f t="shared" ref="AA810" si="213">+W809-W810</f>
        <v>-5298</v>
      </c>
      <c r="AB810" s="581"/>
      <c r="AC810" s="583"/>
      <c r="AD810" s="251"/>
    </row>
    <row r="811" spans="15:30" x14ac:dyDescent="0.75">
      <c r="O811" s="98"/>
      <c r="T811" s="250"/>
      <c r="U811" s="252">
        <f t="shared" si="157"/>
        <v>44756</v>
      </c>
      <c r="V811" s="6"/>
      <c r="W811" s="580">
        <v>774329</v>
      </c>
      <c r="X811" s="581"/>
      <c r="Y811" s="44">
        <v>3.0000000000000001E-3</v>
      </c>
      <c r="Z811" s="581"/>
      <c r="AA811" s="582">
        <f t="shared" ref="AA811" si="214">+W810-W811</f>
        <v>-70059</v>
      </c>
      <c r="AB811" s="581"/>
      <c r="AC811" s="583"/>
      <c r="AD811" s="251"/>
    </row>
    <row r="812" spans="15:30" x14ac:dyDescent="0.75">
      <c r="O812" s="98"/>
      <c r="T812" s="250"/>
      <c r="U812" s="252">
        <f t="shared" si="157"/>
        <v>44757</v>
      </c>
      <c r="V812" s="6"/>
      <c r="W812" s="580">
        <v>855116</v>
      </c>
      <c r="X812" s="581"/>
      <c r="Y812" s="44">
        <v>3.0000000000000001E-3</v>
      </c>
      <c r="Z812" s="581"/>
      <c r="AA812" s="582">
        <f t="shared" ref="AA812" si="215">+W811-W812</f>
        <v>-80787</v>
      </c>
      <c r="AB812" s="581"/>
      <c r="AC812" s="583"/>
      <c r="AD812" s="251"/>
    </row>
    <row r="813" spans="15:30" x14ac:dyDescent="0.75">
      <c r="O813" s="98"/>
      <c r="T813" s="250"/>
      <c r="U813" s="252">
        <f t="shared" si="157"/>
        <v>44758</v>
      </c>
      <c r="V813" s="6"/>
      <c r="W813" s="580">
        <v>836380</v>
      </c>
      <c r="X813" s="581"/>
      <c r="Y813" s="44">
        <v>3.0000000000000001E-3</v>
      </c>
      <c r="Z813" s="581"/>
      <c r="AA813" s="582">
        <f t="shared" ref="AA813" si="216">+W812-W813</f>
        <v>18736</v>
      </c>
      <c r="AB813" s="581"/>
      <c r="AC813" s="583"/>
      <c r="AD813" s="251"/>
    </row>
    <row r="814" spans="15:30" x14ac:dyDescent="0.75">
      <c r="O814" s="98"/>
      <c r="T814" s="250"/>
      <c r="U814" s="573">
        <f t="shared" si="157"/>
        <v>44759</v>
      </c>
      <c r="V814" s="6"/>
      <c r="W814" s="580">
        <v>761175</v>
      </c>
      <c r="X814" s="581"/>
      <c r="Y814" s="44">
        <v>3.0000000000000001E-3</v>
      </c>
      <c r="Z814" s="581"/>
      <c r="AA814" s="582">
        <f t="shared" ref="AA814" si="217">+W813-W814</f>
        <v>75205</v>
      </c>
      <c r="AB814" s="581"/>
      <c r="AC814" s="583"/>
      <c r="AD814" s="251"/>
    </row>
    <row r="815" spans="15:30" x14ac:dyDescent="0.75">
      <c r="O815" s="98"/>
      <c r="T815" s="250"/>
      <c r="U815" s="252">
        <f t="shared" si="157"/>
        <v>44760</v>
      </c>
      <c r="V815" s="6"/>
      <c r="W815" s="580">
        <v>716175</v>
      </c>
      <c r="X815" s="581"/>
      <c r="Y815" s="44">
        <v>3.0000000000000001E-3</v>
      </c>
      <c r="Z815" s="581"/>
      <c r="AA815" s="582">
        <f t="shared" ref="AA815" si="218">+W814-W815</f>
        <v>45000</v>
      </c>
      <c r="AB815" s="581"/>
      <c r="AC815" s="583"/>
      <c r="AD815" s="251"/>
    </row>
    <row r="816" spans="15:30" x14ac:dyDescent="0.75">
      <c r="O816" s="98"/>
      <c r="T816" s="250"/>
      <c r="U816" s="252">
        <f t="shared" si="157"/>
        <v>44761</v>
      </c>
      <c r="V816" s="6"/>
      <c r="W816" s="580">
        <v>727845</v>
      </c>
      <c r="X816" s="581"/>
      <c r="Y816" s="44">
        <v>3.0000000000000001E-3</v>
      </c>
      <c r="Z816" s="581"/>
      <c r="AA816" s="582">
        <f t="shared" ref="AA816" si="219">+W815-W816</f>
        <v>-11670</v>
      </c>
      <c r="AB816" s="581"/>
      <c r="AC816" s="583"/>
      <c r="AD816" s="251"/>
    </row>
    <row r="817" spans="5:36" x14ac:dyDescent="0.75">
      <c r="O817" s="98"/>
      <c r="T817" s="250"/>
      <c r="U817" s="252">
        <f t="shared" si="157"/>
        <v>44762</v>
      </c>
      <c r="V817" s="6"/>
      <c r="W817" s="580">
        <v>778035</v>
      </c>
      <c r="X817" s="581"/>
      <c r="Y817" s="44">
        <v>3.0000000000000001E-3</v>
      </c>
      <c r="Z817" s="581"/>
      <c r="AA817" s="582">
        <f t="shared" ref="AA817" si="220">+W816-W817</f>
        <v>-50190</v>
      </c>
      <c r="AB817" s="581"/>
      <c r="AC817" s="583"/>
      <c r="AD817" s="251"/>
    </row>
    <row r="818" spans="5:36" x14ac:dyDescent="0.75">
      <c r="O818" s="98"/>
      <c r="T818" s="250"/>
      <c r="U818" s="252">
        <f t="shared" si="157"/>
        <v>44763</v>
      </c>
      <c r="V818" s="6"/>
      <c r="W818" s="580">
        <v>854864</v>
      </c>
      <c r="X818" s="581"/>
      <c r="Y818" s="44">
        <v>3.0000000000000001E-3</v>
      </c>
      <c r="Z818" s="581"/>
      <c r="AA818" s="582">
        <f t="shared" ref="AA818" si="221">+W817-W818</f>
        <v>-76829</v>
      </c>
      <c r="AB818" s="581"/>
      <c r="AC818" s="583"/>
      <c r="AD818" s="251"/>
    </row>
    <row r="819" spans="5:36" x14ac:dyDescent="0.75">
      <c r="O819" s="98"/>
      <c r="T819" s="250"/>
      <c r="U819" s="252">
        <f t="shared" ref="U819:U823" si="222">+U818+1</f>
        <v>44764</v>
      </c>
      <c r="V819" s="6"/>
      <c r="W819" s="580">
        <v>903388</v>
      </c>
      <c r="X819" s="581"/>
      <c r="Y819" s="44">
        <v>3.0000000000000001E-3</v>
      </c>
      <c r="Z819" s="581"/>
      <c r="AA819" s="582">
        <f t="shared" ref="AA819" si="223">+W818-W819</f>
        <v>-48524</v>
      </c>
      <c r="AB819" s="581"/>
      <c r="AC819" s="583"/>
      <c r="AD819" s="251"/>
    </row>
    <row r="820" spans="5:36" x14ac:dyDescent="0.75">
      <c r="O820" s="98"/>
      <c r="T820" s="250"/>
      <c r="U820" s="252">
        <f t="shared" si="222"/>
        <v>44765</v>
      </c>
      <c r="V820" s="6"/>
      <c r="W820" s="580">
        <v>834464</v>
      </c>
      <c r="X820" s="581"/>
      <c r="Y820" s="44">
        <v>3.0000000000000001E-3</v>
      </c>
      <c r="Z820" s="581"/>
      <c r="AA820" s="582">
        <f t="shared" ref="AA820" si="224">+W819-W820</f>
        <v>68924</v>
      </c>
      <c r="AB820" s="581"/>
      <c r="AC820" s="583"/>
      <c r="AD820" s="251"/>
    </row>
    <row r="821" spans="5:36" x14ac:dyDescent="0.75">
      <c r="O821" s="98"/>
      <c r="T821" s="250"/>
      <c r="U821" s="573">
        <f t="shared" si="222"/>
        <v>44766</v>
      </c>
      <c r="V821" s="6"/>
      <c r="W821" s="580">
        <f>+I$36</f>
        <v>749030</v>
      </c>
      <c r="X821" s="581"/>
      <c r="Y821" s="44">
        <v>3.0000000000000001E-3</v>
      </c>
      <c r="Z821" s="581"/>
      <c r="AA821" s="582">
        <f t="shared" ref="AA821" si="225">+W820-W821</f>
        <v>85434</v>
      </c>
      <c r="AB821" s="581"/>
      <c r="AC821" s="583"/>
      <c r="AD821" s="251"/>
    </row>
    <row r="822" spans="5:36" x14ac:dyDescent="0.75">
      <c r="O822" s="98"/>
      <c r="T822" s="250"/>
      <c r="U822" s="252">
        <f t="shared" si="222"/>
        <v>44767</v>
      </c>
      <c r="V822" s="6"/>
      <c r="W822" s="580"/>
      <c r="X822" s="581"/>
      <c r="Y822" s="44"/>
      <c r="Z822" s="581"/>
      <c r="AA822" s="582"/>
      <c r="AB822" s="581"/>
      <c r="AC822" s="583"/>
      <c r="AD822" s="251"/>
    </row>
    <row r="823" spans="5:36" x14ac:dyDescent="0.75">
      <c r="O823" s="98"/>
      <c r="T823" s="250"/>
      <c r="U823" s="252">
        <f t="shared" si="222"/>
        <v>44768</v>
      </c>
      <c r="V823" s="6"/>
      <c r="W823" s="253"/>
      <c r="X823" s="6"/>
      <c r="Y823" s="44"/>
      <c r="Z823" s="6"/>
      <c r="AA823" s="254"/>
      <c r="AB823" s="6"/>
      <c r="AC823" s="258"/>
      <c r="AD823" s="251"/>
    </row>
    <row r="824" spans="5:36" ht="15.5" thickBot="1" x14ac:dyDescent="0.9">
      <c r="O824" s="98"/>
      <c r="T824" s="255"/>
      <c r="U824" s="350">
        <f>+U823+1</f>
        <v>44769</v>
      </c>
      <c r="V824" s="247"/>
      <c r="W824" s="351"/>
      <c r="X824" s="247"/>
      <c r="Y824" s="256"/>
      <c r="Z824" s="247"/>
      <c r="AA824" s="352"/>
      <c r="AB824" s="247"/>
      <c r="AC824" s="353"/>
      <c r="AD824" s="257"/>
    </row>
    <row r="825" spans="5:36" x14ac:dyDescent="0.75">
      <c r="O825" s="98"/>
    </row>
    <row r="826" spans="5:36" x14ac:dyDescent="0.75">
      <c r="O826" s="98"/>
      <c r="P826" s="57"/>
      <c r="Q826" s="57"/>
      <c r="R826" s="57"/>
      <c r="W826" s="56"/>
    </row>
    <row r="827" spans="5:36" x14ac:dyDescent="0.75">
      <c r="O827" s="98"/>
    </row>
    <row r="828" spans="5:36" ht="15.5" thickBot="1" x14ac:dyDescent="0.9">
      <c r="O828" s="98"/>
    </row>
    <row r="829" spans="5:36" ht="16.25" thickTop="1" thickBot="1" x14ac:dyDescent="0.9">
      <c r="Q829" s="441"/>
      <c r="R829" s="442"/>
      <c r="S829" s="442"/>
      <c r="T829" s="442"/>
      <c r="U829" s="442"/>
      <c r="V829" s="442"/>
      <c r="W829" s="442"/>
      <c r="X829" s="442"/>
      <c r="Y829" s="442"/>
      <c r="Z829" s="442"/>
      <c r="AA829" s="442"/>
      <c r="AB829" s="443"/>
    </row>
    <row r="830" spans="5:36" ht="15.5" thickBot="1" x14ac:dyDescent="0.9">
      <c r="E830" s="713" t="s">
        <v>106</v>
      </c>
      <c r="F830" s="714"/>
      <c r="G830" s="714"/>
      <c r="H830" s="714"/>
      <c r="I830" s="714"/>
      <c r="J830" s="714"/>
      <c r="K830" s="714"/>
      <c r="L830" s="714"/>
      <c r="M830" s="715"/>
      <c r="Q830" s="444"/>
      <c r="R830" s="6"/>
      <c r="S830" s="6"/>
      <c r="T830" s="6"/>
      <c r="U830" s="5" t="s">
        <v>132</v>
      </c>
      <c r="V830" s="5"/>
      <c r="W830" s="5"/>
      <c r="X830" s="5"/>
      <c r="Y830" s="5"/>
      <c r="Z830" s="5"/>
      <c r="AA830" s="5" t="s">
        <v>28</v>
      </c>
      <c r="AB830" s="445"/>
    </row>
    <row r="831" spans="5:36" x14ac:dyDescent="0.75">
      <c r="E831" s="395"/>
      <c r="F831" s="396" t="s">
        <v>107</v>
      </c>
      <c r="G831" s="396"/>
      <c r="H831" s="396"/>
      <c r="I831" s="716">
        <v>21477737</v>
      </c>
      <c r="J831" s="716"/>
      <c r="K831" s="716"/>
      <c r="L831" s="716"/>
      <c r="M831" s="397"/>
      <c r="Q831" s="444"/>
      <c r="R831" s="437" t="s">
        <v>134</v>
      </c>
      <c r="S831" s="6"/>
      <c r="T831" s="6"/>
      <c r="U831" s="437" t="s">
        <v>133</v>
      </c>
      <c r="V831" s="5"/>
      <c r="W831" s="437" t="s">
        <v>20</v>
      </c>
      <c r="X831" s="5"/>
      <c r="Y831" s="437" t="s">
        <v>4</v>
      </c>
      <c r="Z831" s="5"/>
      <c r="AA831" s="446" t="s">
        <v>131</v>
      </c>
      <c r="AB831" s="445"/>
    </row>
    <row r="832" spans="5:36" x14ac:dyDescent="0.75">
      <c r="E832" s="395"/>
      <c r="F832" s="396" t="s">
        <v>97</v>
      </c>
      <c r="G832" s="396"/>
      <c r="H832" s="396"/>
      <c r="I832" s="396"/>
      <c r="J832" s="396"/>
      <c r="K832" s="396"/>
      <c r="L832" s="398">
        <f>+I844/I831</f>
        <v>4.5847474526762295E-4</v>
      </c>
      <c r="M832" s="397"/>
      <c r="Q832" s="444"/>
      <c r="R832" s="6" t="s">
        <v>121</v>
      </c>
      <c r="S832" s="6"/>
      <c r="T832" s="6"/>
      <c r="U832" s="7">
        <v>2003</v>
      </c>
      <c r="V832" s="6"/>
      <c r="W832" s="7">
        <v>389666</v>
      </c>
      <c r="X832" s="6"/>
      <c r="Y832" s="7">
        <v>31257</v>
      </c>
      <c r="Z832" s="6"/>
      <c r="AA832" s="253">
        <f>+AJ832</f>
        <v>19500</v>
      </c>
      <c r="AB832" s="445"/>
      <c r="AJ832" s="1">
        <v>19500</v>
      </c>
    </row>
    <row r="833" spans="4:36" x14ac:dyDescent="0.75">
      <c r="E833" s="395"/>
      <c r="F833" s="717" t="s">
        <v>95</v>
      </c>
      <c r="G833" s="717"/>
      <c r="H833" s="396"/>
      <c r="I833" s="396"/>
      <c r="J833" s="396"/>
      <c r="K833" s="396"/>
      <c r="L833" s="399">
        <f>+I844/(I831/100000)</f>
        <v>45.847474526762298</v>
      </c>
      <c r="M833" s="397"/>
      <c r="Q833" s="444"/>
      <c r="R833" s="6" t="s">
        <v>122</v>
      </c>
      <c r="S833" s="6"/>
      <c r="T833" s="6"/>
      <c r="U833" s="7">
        <v>1913</v>
      </c>
      <c r="V833" s="6"/>
      <c r="W833" s="7">
        <v>169892</v>
      </c>
      <c r="X833" s="6"/>
      <c r="Y833" s="7">
        <v>13076</v>
      </c>
      <c r="Z833" s="6"/>
      <c r="AA833" s="253">
        <f t="shared" ref="AA833:AA841" si="226">+AJ833</f>
        <v>8900</v>
      </c>
      <c r="AB833" s="445"/>
      <c r="AJ833" s="1">
        <v>8900</v>
      </c>
    </row>
    <row r="834" spans="4:36" x14ac:dyDescent="0.75">
      <c r="E834" s="395"/>
      <c r="F834" s="400"/>
      <c r="G834" s="400"/>
      <c r="H834" s="396"/>
      <c r="I834" s="396"/>
      <c r="J834" s="396"/>
      <c r="K834" s="396"/>
      <c r="L834" s="399"/>
      <c r="M834" s="397"/>
      <c r="Q834" s="444"/>
      <c r="R834" s="6" t="s">
        <v>123</v>
      </c>
      <c r="S834" s="6"/>
      <c r="T834" s="6"/>
      <c r="U834" s="7">
        <v>1568</v>
      </c>
      <c r="V834" s="6"/>
      <c r="W834" s="7">
        <v>16606</v>
      </c>
      <c r="X834" s="6"/>
      <c r="Y834" s="7">
        <v>912</v>
      </c>
      <c r="Z834" s="6"/>
      <c r="AA834" s="253">
        <f t="shared" si="226"/>
        <v>1100</v>
      </c>
      <c r="AB834" s="445"/>
      <c r="AJ834" s="1">
        <v>1100</v>
      </c>
    </row>
    <row r="835" spans="4:36" x14ac:dyDescent="0.75">
      <c r="E835" s="395"/>
      <c r="F835" s="400" t="s">
        <v>108</v>
      </c>
      <c r="G835" s="400"/>
      <c r="H835" s="717" t="s">
        <v>109</v>
      </c>
      <c r="I835" s="717"/>
      <c r="J835" s="396"/>
      <c r="K835" s="396"/>
      <c r="L835" s="399"/>
      <c r="M835" s="397"/>
      <c r="Q835" s="444"/>
      <c r="R835" s="6" t="s">
        <v>56</v>
      </c>
      <c r="S835" s="6"/>
      <c r="T835" s="6"/>
      <c r="U835" s="7">
        <v>1561</v>
      </c>
      <c r="V835" s="6"/>
      <c r="W835" s="7">
        <v>107611</v>
      </c>
      <c r="X835" s="6"/>
      <c r="Y835" s="7">
        <v>7937</v>
      </c>
      <c r="Z835" s="6"/>
      <c r="AA835" s="253">
        <f t="shared" si="226"/>
        <v>7000</v>
      </c>
      <c r="AB835" s="445"/>
      <c r="AJ835" s="1">
        <v>7000</v>
      </c>
    </row>
    <row r="836" spans="4:36" ht="15.5" thickBot="1" x14ac:dyDescent="0.9">
      <c r="E836" s="401"/>
      <c r="F836" s="402"/>
      <c r="G836" s="402"/>
      <c r="H836" s="402"/>
      <c r="I836" s="402"/>
      <c r="J836" s="402"/>
      <c r="K836" s="402"/>
      <c r="L836" s="402"/>
      <c r="M836" s="403"/>
      <c r="Q836" s="444"/>
      <c r="R836" s="6" t="s">
        <v>128</v>
      </c>
      <c r="S836" s="6"/>
      <c r="T836" s="6"/>
      <c r="U836" s="7">
        <v>1435</v>
      </c>
      <c r="V836" s="6"/>
      <c r="W836" s="7">
        <v>10128</v>
      </c>
      <c r="X836" s="6"/>
      <c r="Y836" s="7">
        <v>541</v>
      </c>
      <c r="Z836" s="6"/>
      <c r="AA836" s="253">
        <f t="shared" si="226"/>
        <v>700</v>
      </c>
      <c r="AB836" s="445"/>
      <c r="AJ836" s="1">
        <v>700</v>
      </c>
    </row>
    <row r="837" spans="4:36" x14ac:dyDescent="0.75">
      <c r="Q837" s="444"/>
      <c r="R837" s="6" t="s">
        <v>124</v>
      </c>
      <c r="S837" s="6"/>
      <c r="T837" s="6"/>
      <c r="U837" s="7">
        <v>1288</v>
      </c>
      <c r="V837" s="6"/>
      <c r="W837" s="7">
        <v>45913</v>
      </c>
      <c r="X837" s="6"/>
      <c r="Y837" s="7">
        <v>4287</v>
      </c>
      <c r="Z837" s="6"/>
      <c r="AA837" s="253">
        <f t="shared" si="226"/>
        <v>3600</v>
      </c>
      <c r="AB837" s="445"/>
      <c r="AJ837" s="1">
        <v>3600</v>
      </c>
    </row>
    <row r="838" spans="4:36" ht="15.5" thickBot="1" x14ac:dyDescent="0.9">
      <c r="D838" s="78"/>
      <c r="E838" s="139"/>
      <c r="F838" s="139"/>
      <c r="G838" s="139"/>
      <c r="H838" s="139"/>
      <c r="I838" s="310"/>
      <c r="J838" s="78"/>
      <c r="K838" s="98"/>
      <c r="L838" s="98"/>
      <c r="M838" s="98"/>
      <c r="N838" s="98"/>
      <c r="Q838" s="444"/>
      <c r="R838" s="6" t="s">
        <v>129</v>
      </c>
      <c r="S838" s="6"/>
      <c r="T838" s="6"/>
      <c r="U838" s="7">
        <v>1129</v>
      </c>
      <c r="V838" s="6"/>
      <c r="W838" s="7">
        <v>52477</v>
      </c>
      <c r="X838" s="6"/>
      <c r="Y838" s="7">
        <v>3152</v>
      </c>
      <c r="Z838" s="6"/>
      <c r="AA838" s="253">
        <f t="shared" si="226"/>
        <v>4600</v>
      </c>
      <c r="AB838" s="445"/>
      <c r="AJ838" s="1">
        <v>4600</v>
      </c>
    </row>
    <row r="839" spans="4:36" ht="16.75" thickBot="1" x14ac:dyDescent="0.95">
      <c r="D839" s="381"/>
      <c r="E839" s="718" t="s">
        <v>119</v>
      </c>
      <c r="F839" s="719"/>
      <c r="G839" s="719"/>
      <c r="H839" s="719"/>
      <c r="I839" s="719"/>
      <c r="J839" s="720"/>
      <c r="K839" s="382"/>
      <c r="L839" s="394" t="s">
        <v>10</v>
      </c>
      <c r="M839" s="383"/>
      <c r="N839" s="98"/>
      <c r="Q839" s="444"/>
      <c r="R839" s="6" t="s">
        <v>125</v>
      </c>
      <c r="S839" s="6"/>
      <c r="T839" s="6"/>
      <c r="U839" s="7">
        <v>1118</v>
      </c>
      <c r="V839" s="6"/>
      <c r="W839" s="7">
        <v>10889</v>
      </c>
      <c r="X839" s="6"/>
      <c r="Y839" s="7">
        <v>505</v>
      </c>
      <c r="Z839" s="6"/>
      <c r="AA839" s="253">
        <f t="shared" si="226"/>
        <v>980</v>
      </c>
      <c r="AB839" s="445"/>
      <c r="AJ839" s="1">
        <v>980</v>
      </c>
    </row>
    <row r="840" spans="4:36" x14ac:dyDescent="0.75">
      <c r="D840" s="360"/>
      <c r="E840" s="384" t="s">
        <v>75</v>
      </c>
      <c r="F840" s="16"/>
      <c r="G840" s="16"/>
      <c r="H840" s="16"/>
      <c r="I840" s="721">
        <f>+K81</f>
        <v>48675</v>
      </c>
      <c r="J840" s="721"/>
      <c r="K840" s="16"/>
      <c r="L840" s="60">
        <f>+I840/$I$840</f>
        <v>1</v>
      </c>
      <c r="M840" s="385"/>
      <c r="N840" s="98"/>
      <c r="Q840" s="444"/>
      <c r="R840" s="6" t="s">
        <v>126</v>
      </c>
      <c r="S840" s="6"/>
      <c r="T840" s="6"/>
      <c r="U840" s="7">
        <v>1093</v>
      </c>
      <c r="V840" s="6"/>
      <c r="W840" s="7">
        <v>138546</v>
      </c>
      <c r="X840" s="6"/>
      <c r="Y840" s="7">
        <v>6770</v>
      </c>
      <c r="Z840" s="6"/>
      <c r="AA840" s="253">
        <f t="shared" si="226"/>
        <v>12700</v>
      </c>
      <c r="AB840" s="445"/>
      <c r="AJ840" s="1">
        <v>12700</v>
      </c>
    </row>
    <row r="841" spans="4:36" x14ac:dyDescent="0.75">
      <c r="D841" s="360"/>
      <c r="E841" s="384"/>
      <c r="F841" s="16"/>
      <c r="G841" s="16"/>
      <c r="H841" s="16"/>
      <c r="I841" s="16"/>
      <c r="J841" s="16"/>
      <c r="K841" s="16"/>
      <c r="L841" s="16"/>
      <c r="M841" s="385"/>
      <c r="N841" s="98"/>
      <c r="Q841" s="444"/>
      <c r="R841" s="6" t="s">
        <v>127</v>
      </c>
      <c r="S841" s="6"/>
      <c r="T841" s="6"/>
      <c r="U841" s="447">
        <v>1081</v>
      </c>
      <c r="V841" s="6"/>
      <c r="W841" s="447">
        <v>65337</v>
      </c>
      <c r="X841" s="6"/>
      <c r="Y841" s="447">
        <v>3108</v>
      </c>
      <c r="Z841" s="6"/>
      <c r="AA841" s="448">
        <f t="shared" si="226"/>
        <v>6100</v>
      </c>
      <c r="AB841" s="445"/>
      <c r="AJ841" s="439">
        <v>6100</v>
      </c>
    </row>
    <row r="842" spans="4:36" x14ac:dyDescent="0.75">
      <c r="D842" s="372"/>
      <c r="E842" s="15"/>
      <c r="F842" s="386" t="s">
        <v>100</v>
      </c>
      <c r="G842" s="386"/>
      <c r="H842" s="15"/>
      <c r="I842" s="722">
        <f>+I81</f>
        <v>36684</v>
      </c>
      <c r="J842" s="723"/>
      <c r="K842" s="15"/>
      <c r="L842" s="60">
        <f>+I842/$I$840</f>
        <v>0.75365177195685673</v>
      </c>
      <c r="M842" s="365"/>
      <c r="N842" s="98"/>
      <c r="Q842" s="444"/>
      <c r="R842" s="5" t="s">
        <v>31</v>
      </c>
      <c r="S842" s="6"/>
      <c r="T842" s="6"/>
      <c r="U842" s="253">
        <f>+W842/(AA842/100)</f>
        <v>1545.0521632402579</v>
      </c>
      <c r="V842" s="6"/>
      <c r="W842" s="253">
        <f>SUM(W832:W841)</f>
        <v>1007065</v>
      </c>
      <c r="X842" s="6"/>
      <c r="Y842" s="253">
        <f>SUM(Y832:Y841)</f>
        <v>71545</v>
      </c>
      <c r="Z842" s="6"/>
      <c r="AA842" s="253">
        <f>SUM(AA832:AA841)</f>
        <v>65180</v>
      </c>
      <c r="AB842" s="445"/>
      <c r="AJ842" s="56">
        <f>SUM(AJ832:AJ841)</f>
        <v>65180</v>
      </c>
    </row>
    <row r="843" spans="4:36" x14ac:dyDescent="0.75">
      <c r="D843" s="372"/>
      <c r="E843" s="15"/>
      <c r="F843" s="15" t="s">
        <v>76</v>
      </c>
      <c r="G843" s="15"/>
      <c r="H843" s="15"/>
      <c r="I843" s="724">
        <f>+I75</f>
        <v>2144</v>
      </c>
      <c r="J843" s="725"/>
      <c r="K843" s="15"/>
      <c r="L843" s="60">
        <f>+I843/$I$840</f>
        <v>4.4047252182845401E-2</v>
      </c>
      <c r="M843" s="365"/>
      <c r="N843" s="98"/>
      <c r="Q843" s="444"/>
      <c r="R843" s="5"/>
      <c r="S843" s="6"/>
      <c r="T843" s="6"/>
      <c r="U843" s="6"/>
      <c r="V843" s="6"/>
      <c r="W843" s="253"/>
      <c r="X843" s="6"/>
      <c r="Y843" s="253"/>
      <c r="Z843" s="6"/>
      <c r="AA843" s="6"/>
      <c r="AB843" s="445"/>
      <c r="AJ843" s="56"/>
    </row>
    <row r="844" spans="4:36" ht="15.5" thickBot="1" x14ac:dyDescent="0.9">
      <c r="D844" s="372"/>
      <c r="E844" s="710" t="s">
        <v>101</v>
      </c>
      <c r="F844" s="710"/>
      <c r="G844" s="710"/>
      <c r="H844" s="15"/>
      <c r="I844" s="711">
        <f>+I840-I842-I843</f>
        <v>9847</v>
      </c>
      <c r="J844" s="712"/>
      <c r="K844" s="387"/>
      <c r="L844" s="388">
        <f>+I844/$I$840</f>
        <v>0.20230097586029788</v>
      </c>
      <c r="M844" s="365"/>
      <c r="N844" s="98"/>
      <c r="Q844" s="444"/>
      <c r="R844" s="5" t="s">
        <v>57</v>
      </c>
      <c r="S844" s="6"/>
      <c r="T844" s="6"/>
      <c r="U844" s="7">
        <v>7441</v>
      </c>
      <c r="V844" s="6"/>
      <c r="W844" s="7">
        <f>+'Main Table'!H106</f>
        <v>3029734</v>
      </c>
      <c r="X844" s="6"/>
      <c r="Y844" s="7">
        <f>+'Main Table'!AA106</f>
        <v>129682</v>
      </c>
      <c r="Z844" s="6"/>
      <c r="AA844" s="253">
        <f>+AJ844</f>
        <v>333000</v>
      </c>
      <c r="AB844" s="445"/>
      <c r="AJ844" s="56">
        <v>333000</v>
      </c>
    </row>
    <row r="845" spans="4:36" ht="16.25" thickTop="1" thickBot="1" x14ac:dyDescent="0.9">
      <c r="D845" s="372"/>
      <c r="E845" s="389"/>
      <c r="F845" s="389"/>
      <c r="G845" s="389"/>
      <c r="H845" s="15"/>
      <c r="I845" s="390"/>
      <c r="J845" s="389"/>
      <c r="K845" s="387"/>
      <c r="L845" s="391"/>
      <c r="M845" s="365"/>
      <c r="N845" s="98"/>
      <c r="Q845" s="444"/>
      <c r="R845" s="5" t="s">
        <v>130</v>
      </c>
      <c r="S845" s="6"/>
      <c r="T845" s="6"/>
      <c r="U845" s="449"/>
      <c r="V845" s="6"/>
      <c r="W845" s="450">
        <f>+W842/W844</f>
        <v>0.33239386692033029</v>
      </c>
      <c r="X845" s="6"/>
      <c r="Y845" s="450">
        <f>+Y842/Y844</f>
        <v>0.55169568637127742</v>
      </c>
      <c r="Z845" s="6"/>
      <c r="AA845" s="450">
        <f>+AA842/AA844</f>
        <v>0.19573573573573574</v>
      </c>
      <c r="AB845" s="445"/>
      <c r="AJ845" s="440">
        <f>+AJ842/AJ844</f>
        <v>0.19573573573573574</v>
      </c>
    </row>
    <row r="846" spans="4:36" ht="16.25" thickTop="1" thickBot="1" x14ac:dyDescent="0.9">
      <c r="D846" s="392"/>
      <c r="E846" s="393"/>
      <c r="F846" s="393"/>
      <c r="G846" s="393"/>
      <c r="H846" s="393"/>
      <c r="I846" s="393"/>
      <c r="J846" s="393"/>
      <c r="K846" s="393"/>
      <c r="L846" s="393"/>
      <c r="M846" s="380"/>
      <c r="N846" s="98"/>
      <c r="Q846" s="451"/>
      <c r="R846" s="452"/>
      <c r="S846" s="452"/>
      <c r="T846" s="452"/>
      <c r="U846" s="452"/>
      <c r="V846" s="452"/>
      <c r="W846" s="452"/>
      <c r="X846" s="452"/>
      <c r="Y846" s="452"/>
      <c r="Z846" s="452"/>
      <c r="AA846" s="452"/>
      <c r="AB846" s="453"/>
    </row>
    <row r="850" spans="6:23" x14ac:dyDescent="0.75">
      <c r="F850" s="1">
        <v>1248371</v>
      </c>
    </row>
    <row r="851" spans="6:23" x14ac:dyDescent="0.75">
      <c r="W851" s="1"/>
    </row>
    <row r="852" spans="6:23" x14ac:dyDescent="0.75">
      <c r="F852">
        <v>700</v>
      </c>
    </row>
    <row r="853" spans="6:23" x14ac:dyDescent="0.75">
      <c r="F853" s="76">
        <f>+F852/F850</f>
        <v>5.6073074430597954E-4</v>
      </c>
    </row>
    <row r="855" spans="6:23" x14ac:dyDescent="0.75">
      <c r="F855" s="1">
        <v>60000</v>
      </c>
    </row>
    <row r="856" spans="6:23" x14ac:dyDescent="0.75">
      <c r="F856">
        <f>+F853*F855</f>
        <v>33.643844658358773</v>
      </c>
    </row>
    <row r="858" spans="6:23" x14ac:dyDescent="0.75">
      <c r="F858" s="1">
        <v>331000000</v>
      </c>
    </row>
    <row r="859" spans="6:23" x14ac:dyDescent="0.75">
      <c r="F859" s="56">
        <f>+W86</f>
        <v>811067</v>
      </c>
    </row>
    <row r="860" spans="6:23" x14ac:dyDescent="0.75">
      <c r="F860" s="57">
        <f>+F859/F858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844:G844"/>
    <mergeCell ref="I844:J844"/>
    <mergeCell ref="E830:M830"/>
    <mergeCell ref="I831:L831"/>
    <mergeCell ref="F833:G833"/>
    <mergeCell ref="E839:J839"/>
    <mergeCell ref="I840:J840"/>
    <mergeCell ref="I842:J842"/>
    <mergeCell ref="I843:J843"/>
    <mergeCell ref="H835:I8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2022-07-26T00:02:39Z</dcterms:modified>
</cp:coreProperties>
</file>