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5AD6B0D-1998-4956-993E-EA6DDF31EAA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69" i="1" l="1"/>
  <c r="AF172" i="1"/>
  <c r="AR152" i="1"/>
  <c r="AP152" i="1"/>
  <c r="Q152" i="1"/>
  <c r="BN151" i="1"/>
  <c r="BN152" i="1" s="1"/>
  <c r="BK151" i="1"/>
  <c r="BK152" i="1" s="1"/>
  <c r="BI151" i="1"/>
  <c r="BI152" i="1" s="1"/>
  <c r="BH151" i="1"/>
  <c r="BH152" i="1" s="1"/>
  <c r="BG151" i="1"/>
  <c r="BG152" i="1" s="1"/>
  <c r="BE151" i="1"/>
  <c r="BE152" i="1" s="1"/>
  <c r="BC151" i="1"/>
  <c r="BC152" i="1" s="1"/>
  <c r="BB151" i="1"/>
  <c r="BB152" i="1" s="1"/>
  <c r="BA151" i="1"/>
  <c r="BA152" i="1" s="1"/>
  <c r="AY151" i="1"/>
  <c r="AY152" i="1" s="1"/>
  <c r="AX151" i="1"/>
  <c r="AX152" i="1" s="1"/>
  <c r="AV151" i="1"/>
  <c r="AV152" i="1" s="1"/>
  <c r="AT151" i="1"/>
  <c r="AT152" i="1" s="1"/>
  <c r="AS151" i="1"/>
  <c r="AS152" i="1" s="1"/>
  <c r="AR151" i="1"/>
  <c r="AP151" i="1"/>
  <c r="AO151" i="1"/>
  <c r="AO152" i="1" s="1"/>
  <c r="AN151" i="1"/>
  <c r="AN152" i="1" s="1"/>
  <c r="AM151" i="1"/>
  <c r="AM152" i="1" s="1"/>
  <c r="AL151" i="1"/>
  <c r="AL152" i="1" s="1"/>
  <c r="AJ151" i="1"/>
  <c r="AJ152" i="1" s="1"/>
  <c r="AI151" i="1"/>
  <c r="AI152" i="1" s="1"/>
  <c r="AF151" i="1"/>
  <c r="AF152" i="1" s="1"/>
  <c r="AE151" i="1"/>
  <c r="AE152" i="1" s="1"/>
  <c r="AC151" i="1"/>
  <c r="AC152" i="1" s="1"/>
  <c r="AA151" i="1"/>
  <c r="AA152" i="1" s="1"/>
  <c r="Y151" i="1"/>
  <c r="Y152" i="1" s="1"/>
  <c r="X151" i="1"/>
  <c r="X152" i="1" s="1"/>
  <c r="W151" i="1"/>
  <c r="W152" i="1" s="1"/>
  <c r="V151" i="1"/>
  <c r="V152" i="1" s="1"/>
  <c r="T151" i="1"/>
  <c r="T152" i="1" s="1"/>
  <c r="S151" i="1"/>
  <c r="S152" i="1" s="1"/>
  <c r="Q151" i="1"/>
  <c r="O151" i="1"/>
  <c r="O152" i="1" s="1"/>
  <c r="M151" i="1"/>
  <c r="M152" i="1" s="1"/>
  <c r="L151" i="1"/>
  <c r="L152" i="1" s="1"/>
  <c r="K151" i="1"/>
  <c r="K152" i="1" s="1"/>
  <c r="I151" i="1"/>
  <c r="I152" i="1" s="1"/>
  <c r="D151" i="1"/>
  <c r="D152" i="1" s="1"/>
  <c r="BD145" i="1"/>
  <c r="BD151" i="1" s="1"/>
  <c r="BD152" i="1" s="1"/>
  <c r="AZ145" i="1"/>
  <c r="AZ151" i="1" s="1"/>
  <c r="AZ152" i="1" s="1"/>
  <c r="AK145" i="1"/>
  <c r="AQ145" i="1" s="1"/>
  <c r="AQ151" i="1" s="1"/>
  <c r="AF145" i="1"/>
  <c r="P145" i="1"/>
  <c r="P151" i="1" s="1"/>
  <c r="P152" i="1" s="1"/>
  <c r="S153" i="2"/>
  <c r="R153" i="2"/>
  <c r="Q153" i="2"/>
  <c r="P153" i="2"/>
  <c r="O153" i="2"/>
  <c r="N153" i="2"/>
  <c r="L153" i="2"/>
  <c r="J153" i="2"/>
  <c r="I153" i="2"/>
  <c r="H153" i="2"/>
  <c r="G153" i="2"/>
  <c r="E153" i="2"/>
  <c r="S146" i="2"/>
  <c r="K146" i="2"/>
  <c r="Q146" i="2" s="1"/>
  <c r="BD144" i="1"/>
  <c r="AZ144" i="1"/>
  <c r="AK144" i="1"/>
  <c r="AF144" i="1"/>
  <c r="P144" i="1"/>
  <c r="W145" i="2"/>
  <c r="W146" i="2" s="1"/>
  <c r="W147" i="2" s="1"/>
  <c r="W148" i="2" s="1"/>
  <c r="W149" i="2" s="1"/>
  <c r="W150" i="2" s="1"/>
  <c r="W151" i="2" s="1"/>
  <c r="S145" i="2"/>
  <c r="K145" i="2"/>
  <c r="M145" i="2" s="1"/>
  <c r="C145" i="2"/>
  <c r="C146" i="2" s="1"/>
  <c r="C147" i="2" s="1"/>
  <c r="C148" i="2" s="1"/>
  <c r="C149" i="2" s="1"/>
  <c r="C150" i="2" s="1"/>
  <c r="C151" i="2" s="1"/>
  <c r="BD143" i="1"/>
  <c r="AZ143" i="1"/>
  <c r="AK143" i="1"/>
  <c r="AQ143" i="1" s="1"/>
  <c r="P143" i="1"/>
  <c r="S144" i="2"/>
  <c r="K144" i="2"/>
  <c r="AK151" i="1" l="1"/>
  <c r="AK152" i="1" s="1"/>
  <c r="BF145" i="1"/>
  <c r="BF151" i="1" s="1"/>
  <c r="BF152" i="1" s="1"/>
  <c r="K153" i="2"/>
  <c r="U146" i="2"/>
  <c r="M146" i="2"/>
  <c r="M153" i="2" s="1"/>
  <c r="BF144" i="1"/>
  <c r="AQ144" i="1"/>
  <c r="AQ152" i="1" s="1"/>
  <c r="AH144" i="1"/>
  <c r="Q145" i="2"/>
  <c r="U145" i="2"/>
  <c r="BF143" i="1"/>
  <c r="U144" i="2"/>
  <c r="M144" i="2"/>
  <c r="BD142" i="1"/>
  <c r="AZ142" i="1"/>
  <c r="AK142" i="1"/>
  <c r="AQ142" i="1" s="1"/>
  <c r="AF142" i="1"/>
  <c r="AH142" i="1" s="1"/>
  <c r="P142" i="1"/>
  <c r="S143" i="2"/>
  <c r="K143" i="2"/>
  <c r="BD141" i="1"/>
  <c r="BF141" i="1" s="1"/>
  <c r="AZ141" i="1"/>
  <c r="AK141" i="1"/>
  <c r="AQ141" i="1" s="1"/>
  <c r="AF141" i="1"/>
  <c r="AH141" i="1" s="1"/>
  <c r="P141" i="1"/>
  <c r="S142" i="2"/>
  <c r="K142" i="2"/>
  <c r="Q143" i="2" l="1"/>
  <c r="Q144" i="2"/>
  <c r="BF142" i="1"/>
  <c r="U143" i="2"/>
  <c r="M143" i="2"/>
  <c r="U142" i="2"/>
  <c r="S141" i="2"/>
  <c r="BD140" i="1" l="1"/>
  <c r="AZ140" i="1"/>
  <c r="AK140" i="1"/>
  <c r="AF140" i="1"/>
  <c r="AH140" i="1" s="1"/>
  <c r="P140" i="1"/>
  <c r="K141" i="2"/>
  <c r="S140" i="2"/>
  <c r="V114" i="1"/>
  <c r="AF174" i="1" s="1"/>
  <c r="AH143" i="1" l="1"/>
  <c r="AQ169" i="1"/>
  <c r="M142" i="2"/>
  <c r="Q142" i="2"/>
  <c r="AQ140" i="1"/>
  <c r="BF140" i="1"/>
  <c r="U141" i="2"/>
  <c r="BD139" i="1" l="1"/>
  <c r="AZ139" i="1"/>
  <c r="BJ145" i="1" s="1"/>
  <c r="AK139" i="1"/>
  <c r="AF139" i="1"/>
  <c r="P139" i="1"/>
  <c r="K140" i="2"/>
  <c r="U94" i="3"/>
  <c r="U95" i="3" s="1"/>
  <c r="U96" i="3" s="1"/>
  <c r="U97" i="3" s="1"/>
  <c r="U98" i="3" s="1"/>
  <c r="U99" i="3" s="1"/>
  <c r="U100" i="3" s="1"/>
  <c r="U101" i="3" s="1"/>
  <c r="BJ151" i="1" l="1"/>
  <c r="BL145" i="1"/>
  <c r="BL151" i="1" s="1"/>
  <c r="Q141" i="2"/>
  <c r="M141" i="2"/>
  <c r="AQ139" i="1"/>
  <c r="AH139" i="1"/>
  <c r="BF139" i="1"/>
  <c r="U140" i="2"/>
  <c r="S139" i="2" l="1"/>
  <c r="AF173" i="1" l="1"/>
  <c r="U110" i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51" i="1" s="1"/>
  <c r="U152" i="1" s="1"/>
  <c r="G151" i="1" l="1"/>
  <c r="G152" i="1" s="1"/>
  <c r="F151" i="1"/>
  <c r="F152" i="1" s="1"/>
  <c r="E151" i="1"/>
  <c r="E152" i="1" s="1"/>
  <c r="BD138" i="1"/>
  <c r="AZ138" i="1"/>
  <c r="BJ144" i="1" s="1"/>
  <c r="AK138" i="1"/>
  <c r="AF138" i="1"/>
  <c r="AH145" i="1" s="1"/>
  <c r="AH151" i="1" s="1"/>
  <c r="AH152" i="1" s="1"/>
  <c r="P138" i="1"/>
  <c r="R145" i="1" s="1"/>
  <c r="R151" i="1" s="1"/>
  <c r="K139" i="2"/>
  <c r="BD137" i="1"/>
  <c r="AZ137" i="1"/>
  <c r="AK137" i="1"/>
  <c r="AQ137" i="1" s="1"/>
  <c r="P137" i="1"/>
  <c r="R144" i="1" s="1"/>
  <c r="BL144" i="1" l="1"/>
  <c r="BL152" i="1" s="1"/>
  <c r="BJ152" i="1"/>
  <c r="R152" i="1"/>
  <c r="BJ143" i="1"/>
  <c r="BL143" i="1" s="1"/>
  <c r="Q140" i="2"/>
  <c r="M140" i="2"/>
  <c r="AQ138" i="1"/>
  <c r="BF138" i="1"/>
  <c r="U139" i="2"/>
  <c r="BF137" i="1"/>
  <c r="S138" i="2" l="1"/>
  <c r="U138" i="2" s="1"/>
  <c r="K138" i="2"/>
  <c r="BD136" i="1"/>
  <c r="AZ136" i="1"/>
  <c r="BJ142" i="1" s="1"/>
  <c r="BL142" i="1" s="1"/>
  <c r="AK136" i="1"/>
  <c r="AQ136" i="1" s="1"/>
  <c r="P136" i="1"/>
  <c r="R143" i="1" s="1"/>
  <c r="Q138" i="2" l="1"/>
  <c r="M139" i="2"/>
  <c r="Q139" i="2"/>
  <c r="M138" i="2"/>
  <c r="BF136" i="1"/>
  <c r="BD135" i="1"/>
  <c r="AZ135" i="1"/>
  <c r="BJ141" i="1" s="1"/>
  <c r="BL141" i="1" s="1"/>
  <c r="AK135" i="1"/>
  <c r="AQ135" i="1" s="1"/>
  <c r="P135" i="1"/>
  <c r="R142" i="1" s="1"/>
  <c r="S136" i="2"/>
  <c r="K136" i="2"/>
  <c r="BF135" i="1" l="1"/>
  <c r="U136" i="2"/>
  <c r="S135" i="2"/>
  <c r="BD134" i="1" l="1"/>
  <c r="AZ134" i="1"/>
  <c r="BJ140" i="1" s="1"/>
  <c r="BL140" i="1" s="1"/>
  <c r="AK134" i="1"/>
  <c r="AQ134" i="1" s="1"/>
  <c r="P134" i="1"/>
  <c r="R141" i="1" s="1"/>
  <c r="K135" i="2"/>
  <c r="S134" i="2"/>
  <c r="BD133" i="1"/>
  <c r="AZ133" i="1"/>
  <c r="AK133" i="1"/>
  <c r="AQ133" i="1" s="1"/>
  <c r="P133" i="1"/>
  <c r="R140" i="1" s="1"/>
  <c r="K134" i="2"/>
  <c r="Q135" i="2" l="1"/>
  <c r="M136" i="2"/>
  <c r="Q136" i="2"/>
  <c r="BJ139" i="1"/>
  <c r="BF134" i="1"/>
  <c r="U135" i="2"/>
  <c r="M135" i="2"/>
  <c r="BF133" i="1"/>
  <c r="U134" i="2"/>
  <c r="D178" i="1"/>
  <c r="S133" i="2"/>
  <c r="BL139" i="1" l="1"/>
  <c r="V24" i="1"/>
  <c r="V25" i="1"/>
  <c r="BD132" i="1"/>
  <c r="AZ132" i="1"/>
  <c r="BJ138" i="1" s="1"/>
  <c r="AK132" i="1"/>
  <c r="AQ132" i="1" s="1"/>
  <c r="P132" i="1"/>
  <c r="R139" i="1" s="1"/>
  <c r="K133" i="2"/>
  <c r="M134" i="2" l="1"/>
  <c r="Q134" i="2"/>
  <c r="BL138" i="1"/>
  <c r="BF132" i="1"/>
  <c r="U133" i="2"/>
  <c r="AQ172" i="1" l="1"/>
  <c r="S132" i="2"/>
  <c r="K132" i="2"/>
  <c r="BD131" i="1"/>
  <c r="AZ131" i="1"/>
  <c r="AK131" i="1"/>
  <c r="AQ131" i="1" s="1"/>
  <c r="AF131" i="1"/>
  <c r="AH138" i="1" s="1"/>
  <c r="P131" i="1"/>
  <c r="R138" i="1" s="1"/>
  <c r="BD130" i="1"/>
  <c r="AZ130" i="1"/>
  <c r="AK130" i="1"/>
  <c r="AQ130" i="1" s="1"/>
  <c r="P130" i="1"/>
  <c r="K131" i="2"/>
  <c r="Q131" i="2" s="1"/>
  <c r="K130" i="2"/>
  <c r="U130" i="2" s="1"/>
  <c r="S129" i="2"/>
  <c r="R137" i="1" l="1"/>
  <c r="Q133" i="2"/>
  <c r="M133" i="2"/>
  <c r="U132" i="2"/>
  <c r="U131" i="2"/>
  <c r="M132" i="2"/>
  <c r="M131" i="2"/>
  <c r="Q132" i="2"/>
  <c r="BF131" i="1"/>
  <c r="BF130" i="1"/>
  <c r="BD129" i="1" l="1"/>
  <c r="AZ129" i="1"/>
  <c r="AK129" i="1"/>
  <c r="AQ129" i="1" s="1"/>
  <c r="P129" i="1"/>
  <c r="K129" i="2"/>
  <c r="R136" i="1" l="1"/>
  <c r="Q130" i="2"/>
  <c r="M130" i="2"/>
  <c r="BF129" i="1"/>
  <c r="U129" i="2"/>
  <c r="BD128" i="1"/>
  <c r="AZ128" i="1"/>
  <c r="AK128" i="1"/>
  <c r="AQ128" i="1" s="1"/>
  <c r="P128" i="1"/>
  <c r="R135" i="1" s="1"/>
  <c r="S128" i="2"/>
  <c r="BF128" i="1" l="1"/>
  <c r="BD127" i="1" l="1"/>
  <c r="AZ127" i="1"/>
  <c r="AK127" i="1"/>
  <c r="AQ127" i="1" s="1"/>
  <c r="P127" i="1"/>
  <c r="R134" i="1" s="1"/>
  <c r="K128" i="2"/>
  <c r="Q128" i="2" l="1"/>
  <c r="Q129" i="2"/>
  <c r="M129" i="2"/>
  <c r="BF127" i="1"/>
  <c r="U128" i="2"/>
  <c r="S127" i="2"/>
  <c r="BD126" i="1"/>
  <c r="AZ126" i="1"/>
  <c r="AK126" i="1"/>
  <c r="AQ126" i="1" s="1"/>
  <c r="P126" i="1"/>
  <c r="R133" i="1" s="1"/>
  <c r="K127" i="2"/>
  <c r="M128" i="2" s="1"/>
  <c r="S126" i="2"/>
  <c r="BF126" i="1" l="1"/>
  <c r="U127" i="2"/>
  <c r="BD125" i="1" l="1"/>
  <c r="AZ125" i="1"/>
  <c r="BJ131" i="1" s="1"/>
  <c r="BL131" i="1" s="1"/>
  <c r="AK125" i="1"/>
  <c r="AQ125" i="1" s="1"/>
  <c r="P125" i="1"/>
  <c r="R132" i="1" s="1"/>
  <c r="K126" i="2"/>
  <c r="M127" i="2" l="1"/>
  <c r="Q127" i="2"/>
  <c r="BF125" i="1"/>
  <c r="U126" i="2"/>
  <c r="S125" i="2" l="1"/>
  <c r="AG114" i="1"/>
  <c r="AQ168" i="1" s="1"/>
  <c r="AG113" i="1"/>
  <c r="AO168" i="1" s="1"/>
  <c r="BD124" i="1"/>
  <c r="AZ124" i="1"/>
  <c r="AK124" i="1"/>
  <c r="AF124" i="1"/>
  <c r="AH131" i="1" s="1"/>
  <c r="K125" i="2"/>
  <c r="S124" i="2"/>
  <c r="AU168" i="1" l="1"/>
  <c r="AG115" i="1"/>
  <c r="Q126" i="2"/>
  <c r="M126" i="2"/>
  <c r="BF124" i="1"/>
  <c r="AQ124" i="1"/>
  <c r="U125" i="2"/>
  <c r="BD123" i="1" l="1"/>
  <c r="AZ123" i="1"/>
  <c r="AK123" i="1"/>
  <c r="AQ123" i="1" s="1"/>
  <c r="K124" i="2"/>
  <c r="M125" i="2" l="1"/>
  <c r="Q125" i="2"/>
  <c r="BF123" i="1"/>
  <c r="U124" i="2"/>
  <c r="S123" i="2"/>
  <c r="BD122" i="1" l="1"/>
  <c r="AZ122" i="1"/>
  <c r="AK122" i="1"/>
  <c r="AQ122" i="1" s="1"/>
  <c r="K123" i="2"/>
  <c r="M124" i="2" l="1"/>
  <c r="Q124" i="2"/>
  <c r="BF122" i="1"/>
  <c r="U123" i="2"/>
  <c r="M123" i="2"/>
  <c r="S122" i="2"/>
  <c r="D185" i="1"/>
  <c r="BD121" i="1"/>
  <c r="AZ121" i="1"/>
  <c r="AK121" i="1"/>
  <c r="AQ121" i="1" s="1"/>
  <c r="K122" i="2"/>
  <c r="Q123" i="2" l="1"/>
  <c r="BF121" i="1"/>
  <c r="U122" i="2"/>
  <c r="E121" i="2" l="1"/>
  <c r="S121" i="2"/>
  <c r="BD120" i="1" l="1"/>
  <c r="AZ120" i="1"/>
  <c r="AK120" i="1"/>
  <c r="AQ120" i="1" s="1"/>
  <c r="K121" i="2"/>
  <c r="M122" i="2" l="1"/>
  <c r="Q122" i="2"/>
  <c r="BF120" i="1"/>
  <c r="U121" i="2"/>
  <c r="D118" i="1" l="1"/>
  <c r="D116" i="1"/>
  <c r="AG145" i="1" s="1"/>
  <c r="AG151" i="1" s="1"/>
  <c r="D115" i="1"/>
  <c r="AG144" i="1" s="1"/>
  <c r="AG152" i="1" s="1"/>
  <c r="D114" i="1"/>
  <c r="AG139" i="1" l="1"/>
  <c r="AG143" i="1"/>
  <c r="AG142" i="1"/>
  <c r="AG141" i="1"/>
  <c r="AG140" i="1"/>
  <c r="AG138" i="1"/>
  <c r="AG131" i="1"/>
  <c r="P124" i="1"/>
  <c r="R131" i="1" s="1"/>
  <c r="P123" i="1"/>
  <c r="R130" i="1" s="1"/>
  <c r="AG124" i="1"/>
  <c r="P120" i="1"/>
  <c r="P121" i="1"/>
  <c r="P122" i="1"/>
  <c r="R129" i="1" s="1"/>
  <c r="S120" i="2"/>
  <c r="AU169" i="1" l="1"/>
  <c r="R127" i="1"/>
  <c r="R128" i="1"/>
  <c r="BD119" i="1"/>
  <c r="AZ119" i="1"/>
  <c r="AK119" i="1"/>
  <c r="AQ119" i="1" s="1"/>
  <c r="P119" i="1"/>
  <c r="R126" i="1" s="1"/>
  <c r="K120" i="2"/>
  <c r="Q121" i="2" l="1"/>
  <c r="M121" i="2"/>
  <c r="BF119" i="1"/>
  <c r="U120" i="2"/>
  <c r="S119" i="2"/>
  <c r="BD118" i="1" l="1"/>
  <c r="AZ118" i="1"/>
  <c r="AK118" i="1"/>
  <c r="AQ118" i="1" s="1"/>
  <c r="P118" i="1"/>
  <c r="R125" i="1" s="1"/>
  <c r="K119" i="2"/>
  <c r="Q120" i="2" l="1"/>
  <c r="M120" i="2"/>
  <c r="BJ124" i="1"/>
  <c r="BL124" i="1" s="1"/>
  <c r="BF118" i="1"/>
  <c r="U119" i="2"/>
  <c r="S118" i="2" l="1"/>
  <c r="K118" i="2"/>
  <c r="BD117" i="1"/>
  <c r="AZ117" i="1"/>
  <c r="AK117" i="1"/>
  <c r="AQ117" i="1" s="1"/>
  <c r="AF117" i="1"/>
  <c r="P117" i="1"/>
  <c r="R124" i="1" s="1"/>
  <c r="Q119" i="2" l="1"/>
  <c r="M119" i="2"/>
  <c r="AH124" i="1"/>
  <c r="U118" i="2"/>
  <c r="M118" i="2"/>
  <c r="BF117" i="1"/>
  <c r="BD116" i="1"/>
  <c r="AZ116" i="1"/>
  <c r="AK116" i="1"/>
  <c r="AQ116" i="1" s="1"/>
  <c r="S117" i="2"/>
  <c r="K117" i="2"/>
  <c r="S116" i="2"/>
  <c r="K116" i="2"/>
  <c r="BD115" i="1"/>
  <c r="AZ115" i="1"/>
  <c r="AK115" i="1"/>
  <c r="AQ115" i="1" s="1"/>
  <c r="S115" i="2"/>
  <c r="Q117" i="2" l="1"/>
  <c r="Q118" i="2"/>
  <c r="BF116" i="1"/>
  <c r="U117" i="2"/>
  <c r="M117" i="2"/>
  <c r="U116" i="2"/>
  <c r="BF115" i="1"/>
  <c r="BD114" i="1" l="1"/>
  <c r="AZ114" i="1"/>
  <c r="AK114" i="1"/>
  <c r="AQ114" i="1" s="1"/>
  <c r="K115" i="2"/>
  <c r="S114" i="2"/>
  <c r="Q116" i="2" l="1"/>
  <c r="M116" i="2"/>
  <c r="U115" i="2"/>
  <c r="BF114" i="1"/>
  <c r="BD113" i="1" l="1"/>
  <c r="AZ113" i="1"/>
  <c r="AK113" i="1"/>
  <c r="K114" i="2"/>
  <c r="M115" i="2" l="1"/>
  <c r="Q115" i="2"/>
  <c r="AQ113" i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S111" i="2"/>
  <c r="AO110" i="1"/>
  <c r="BB110" i="1"/>
  <c r="K111" i="2"/>
  <c r="Q112" i="2" s="1"/>
  <c r="BD110" i="1"/>
  <c r="AF110" i="1"/>
  <c r="AH117" i="1" s="1"/>
  <c r="P110" i="1"/>
  <c r="R117" i="1" s="1"/>
  <c r="BD109" i="1"/>
  <c r="AZ109" i="1"/>
  <c r="AK109" i="1"/>
  <c r="AQ109" i="1" s="1"/>
  <c r="S110" i="2"/>
  <c r="K110" i="2"/>
  <c r="S109" i="2"/>
  <c r="Q111" i="2" l="1"/>
  <c r="M112" i="2"/>
  <c r="AZ111" i="1"/>
  <c r="BJ117" i="1" s="1"/>
  <c r="BL117" i="1" s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19" i="3"/>
  <c r="AA118" i="3"/>
  <c r="AA117" i="3"/>
  <c r="AA116" i="3"/>
  <c r="AA115" i="3"/>
  <c r="AA114" i="3"/>
  <c r="AA113" i="3"/>
  <c r="AA112" i="3"/>
  <c r="AA111" i="3"/>
  <c r="AA110" i="3"/>
  <c r="AA120" i="3" s="1"/>
  <c r="AA123" i="3" s="1"/>
  <c r="AJ120" i="3"/>
  <c r="AJ123" i="3" s="1"/>
  <c r="Y120" i="3"/>
  <c r="W120" i="3"/>
  <c r="S107" i="2"/>
  <c r="U120" i="3" l="1"/>
  <c r="Q109" i="2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P75" i="1"/>
  <c r="P61" i="1"/>
  <c r="P54" i="1"/>
  <c r="R54" i="1" s="1"/>
  <c r="P47" i="1"/>
  <c r="P48" i="1" s="1"/>
  <c r="P40" i="1"/>
  <c r="P33" i="1"/>
  <c r="BD89" i="1"/>
  <c r="AZ89" i="1"/>
  <c r="AK89" i="1"/>
  <c r="AQ89" i="1" s="1"/>
  <c r="AF89" i="1"/>
  <c r="AH96" i="1" s="1"/>
  <c r="P89" i="1"/>
  <c r="R82" i="1" l="1"/>
  <c r="R89" i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31" i="3"/>
  <c r="F134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AF82" i="1" l="1"/>
  <c r="AG78" i="1"/>
  <c r="AF84" i="1" s="1"/>
  <c r="AH82" i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AQ167" i="1" l="1"/>
  <c r="U81" i="2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AK76" i="1"/>
  <c r="AQ76" i="1" s="1"/>
  <c r="S77" i="2"/>
  <c r="K77" i="2"/>
  <c r="Q78" i="2" s="1"/>
  <c r="BJ82" i="1" l="1"/>
  <c r="BJ83" i="1"/>
  <c r="M78" i="2"/>
  <c r="BL82" i="1"/>
  <c r="BJ154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6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K68" i="2"/>
  <c r="M69" i="2" s="1"/>
  <c r="BD67" i="1"/>
  <c r="AZ67" i="1"/>
  <c r="AK67" i="1"/>
  <c r="P68" i="1" l="1"/>
  <c r="AF83" i="1"/>
  <c r="R68" i="1"/>
  <c r="R75" i="1"/>
  <c r="Q69" i="2"/>
  <c r="AQ67" i="1"/>
  <c r="U68" i="2"/>
  <c r="BF67" i="1"/>
  <c r="AF85" i="1" l="1"/>
  <c r="AO167" i="1"/>
  <c r="AU167" i="1" s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121" i="3" l="1"/>
  <c r="I118" i="3"/>
  <c r="L118" i="3" s="1"/>
  <c r="I78" i="3"/>
  <c r="I80" i="3" s="1"/>
  <c r="I77" i="3"/>
  <c r="BD64" i="1"/>
  <c r="AZ64" i="1"/>
  <c r="AK64" i="1"/>
  <c r="AQ64" i="1" s="1"/>
  <c r="K65" i="2"/>
  <c r="Y19" i="3"/>
  <c r="Q66" i="2" l="1"/>
  <c r="M66" i="2"/>
  <c r="L121" i="3"/>
  <c r="I79" i="3"/>
  <c r="I81" i="3" s="1"/>
  <c r="I82" i="3" s="1"/>
  <c r="BF64" i="1"/>
  <c r="U65" i="2"/>
  <c r="S64" i="2"/>
  <c r="N81" i="3" l="1"/>
  <c r="N82" i="3" s="1"/>
  <c r="I120" i="3"/>
  <c r="L120" i="3" s="1"/>
  <c r="K64" i="2"/>
  <c r="BD63" i="1"/>
  <c r="AZ63" i="1"/>
  <c r="AK63" i="1"/>
  <c r="AQ63" i="1" s="1"/>
  <c r="Y18" i="3"/>
  <c r="Q65" i="2" l="1"/>
  <c r="M65" i="2"/>
  <c r="I122" i="3"/>
  <c r="P104" i="3" s="1"/>
  <c r="U64" i="2"/>
  <c r="BF63" i="1"/>
  <c r="L111" i="3" l="1"/>
  <c r="L122" i="3"/>
  <c r="L110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53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102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65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53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1" i="2" l="1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W115" i="2" s="1"/>
  <c r="W116" i="2" s="1"/>
  <c r="W117" i="2" s="1"/>
  <c r="W118" i="2" s="1"/>
  <c r="W119" i="2" s="1"/>
  <c r="W120" i="2" s="1"/>
  <c r="W121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W122" i="2" l="1"/>
  <c r="W123" i="2" s="1"/>
  <c r="W124" i="2" s="1"/>
  <c r="W125" i="2" s="1"/>
  <c r="W126" i="2" s="1"/>
  <c r="W127" i="2" s="1"/>
  <c r="BV15" i="1"/>
  <c r="AW14" i="1"/>
  <c r="AJ27" i="2"/>
  <c r="AH31" i="2"/>
  <c r="BF50" i="1"/>
  <c r="W128" i="2" l="1"/>
  <c r="W129" i="2" s="1"/>
  <c r="W130" i="2" s="1"/>
  <c r="W131" i="2" s="1"/>
  <c r="W132" i="2" s="1"/>
  <c r="W133" i="2" s="1"/>
  <c r="W134" i="2" s="1"/>
  <c r="BV16" i="1"/>
  <c r="AW15" i="1"/>
  <c r="AJ31" i="2"/>
  <c r="AH16" i="2" s="1"/>
  <c r="BD49" i="1"/>
  <c r="AZ49" i="1"/>
  <c r="AK49" i="1"/>
  <c r="AQ49" i="1" s="1"/>
  <c r="W135" i="2" l="1"/>
  <c r="W136" i="2" s="1"/>
  <c r="W137" i="2" s="1"/>
  <c r="W138" i="2" s="1"/>
  <c r="BV17" i="1"/>
  <c r="AW16" i="1"/>
  <c r="BF49" i="1"/>
  <c r="W139" i="2" l="1"/>
  <c r="W140" i="2" s="1"/>
  <c r="W141" i="2" s="1"/>
  <c r="W142" i="2" s="1"/>
  <c r="W143" i="2" s="1"/>
  <c r="W144" i="2" s="1"/>
  <c r="BV18" i="1"/>
  <c r="AW17" i="1"/>
  <c r="BD48" i="1"/>
  <c r="AZ48" i="1"/>
  <c r="BJ54" i="1" s="1"/>
  <c r="AK48" i="1"/>
  <c r="AQ48" i="1" s="1"/>
  <c r="B204" i="1"/>
  <c r="B207" i="1"/>
  <c r="BL54" i="1" l="1"/>
  <c r="BJ160" i="1" s="1"/>
  <c r="BJ155" i="1"/>
  <c r="BJ157" i="1" s="1"/>
  <c r="BV19" i="1"/>
  <c r="AW18" i="1"/>
  <c r="BF48" i="1"/>
  <c r="BD47" i="1"/>
  <c r="AZ47" i="1"/>
  <c r="AK47" i="1"/>
  <c r="AQ47" i="1" s="1"/>
  <c r="BJ162" i="1" l="1"/>
  <c r="BJ159" i="1"/>
  <c r="BV20" i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BD26" i="1"/>
  <c r="AK26" i="1"/>
  <c r="AQ26" i="1" s="1"/>
  <c r="BV42" i="1" l="1"/>
  <c r="BM42" i="1" s="1"/>
  <c r="AW41" i="1"/>
  <c r="V23" i="1"/>
  <c r="V22" i="1"/>
  <c r="AG51" i="1" s="1"/>
  <c r="V21" i="1"/>
  <c r="V20" i="1"/>
  <c r="AF26" i="1" s="1"/>
  <c r="AH33" i="1" s="1"/>
  <c r="V17" i="1"/>
  <c r="V13" i="1"/>
  <c r="V12" i="1"/>
  <c r="V10" i="1"/>
  <c r="AQ166" i="1" l="1"/>
  <c r="BV43" i="1"/>
  <c r="BM43" i="1" s="1"/>
  <c r="AW42" i="1"/>
  <c r="BD24" i="1"/>
  <c r="BB24" i="1"/>
  <c r="AQ171" i="1" l="1"/>
  <c r="AQ173" i="1" s="1"/>
  <c r="AU173" i="1" s="1"/>
  <c r="BV44" i="1"/>
  <c r="BM44" i="1" s="1"/>
  <c r="AW43" i="1"/>
  <c r="BO24" i="1"/>
  <c r="AK25" i="1"/>
  <c r="AQ25" i="1" s="1"/>
  <c r="BD25" i="1"/>
  <c r="BB25" i="1"/>
  <c r="BB26" i="1" s="1"/>
  <c r="AZ27" i="1" s="1"/>
  <c r="BJ51" i="1" s="1"/>
  <c r="BV45" i="1" l="1"/>
  <c r="BM45" i="1" s="1"/>
  <c r="AW44" i="1"/>
  <c r="BO25" i="1"/>
  <c r="BQ24" i="1"/>
  <c r="AK24" i="1"/>
  <c r="AQ24" i="1" s="1"/>
  <c r="D23" i="1"/>
  <c r="AK23" i="1"/>
  <c r="AQ23" i="1" s="1"/>
  <c r="P26" i="1" l="1"/>
  <c r="R33" i="1" s="1"/>
  <c r="AG50" i="1"/>
  <c r="BV46" i="1"/>
  <c r="BM46" i="1" s="1"/>
  <c r="AW45" i="1"/>
  <c r="BQ25" i="1"/>
  <c r="BO26" i="1"/>
  <c r="AO166" i="1" l="1"/>
  <c r="AU166" i="1" s="1"/>
  <c r="AG49" i="1"/>
  <c r="BV47" i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J22" i="1"/>
  <c r="H22" i="1"/>
  <c r="N22" i="1" s="1"/>
  <c r="AU21" i="1"/>
  <c r="AD23" i="1" l="1"/>
  <c r="Z24" i="1"/>
  <c r="BV68" i="1"/>
  <c r="AW67" i="1"/>
  <c r="BM67" i="1"/>
  <c r="BM66" i="1"/>
  <c r="AW66" i="1"/>
  <c r="AB22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BV122" i="1" s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AW122" i="1" l="1"/>
  <c r="BV123" i="1"/>
  <c r="BM122" i="1"/>
  <c r="BM121" i="1"/>
  <c r="AW121" i="1"/>
  <c r="BQ96" i="1"/>
  <c r="BO97" i="1"/>
  <c r="BQ95" i="1"/>
  <c r="Z74" i="1"/>
  <c r="AD73" i="1"/>
  <c r="J69" i="1"/>
  <c r="H69" i="1"/>
  <c r="AU68" i="1"/>
  <c r="N68" i="1"/>
  <c r="AB68" i="1"/>
  <c r="BV124" i="1" l="1"/>
  <c r="BM123" i="1"/>
  <c r="AW123" i="1"/>
  <c r="BO98" i="1"/>
  <c r="BQ97" i="1"/>
  <c r="Z75" i="1"/>
  <c r="AD74" i="1"/>
  <c r="J70" i="1"/>
  <c r="H70" i="1"/>
  <c r="AU69" i="1"/>
  <c r="AB69" i="1"/>
  <c r="N69" i="1"/>
  <c r="AA22" i="3"/>
  <c r="AA21" i="3"/>
  <c r="BV125" i="1" l="1"/>
  <c r="AW124" i="1"/>
  <c r="BM124" i="1"/>
  <c r="BO99" i="1"/>
  <c r="BO100" i="1" s="1"/>
  <c r="BQ98" i="1"/>
  <c r="Z76" i="1"/>
  <c r="AD75" i="1"/>
  <c r="H71" i="1"/>
  <c r="J71" i="1"/>
  <c r="N70" i="1"/>
  <c r="AU70" i="1"/>
  <c r="AB70" i="1"/>
  <c r="BV126" i="1" l="1"/>
  <c r="BM125" i="1"/>
  <c r="AW125" i="1"/>
  <c r="BQ100" i="1"/>
  <c r="BO101" i="1"/>
  <c r="BQ99" i="1"/>
  <c r="Z77" i="1"/>
  <c r="AD76" i="1"/>
  <c r="AU71" i="1"/>
  <c r="H72" i="1"/>
  <c r="AB71" i="1"/>
  <c r="N71" i="1"/>
  <c r="J72" i="1"/>
  <c r="AA24" i="3"/>
  <c r="AA23" i="3"/>
  <c r="BV127" i="1" l="1"/>
  <c r="AW126" i="1"/>
  <c r="BM126" i="1"/>
  <c r="BO102" i="1"/>
  <c r="BQ101" i="1"/>
  <c r="AD77" i="1"/>
  <c r="Z78" i="1"/>
  <c r="Z79" i="1" s="1"/>
  <c r="J73" i="1"/>
  <c r="H73" i="1"/>
  <c r="AU72" i="1"/>
  <c r="AB72" i="1"/>
  <c r="N72" i="1"/>
  <c r="BV128" i="1" l="1"/>
  <c r="BV129" i="1" s="1"/>
  <c r="AW127" i="1"/>
  <c r="BM127" i="1"/>
  <c r="BO103" i="1"/>
  <c r="BQ102" i="1"/>
  <c r="AD79" i="1"/>
  <c r="Z80" i="1"/>
  <c r="AD78" i="1"/>
  <c r="J74" i="1"/>
  <c r="H74" i="1"/>
  <c r="AU73" i="1"/>
  <c r="AB73" i="1"/>
  <c r="N73" i="1"/>
  <c r="AA26" i="3"/>
  <c r="AA25" i="3"/>
  <c r="BM129" i="1" l="1"/>
  <c r="BV130" i="1"/>
  <c r="AW129" i="1"/>
  <c r="AW128" i="1"/>
  <c r="BM128" i="1"/>
  <c r="BQ103" i="1"/>
  <c r="BO104" i="1"/>
  <c r="AD80" i="1"/>
  <c r="Z81" i="1"/>
  <c r="AU74" i="1"/>
  <c r="J75" i="1"/>
  <c r="H75" i="1"/>
  <c r="AB74" i="1"/>
  <c r="N74" i="1"/>
  <c r="BV131" i="1" l="1"/>
  <c r="BM130" i="1"/>
  <c r="AW130" i="1"/>
  <c r="BO105" i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V132" i="1" l="1"/>
  <c r="BM131" i="1"/>
  <c r="AW131" i="1"/>
  <c r="BO106" i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V133" i="1" l="1"/>
  <c r="BM132" i="1"/>
  <c r="AW132" i="1"/>
  <c r="BQ106" i="1"/>
  <c r="BO107" i="1"/>
  <c r="AD87" i="1"/>
  <c r="Z88" i="1"/>
  <c r="AD86" i="1"/>
  <c r="AD85" i="1"/>
  <c r="H78" i="1"/>
  <c r="J78" i="1"/>
  <c r="N77" i="1"/>
  <c r="AU77" i="1"/>
  <c r="AB77" i="1"/>
  <c r="BV134" i="1" l="1"/>
  <c r="BM133" i="1"/>
  <c r="AW133" i="1"/>
  <c r="BO108" i="1"/>
  <c r="BO109" i="1" s="1"/>
  <c r="BQ107" i="1"/>
  <c r="Z89" i="1"/>
  <c r="AD88" i="1"/>
  <c r="J79" i="1"/>
  <c r="H79" i="1"/>
  <c r="AU78" i="1"/>
  <c r="N78" i="1"/>
  <c r="AB78" i="1"/>
  <c r="BM134" i="1" l="1"/>
  <c r="BV135" i="1"/>
  <c r="AW134" i="1"/>
  <c r="BQ109" i="1"/>
  <c r="BO110" i="1"/>
  <c r="BQ108" i="1"/>
  <c r="AD89" i="1"/>
  <c r="Z90" i="1"/>
  <c r="Z91" i="1" s="1"/>
  <c r="N79" i="1"/>
  <c r="J80" i="1"/>
  <c r="H80" i="1"/>
  <c r="AB79" i="1"/>
  <c r="AU79" i="1"/>
  <c r="AA32" i="3"/>
  <c r="BM135" i="1" l="1"/>
  <c r="BV136" i="1"/>
  <c r="AW135" i="1"/>
  <c r="BO111" i="1"/>
  <c r="BO112" i="1" s="1"/>
  <c r="BQ110" i="1"/>
  <c r="Z92" i="1"/>
  <c r="AD91" i="1"/>
  <c r="AD90" i="1"/>
  <c r="H81" i="1"/>
  <c r="J81" i="1"/>
  <c r="AU80" i="1"/>
  <c r="N80" i="1"/>
  <c r="AB80" i="1"/>
  <c r="BM136" i="1" l="1"/>
  <c r="AW136" i="1"/>
  <c r="BV137" i="1"/>
  <c r="BQ112" i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V138" i="1" l="1"/>
  <c r="BV139" i="1" s="1"/>
  <c r="BV140" i="1" s="1"/>
  <c r="BM137" i="1"/>
  <c r="AW137" i="1"/>
  <c r="BO116" i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V141" i="1" l="1"/>
  <c r="BM140" i="1"/>
  <c r="AW140" i="1"/>
  <c r="BM139" i="1"/>
  <c r="AW139" i="1"/>
  <c r="AW138" i="1"/>
  <c r="BM138" i="1"/>
  <c r="BQ116" i="1"/>
  <c r="BO117" i="1"/>
  <c r="Z97" i="1"/>
  <c r="AD96" i="1"/>
  <c r="AD95" i="1"/>
  <c r="J84" i="1"/>
  <c r="H84" i="1"/>
  <c r="AU83" i="1"/>
  <c r="N83" i="1"/>
  <c r="AB83" i="1"/>
  <c r="AW141" i="1" l="1"/>
  <c r="BV142" i="1"/>
  <c r="BM141" i="1"/>
  <c r="BQ117" i="1"/>
  <c r="BO118" i="1"/>
  <c r="AD97" i="1"/>
  <c r="Z98" i="1"/>
  <c r="AU84" i="1"/>
  <c r="J85" i="1"/>
  <c r="H85" i="1"/>
  <c r="N84" i="1"/>
  <c r="AB84" i="1"/>
  <c r="AW142" i="1" l="1"/>
  <c r="BM142" i="1"/>
  <c r="BV143" i="1"/>
  <c r="BO119" i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V144" i="1" l="1"/>
  <c r="AW143" i="1"/>
  <c r="BM143" i="1"/>
  <c r="BO121" i="1"/>
  <c r="BO122" i="1" s="1"/>
  <c r="BQ120" i="1"/>
  <c r="BQ119" i="1"/>
  <c r="AD100" i="1"/>
  <c r="Z101" i="1"/>
  <c r="AD99" i="1"/>
  <c r="J87" i="1"/>
  <c r="H87" i="1"/>
  <c r="AU86" i="1"/>
  <c r="N86" i="1"/>
  <c r="AB86" i="1"/>
  <c r="BV145" i="1" l="1"/>
  <c r="BM144" i="1"/>
  <c r="AW144" i="1"/>
  <c r="BQ122" i="1"/>
  <c r="BO123" i="1"/>
  <c r="BQ121" i="1"/>
  <c r="AD101" i="1"/>
  <c r="Z102" i="1"/>
  <c r="AU87" i="1"/>
  <c r="J88" i="1"/>
  <c r="H88" i="1"/>
  <c r="N87" i="1"/>
  <c r="AB87" i="1"/>
  <c r="BV146" i="1" l="1"/>
  <c r="BV147" i="1" s="1"/>
  <c r="BV148" i="1" s="1"/>
  <c r="BV149" i="1" s="1"/>
  <c r="AW145" i="1"/>
  <c r="AW151" i="1" s="1"/>
  <c r="AW152" i="1" s="1"/>
  <c r="BM145" i="1"/>
  <c r="BM151" i="1" s="1"/>
  <c r="BM152" i="1" s="1"/>
  <c r="BQ123" i="1"/>
  <c r="BO124" i="1"/>
  <c r="Z103" i="1"/>
  <c r="AD102" i="1"/>
  <c r="AU88" i="1"/>
  <c r="J89" i="1"/>
  <c r="H89" i="1"/>
  <c r="N88" i="1"/>
  <c r="AB88" i="1"/>
  <c r="AA45" i="3"/>
  <c r="AA43" i="3"/>
  <c r="AA44" i="3"/>
  <c r="AA41" i="3"/>
  <c r="AA42" i="3"/>
  <c r="AA40" i="3"/>
  <c r="BO125" i="1" l="1"/>
  <c r="BQ124" i="1"/>
  <c r="AD103" i="1"/>
  <c r="Z104" i="1"/>
  <c r="J90" i="1"/>
  <c r="H90" i="1"/>
  <c r="N89" i="1"/>
  <c r="AU89" i="1"/>
  <c r="AB89" i="1"/>
  <c r="BQ125" i="1" l="1"/>
  <c r="J163" i="1" s="1"/>
  <c r="BO126" i="1"/>
  <c r="AD104" i="1"/>
  <c r="Z105" i="1"/>
  <c r="J91" i="1"/>
  <c r="H91" i="1"/>
  <c r="AU90" i="1"/>
  <c r="N90" i="1"/>
  <c r="AB90" i="1"/>
  <c r="BQ126" i="1" l="1"/>
  <c r="BO127" i="1"/>
  <c r="Z106" i="1"/>
  <c r="AD105" i="1"/>
  <c r="N91" i="1"/>
  <c r="H92" i="1"/>
  <c r="J92" i="1"/>
  <c r="AU91" i="1"/>
  <c r="AB91" i="1"/>
  <c r="BO128" i="1" l="1"/>
  <c r="BO129" i="1" s="1"/>
  <c r="BO130" i="1" s="1"/>
  <c r="BQ127" i="1"/>
  <c r="Z107" i="1"/>
  <c r="Z108" i="1" s="1"/>
  <c r="Z109" i="1" s="1"/>
  <c r="AD106" i="1"/>
  <c r="Y122" i="3"/>
  <c r="Y123" i="3" s="1"/>
  <c r="N92" i="1"/>
  <c r="H93" i="1"/>
  <c r="J93" i="1"/>
  <c r="AB92" i="1"/>
  <c r="AU92" i="1"/>
  <c r="BO131" i="1" l="1"/>
  <c r="BQ130" i="1"/>
  <c r="BQ129" i="1"/>
  <c r="BQ128" i="1"/>
  <c r="Z110" i="1"/>
  <c r="AD109" i="1"/>
  <c r="AD108" i="1"/>
  <c r="AD107" i="1"/>
  <c r="H94" i="1"/>
  <c r="J94" i="1"/>
  <c r="N93" i="1"/>
  <c r="AU93" i="1"/>
  <c r="AB93" i="1"/>
  <c r="AA46" i="3"/>
  <c r="BO132" i="1" l="1"/>
  <c r="BO133" i="1" s="1"/>
  <c r="BQ131" i="1"/>
  <c r="Z111" i="1"/>
  <c r="Z112" i="1" s="1"/>
  <c r="AD110" i="1"/>
  <c r="H95" i="1"/>
  <c r="J95" i="1"/>
  <c r="N94" i="1"/>
  <c r="AU94" i="1"/>
  <c r="AB94" i="1"/>
  <c r="BQ133" i="1" l="1"/>
  <c r="BO134" i="1"/>
  <c r="BQ132" i="1"/>
  <c r="Z113" i="1"/>
  <c r="Z114" i="1" s="1"/>
  <c r="AD112" i="1"/>
  <c r="AD111" i="1"/>
  <c r="J96" i="1"/>
  <c r="H96" i="1"/>
  <c r="N95" i="1"/>
  <c r="AU95" i="1"/>
  <c r="AB95" i="1"/>
  <c r="AA48" i="3"/>
  <c r="AA49" i="3"/>
  <c r="AA47" i="3"/>
  <c r="BQ134" i="1" l="1"/>
  <c r="BO135" i="1"/>
  <c r="Z115" i="1"/>
  <c r="AD114" i="1"/>
  <c r="AD113" i="1"/>
  <c r="AU96" i="1"/>
  <c r="H97" i="1"/>
  <c r="J97" i="1"/>
  <c r="N96" i="1"/>
  <c r="AB96" i="1"/>
  <c r="BQ135" i="1" l="1"/>
  <c r="BO136" i="1"/>
  <c r="Z116" i="1"/>
  <c r="AD115" i="1"/>
  <c r="N97" i="1"/>
  <c r="H98" i="1"/>
  <c r="J98" i="1"/>
  <c r="AU97" i="1"/>
  <c r="AB97" i="1"/>
  <c r="BO137" i="1" l="1"/>
  <c r="BQ136" i="1"/>
  <c r="Z117" i="1"/>
  <c r="AD116" i="1"/>
  <c r="J99" i="1"/>
  <c r="H99" i="1"/>
  <c r="N98" i="1"/>
  <c r="AU98" i="1"/>
  <c r="AB98" i="1"/>
  <c r="AA53" i="3"/>
  <c r="AA51" i="3"/>
  <c r="AA52" i="3"/>
  <c r="AA50" i="3"/>
  <c r="BQ137" i="1" l="1"/>
  <c r="BO138" i="1"/>
  <c r="BO139" i="1" s="1"/>
  <c r="BO140" i="1" s="1"/>
  <c r="AD117" i="1"/>
  <c r="Z118" i="1"/>
  <c r="H100" i="1"/>
  <c r="J100" i="1"/>
  <c r="N99" i="1"/>
  <c r="AU99" i="1"/>
  <c r="AB99" i="1"/>
  <c r="BQ140" i="1" l="1"/>
  <c r="BO141" i="1"/>
  <c r="BQ139" i="1"/>
  <c r="BQ138" i="1"/>
  <c r="AD118" i="1"/>
  <c r="Z119" i="1"/>
  <c r="AU100" i="1"/>
  <c r="J101" i="1"/>
  <c r="H101" i="1"/>
  <c r="N100" i="1"/>
  <c r="AB100" i="1"/>
  <c r="BQ141" i="1" l="1"/>
  <c r="BO142" i="1"/>
  <c r="Z120" i="1"/>
  <c r="AD119" i="1"/>
  <c r="N101" i="1"/>
  <c r="J102" i="1"/>
  <c r="H102" i="1"/>
  <c r="AU101" i="1"/>
  <c r="AB101" i="1"/>
  <c r="BQ142" i="1" l="1"/>
  <c r="BO143" i="1"/>
  <c r="AD120" i="1"/>
  <c r="Z121" i="1"/>
  <c r="Z122" i="1" s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BQ143" i="1" l="1"/>
  <c r="BO144" i="1"/>
  <c r="Z123" i="1"/>
  <c r="AD122" i="1"/>
  <c r="AD121" i="1"/>
  <c r="J104" i="1"/>
  <c r="H104" i="1"/>
  <c r="AU103" i="1"/>
  <c r="N103" i="1"/>
  <c r="AB103" i="1"/>
  <c r="BO145" i="1" l="1"/>
  <c r="BQ144" i="1"/>
  <c r="AD123" i="1"/>
  <c r="Z124" i="1"/>
  <c r="N104" i="1"/>
  <c r="H105" i="1"/>
  <c r="J105" i="1"/>
  <c r="AU104" i="1"/>
  <c r="AB104" i="1"/>
  <c r="BQ145" i="1" l="1"/>
  <c r="BO151" i="1"/>
  <c r="BO152" i="1" s="1"/>
  <c r="AD124" i="1"/>
  <c r="Z125" i="1"/>
  <c r="Z126" i="1" s="1"/>
  <c r="N105" i="1"/>
  <c r="J106" i="1"/>
  <c r="H106" i="1"/>
  <c r="H107" i="1" s="1"/>
  <c r="AU105" i="1"/>
  <c r="AB105" i="1"/>
  <c r="Z127" i="1" l="1"/>
  <c r="AD126" i="1"/>
  <c r="AD125" i="1"/>
  <c r="AU106" i="1"/>
  <c r="J107" i="1"/>
  <c r="N106" i="1"/>
  <c r="W122" i="3"/>
  <c r="W123" i="3" s="1"/>
  <c r="AB106" i="1"/>
  <c r="AD127" i="1" l="1"/>
  <c r="Z128" i="1"/>
  <c r="Z129" i="1" s="1"/>
  <c r="Z130" i="1" s="1"/>
  <c r="J108" i="1"/>
  <c r="H108" i="1"/>
  <c r="N107" i="1"/>
  <c r="AU107" i="1"/>
  <c r="AB107" i="1"/>
  <c r="Z131" i="1" l="1"/>
  <c r="AD130" i="1"/>
  <c r="AD129" i="1"/>
  <c r="AD128" i="1"/>
  <c r="H109" i="1"/>
  <c r="J109" i="1"/>
  <c r="AU108" i="1"/>
  <c r="N108" i="1"/>
  <c r="AB108" i="1"/>
  <c r="Z132" i="1" l="1"/>
  <c r="Z133" i="1" s="1"/>
  <c r="AD131" i="1"/>
  <c r="N109" i="1"/>
  <c r="J110" i="1"/>
  <c r="H110" i="1"/>
  <c r="AB109" i="1"/>
  <c r="AU109" i="1"/>
  <c r="Z134" i="1" l="1"/>
  <c r="AD133" i="1"/>
  <c r="AD132" i="1"/>
  <c r="N110" i="1"/>
  <c r="J111" i="1"/>
  <c r="H111" i="1"/>
  <c r="AB110" i="1"/>
  <c r="AU110" i="1"/>
  <c r="AA65" i="3"/>
  <c r="AA63" i="3"/>
  <c r="AA64" i="3"/>
  <c r="AA62" i="3"/>
  <c r="Z135" i="1" l="1"/>
  <c r="AD134" i="1"/>
  <c r="J112" i="1"/>
  <c r="H112" i="1"/>
  <c r="N111" i="1"/>
  <c r="AB111" i="1"/>
  <c r="AU111" i="1"/>
  <c r="AD135" i="1" l="1"/>
  <c r="Z136" i="1"/>
  <c r="AU112" i="1"/>
  <c r="J113" i="1"/>
  <c r="H113" i="1"/>
  <c r="H114" i="1" s="1"/>
  <c r="N112" i="1"/>
  <c r="AB112" i="1"/>
  <c r="Z137" i="1" l="1"/>
  <c r="AD136" i="1"/>
  <c r="J114" i="1"/>
  <c r="N113" i="1"/>
  <c r="AU113" i="1"/>
  <c r="AB113" i="1"/>
  <c r="AD137" i="1" l="1"/>
  <c r="Z138" i="1"/>
  <c r="Z139" i="1" s="1"/>
  <c r="Z140" i="1" s="1"/>
  <c r="H115" i="1"/>
  <c r="J115" i="1"/>
  <c r="N114" i="1"/>
  <c r="AU114" i="1"/>
  <c r="AB114" i="1"/>
  <c r="AA67" i="3"/>
  <c r="AA66" i="3"/>
  <c r="AD140" i="1" l="1"/>
  <c r="Z141" i="1"/>
  <c r="AD139" i="1"/>
  <c r="AD138" i="1"/>
  <c r="N115" i="1"/>
  <c r="J116" i="1"/>
  <c r="AU115" i="1"/>
  <c r="H116" i="1"/>
  <c r="AB115" i="1"/>
  <c r="AD141" i="1" l="1"/>
  <c r="Z142" i="1"/>
  <c r="N116" i="1"/>
  <c r="J117" i="1"/>
  <c r="H117" i="1"/>
  <c r="AB116" i="1"/>
  <c r="AU116" i="1"/>
  <c r="AA71" i="3"/>
  <c r="AA72" i="3"/>
  <c r="AA69" i="3"/>
  <c r="AA70" i="3"/>
  <c r="AA68" i="3"/>
  <c r="AD142" i="1" l="1"/>
  <c r="Z143" i="1"/>
  <c r="AU117" i="1"/>
  <c r="H118" i="1"/>
  <c r="J118" i="1"/>
  <c r="AB117" i="1"/>
  <c r="N117" i="1"/>
  <c r="AD143" i="1" l="1"/>
  <c r="Z144" i="1"/>
  <c r="H119" i="1"/>
  <c r="J119" i="1"/>
  <c r="N118" i="1"/>
  <c r="AB118" i="1"/>
  <c r="AU118" i="1"/>
  <c r="AD144" i="1" l="1"/>
  <c r="Z145" i="1"/>
  <c r="H120" i="1"/>
  <c r="J120" i="1"/>
  <c r="N119" i="1"/>
  <c r="AU119" i="1"/>
  <c r="AB119" i="1"/>
  <c r="AD145" i="1" l="1"/>
  <c r="AD151" i="1" s="1"/>
  <c r="AD152" i="1" s="1"/>
  <c r="Z151" i="1"/>
  <c r="N120" i="1"/>
  <c r="J121" i="1"/>
  <c r="H121" i="1"/>
  <c r="AU120" i="1"/>
  <c r="AB120" i="1"/>
  <c r="Z152" i="1" l="1"/>
  <c r="I21" i="3"/>
  <c r="I35" i="3" s="1"/>
  <c r="AD49" i="2"/>
  <c r="AD51" i="2" s="1"/>
  <c r="AD53" i="2" s="1"/>
  <c r="AD55" i="2" s="1"/>
  <c r="AD57" i="2" s="1"/>
  <c r="AJ21" i="2"/>
  <c r="J122" i="1"/>
  <c r="H122" i="1"/>
  <c r="N121" i="1"/>
  <c r="AU121" i="1"/>
  <c r="AB121" i="1"/>
  <c r="AA75" i="3"/>
  <c r="AA76" i="3"/>
  <c r="AA73" i="3"/>
  <c r="AA74" i="3"/>
  <c r="AU122" i="1" l="1"/>
  <c r="J123" i="1"/>
  <c r="H123" i="1"/>
  <c r="N122" i="1"/>
  <c r="AB122" i="1"/>
  <c r="N123" i="1" l="1"/>
  <c r="J124" i="1"/>
  <c r="H124" i="1"/>
  <c r="AU123" i="1"/>
  <c r="AB123" i="1"/>
  <c r="N124" i="1" l="1"/>
  <c r="H125" i="1"/>
  <c r="J125" i="1"/>
  <c r="AU124" i="1"/>
  <c r="AB124" i="1"/>
  <c r="AA78" i="3"/>
  <c r="AA79" i="3"/>
  <c r="AA77" i="3"/>
  <c r="H126" i="1" l="1"/>
  <c r="J126" i="1"/>
  <c r="AU125" i="1"/>
  <c r="N125" i="1"/>
  <c r="AB125" i="1"/>
  <c r="AB126" i="1" l="1"/>
  <c r="J127" i="1"/>
  <c r="H127" i="1"/>
  <c r="N126" i="1"/>
  <c r="AU126" i="1"/>
  <c r="J164" i="1"/>
  <c r="J165" i="1" s="1"/>
  <c r="AU127" i="1" l="1"/>
  <c r="H128" i="1"/>
  <c r="J128" i="1"/>
  <c r="N127" i="1"/>
  <c r="AB127" i="1"/>
  <c r="J129" i="1" l="1"/>
  <c r="H129" i="1"/>
  <c r="AB128" i="1"/>
  <c r="N128" i="1"/>
  <c r="AU128" i="1"/>
  <c r="AA81" i="3"/>
  <c r="AA82" i="3"/>
  <c r="AA80" i="3"/>
  <c r="J130" i="1" l="1"/>
  <c r="H130" i="1"/>
  <c r="N129" i="1"/>
  <c r="AU129" i="1"/>
  <c r="AB129" i="1"/>
  <c r="AU130" i="1" l="1"/>
  <c r="J131" i="1"/>
  <c r="H131" i="1"/>
  <c r="N130" i="1"/>
  <c r="AB130" i="1"/>
  <c r="AU131" i="1" l="1"/>
  <c r="J132" i="1"/>
  <c r="H132" i="1"/>
  <c r="N131" i="1"/>
  <c r="AB131" i="1"/>
  <c r="AA86" i="3"/>
  <c r="AA84" i="3"/>
  <c r="AA85" i="3"/>
  <c r="AA83" i="3"/>
  <c r="J133" i="1" l="1"/>
  <c r="H133" i="1"/>
  <c r="N132" i="1"/>
  <c r="AU132" i="1"/>
  <c r="AB132" i="1"/>
  <c r="AU133" i="1" l="1"/>
  <c r="H134" i="1"/>
  <c r="I20" i="3" s="1"/>
  <c r="I23" i="3" s="1"/>
  <c r="I25" i="3" s="1"/>
  <c r="I27" i="3" s="1"/>
  <c r="J134" i="1"/>
  <c r="N133" i="1"/>
  <c r="AB133" i="1"/>
  <c r="N27" i="3" l="1"/>
  <c r="N28" i="3" s="1"/>
  <c r="I34" i="3"/>
  <c r="AU134" i="1"/>
  <c r="J135" i="1"/>
  <c r="H135" i="1"/>
  <c r="N134" i="1"/>
  <c r="AB134" i="1"/>
  <c r="N135" i="1" l="1"/>
  <c r="J136" i="1"/>
  <c r="H136" i="1"/>
  <c r="AU135" i="1"/>
  <c r="AB135" i="1"/>
  <c r="AA92" i="3"/>
  <c r="AA90" i="3"/>
  <c r="AA91" i="3"/>
  <c r="AA88" i="3"/>
  <c r="AA89" i="3"/>
  <c r="AA87" i="3"/>
  <c r="N136" i="1" l="1"/>
  <c r="J137" i="1"/>
  <c r="H137" i="1"/>
  <c r="AU136" i="1"/>
  <c r="AB136" i="1"/>
  <c r="AU137" i="1" l="1"/>
  <c r="J138" i="1"/>
  <c r="H138" i="1"/>
  <c r="N137" i="1"/>
  <c r="AB137" i="1"/>
  <c r="J139" i="1" l="1"/>
  <c r="H139" i="1"/>
  <c r="AU138" i="1"/>
  <c r="N138" i="1"/>
  <c r="AB138" i="1"/>
  <c r="J140" i="1" l="1"/>
  <c r="H140" i="1"/>
  <c r="AU139" i="1"/>
  <c r="N139" i="1"/>
  <c r="AB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N140" i="1" l="1"/>
  <c r="H141" i="1"/>
  <c r="J141" i="1"/>
  <c r="AU140" i="1"/>
  <c r="AB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N141" i="1" l="1"/>
  <c r="J142" i="1"/>
  <c r="H142" i="1"/>
  <c r="AU141" i="1"/>
  <c r="AB141" i="1"/>
  <c r="AA98" i="3"/>
  <c r="AA99" i="3"/>
  <c r="AA94" i="3"/>
  <c r="AA95" i="3"/>
  <c r="AA93" i="3"/>
  <c r="H143" i="1" l="1"/>
  <c r="J143" i="1"/>
  <c r="N142" i="1"/>
  <c r="AU142" i="1"/>
  <c r="AB142" i="1"/>
  <c r="AA96" i="3"/>
  <c r="AA97" i="3"/>
  <c r="N143" i="1" l="1"/>
  <c r="J144" i="1"/>
  <c r="H144" i="1"/>
  <c r="AU143" i="1"/>
  <c r="AB143" i="1"/>
  <c r="N144" i="1" l="1"/>
  <c r="H145" i="1"/>
  <c r="J145" i="1"/>
  <c r="J151" i="1" s="1"/>
  <c r="AU144" i="1"/>
  <c r="AB144" i="1"/>
  <c r="J152" i="1"/>
  <c r="AU145" i="1" l="1"/>
  <c r="AU151" i="1" s="1"/>
  <c r="AU152" i="1" s="1"/>
  <c r="H151" i="1"/>
  <c r="N145" i="1"/>
  <c r="N151" i="1" s="1"/>
  <c r="N152" i="1" s="1"/>
  <c r="AB145" i="1"/>
  <c r="AB151" i="1" s="1"/>
  <c r="AB152" i="1" s="1"/>
  <c r="H152" i="1" l="1"/>
  <c r="I32" i="3"/>
  <c r="AF21" i="2"/>
  <c r="L32" i="3" l="1"/>
  <c r="L35" i="3"/>
  <c r="I28" i="3"/>
  <c r="I36" i="3"/>
  <c r="L34" i="3"/>
  <c r="W100" i="3" l="1"/>
  <c r="AA100" i="3" s="1"/>
  <c r="L36" i="3"/>
  <c r="Y100" i="3" l="1"/>
  <c r="Y12" i="3"/>
</calcChain>
</file>

<file path=xl/sharedStrings.xml><?xml version="1.0" encoding="utf-8"?>
<sst xmlns="http://schemas.openxmlformats.org/spreadsheetml/2006/main" count="282" uniqueCount="159">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</sst>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  <c:numCache>
                <c:formatCode>_(* #,##0_);_(* \(#,##0\);_(* "-"??_);_(@_)</c:formatCode>
                <c:ptCount val="99"/>
                <c:pt idx="0">
                  <c:v>7033</c:v>
                </c:pt>
                <c:pt idx="7">
                  <c:v>12468</c:v>
                </c:pt>
                <c:pt idx="14">
                  <c:v>14701</c:v>
                </c:pt>
                <c:pt idx="21">
                  <c:v>14511</c:v>
                </c:pt>
                <c:pt idx="28">
                  <c:v>13185</c:v>
                </c:pt>
                <c:pt idx="35">
                  <c:v>12190</c:v>
                </c:pt>
                <c:pt idx="42">
                  <c:v>10191</c:v>
                </c:pt>
                <c:pt idx="49">
                  <c:v>8322</c:v>
                </c:pt>
                <c:pt idx="56">
                  <c:v>6895</c:v>
                </c:pt>
                <c:pt idx="57">
                  <c:v>742147</c:v>
                </c:pt>
                <c:pt idx="58">
                  <c:v>42339</c:v>
                </c:pt>
                <c:pt idx="59" formatCode="0.0%">
                  <c:v>5.7049344671608188E-2</c:v>
                </c:pt>
                <c:pt idx="63">
                  <c:v>6201</c:v>
                </c:pt>
                <c:pt idx="70">
                  <c:v>5389</c:v>
                </c:pt>
                <c:pt idx="77">
                  <c:v>4386</c:v>
                </c:pt>
                <c:pt idx="84">
                  <c:v>4166</c:v>
                </c:pt>
                <c:pt idx="91">
                  <c:v>3460</c:v>
                </c:pt>
                <c:pt idx="98">
                  <c:v>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  <c:numCache>
                <c:formatCode>_(* #,##0_);_(* \(#,##0\);_(* "-"??_);_(@_)</c:formatCode>
                <c:ptCount val="99"/>
                <c:pt idx="0">
                  <c:v>193182</c:v>
                </c:pt>
                <c:pt idx="7">
                  <c:v>221317</c:v>
                </c:pt>
                <c:pt idx="14">
                  <c:v>204675</c:v>
                </c:pt>
                <c:pt idx="21">
                  <c:v>217050</c:v>
                </c:pt>
                <c:pt idx="22">
                  <c:v>31007.142857142859</c:v>
                </c:pt>
                <c:pt idx="28">
                  <c:v>200962</c:v>
                </c:pt>
                <c:pt idx="35">
                  <c:v>179516</c:v>
                </c:pt>
                <c:pt idx="42">
                  <c:v>160026</c:v>
                </c:pt>
                <c:pt idx="49">
                  <c:v>158772</c:v>
                </c:pt>
                <c:pt idx="56">
                  <c:v>150734</c:v>
                </c:pt>
                <c:pt idx="63">
                  <c:v>153485</c:v>
                </c:pt>
                <c:pt idx="70">
                  <c:v>154779</c:v>
                </c:pt>
                <c:pt idx="77">
                  <c:v>192967</c:v>
                </c:pt>
                <c:pt idx="84">
                  <c:v>277620</c:v>
                </c:pt>
                <c:pt idx="91">
                  <c:v>350953</c:v>
                </c:pt>
                <c:pt idx="92">
                  <c:v>359831</c:v>
                </c:pt>
                <c:pt idx="93">
                  <c:v>369231</c:v>
                </c:pt>
                <c:pt idx="94">
                  <c:v>379982</c:v>
                </c:pt>
                <c:pt idx="95">
                  <c:v>381174</c:v>
                </c:pt>
                <c:pt idx="96">
                  <c:v>394870</c:v>
                </c:pt>
                <c:pt idx="97">
                  <c:v>410005</c:v>
                </c:pt>
                <c:pt idx="98">
                  <c:v>423824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1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Table'!$BJ$40:$BJ$145</c15:sqref>
                  </c15:fullRef>
                </c:ext>
              </c:extLst>
              <c:f>('Main Table'!$BJ$40,'Main Table'!$BJ$47,'Main Table'!$BJ$54,'Main Table'!$BJ$61,'Main Table'!$BJ$68,'Main Table'!$BJ$75,'Main Table'!$BJ$82,'Main Table'!$BJ$89,'Main Table'!$BJ$96,'Main Table'!$BJ$103,'Main Table'!$BJ$110,'Main Table'!$BJ$117,'Main Table'!$BJ$124,'Main Table'!$BJ$131,'Main Table'!$BJ$138,'Main Table'!$BJ$145)</c:f>
              <c:numCache>
                <c:formatCode>_(* #,##0_);_(* \(#,##0\);_(* "-"??_);_(@_)</c:formatCode>
                <c:ptCount val="16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  <c:pt idx="11">
                  <c:v>4994441</c:v>
                </c:pt>
                <c:pt idx="12">
                  <c:v>4882798</c:v>
                </c:pt>
                <c:pt idx="13">
                  <c:v>5872128</c:v>
                </c:pt>
                <c:pt idx="14">
                  <c:v>5877840</c:v>
                </c:pt>
                <c:pt idx="15">
                  <c:v>5705709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154</xdr:row>
      <xdr:rowOff>0</xdr:rowOff>
    </xdr:from>
    <xdr:to>
      <xdr:col>53</xdr:col>
      <xdr:colOff>160020</xdr:colOff>
      <xdr:row>154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155</xdr:row>
      <xdr:rowOff>0</xdr:rowOff>
    </xdr:from>
    <xdr:to>
      <xdr:col>53</xdr:col>
      <xdr:colOff>160020</xdr:colOff>
      <xdr:row>155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164</xdr:row>
      <xdr:rowOff>99060</xdr:rowOff>
    </xdr:from>
    <xdr:to>
      <xdr:col>21</xdr:col>
      <xdr:colOff>312420</xdr:colOff>
      <xdr:row>165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164</xdr:row>
      <xdr:rowOff>129540</xdr:rowOff>
    </xdr:from>
    <xdr:to>
      <xdr:col>22</xdr:col>
      <xdr:colOff>68580</xdr:colOff>
      <xdr:row>165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76</xdr:col>
      <xdr:colOff>0</xdr:colOff>
      <xdr:row>8</xdr:row>
      <xdr:rowOff>38100</xdr:rowOff>
    </xdr:from>
    <xdr:to>
      <xdr:col>87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0</xdr:colOff>
      <xdr:row>9</xdr:row>
      <xdr:rowOff>15240</xdr:rowOff>
    </xdr:from>
    <xdr:to>
      <xdr:col>66</xdr:col>
      <xdr:colOff>121920</xdr:colOff>
      <xdr:row>26</xdr:row>
      <xdr:rowOff>160020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124</xdr:row>
      <xdr:rowOff>0</xdr:rowOff>
    </xdr:from>
    <xdr:to>
      <xdr:col>70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124</xdr:row>
      <xdr:rowOff>0</xdr:rowOff>
    </xdr:from>
    <xdr:to>
      <xdr:col>23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124</xdr:row>
      <xdr:rowOff>0</xdr:rowOff>
    </xdr:from>
    <xdr:to>
      <xdr:col>38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124</xdr:row>
      <xdr:rowOff>0</xdr:rowOff>
    </xdr:from>
    <xdr:to>
      <xdr:col>59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125</xdr:row>
      <xdr:rowOff>0</xdr:rowOff>
    </xdr:from>
    <xdr:to>
      <xdr:col>70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125</xdr:row>
      <xdr:rowOff>0</xdr:rowOff>
    </xdr:from>
    <xdr:to>
      <xdr:col>23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125</xdr:row>
      <xdr:rowOff>0</xdr:rowOff>
    </xdr:from>
    <xdr:to>
      <xdr:col>38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125</xdr:row>
      <xdr:rowOff>0</xdr:rowOff>
    </xdr:from>
    <xdr:to>
      <xdr:col>59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126</xdr:row>
      <xdr:rowOff>0</xdr:rowOff>
    </xdr:from>
    <xdr:to>
      <xdr:col>70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126</xdr:row>
      <xdr:rowOff>0</xdr:rowOff>
    </xdr:from>
    <xdr:to>
      <xdr:col>23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126</xdr:row>
      <xdr:rowOff>0</xdr:rowOff>
    </xdr:from>
    <xdr:to>
      <xdr:col>59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127</xdr:row>
      <xdr:rowOff>0</xdr:rowOff>
    </xdr:from>
    <xdr:to>
      <xdr:col>70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126</xdr:row>
      <xdr:rowOff>0</xdr:rowOff>
    </xdr:from>
    <xdr:to>
      <xdr:col>38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127</xdr:row>
      <xdr:rowOff>0</xdr:rowOff>
    </xdr:from>
    <xdr:to>
      <xdr:col>23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127</xdr:row>
      <xdr:rowOff>0</xdr:rowOff>
    </xdr:from>
    <xdr:to>
      <xdr:col>38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127</xdr:row>
      <xdr:rowOff>0</xdr:rowOff>
    </xdr:from>
    <xdr:to>
      <xdr:col>59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128</xdr:row>
      <xdr:rowOff>0</xdr:rowOff>
    </xdr:from>
    <xdr:to>
      <xdr:col>70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23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128</xdr:row>
      <xdr:rowOff>0</xdr:rowOff>
    </xdr:from>
    <xdr:to>
      <xdr:col>59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128</xdr:row>
      <xdr:rowOff>0</xdr:rowOff>
    </xdr:from>
    <xdr:to>
      <xdr:col>38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129</xdr:row>
      <xdr:rowOff>0</xdr:rowOff>
    </xdr:from>
    <xdr:to>
      <xdr:col>23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129</xdr:row>
      <xdr:rowOff>0</xdr:rowOff>
    </xdr:from>
    <xdr:to>
      <xdr:col>59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129</xdr:row>
      <xdr:rowOff>0</xdr:rowOff>
    </xdr:from>
    <xdr:to>
      <xdr:col>38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129</xdr:row>
      <xdr:rowOff>0</xdr:rowOff>
    </xdr:from>
    <xdr:to>
      <xdr:col>70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23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130</xdr:row>
      <xdr:rowOff>0</xdr:rowOff>
    </xdr:from>
    <xdr:to>
      <xdr:col>38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130</xdr:row>
      <xdr:rowOff>0</xdr:rowOff>
    </xdr:from>
    <xdr:to>
      <xdr:col>44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130</xdr:row>
      <xdr:rowOff>0</xdr:rowOff>
    </xdr:from>
    <xdr:to>
      <xdr:col>59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130</xdr:row>
      <xdr:rowOff>0</xdr:rowOff>
    </xdr:from>
    <xdr:to>
      <xdr:col>70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131</xdr:row>
      <xdr:rowOff>0</xdr:rowOff>
    </xdr:from>
    <xdr:to>
      <xdr:col>70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131</xdr:row>
      <xdr:rowOff>0</xdr:rowOff>
    </xdr:from>
    <xdr:to>
      <xdr:col>23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131</xdr:row>
      <xdr:rowOff>0</xdr:rowOff>
    </xdr:from>
    <xdr:to>
      <xdr:col>38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131</xdr:row>
      <xdr:rowOff>0</xdr:rowOff>
    </xdr:from>
    <xdr:to>
      <xdr:col>44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131</xdr:row>
      <xdr:rowOff>0</xdr:rowOff>
    </xdr:from>
    <xdr:to>
      <xdr:col>59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132</xdr:row>
      <xdr:rowOff>0</xdr:rowOff>
    </xdr:from>
    <xdr:to>
      <xdr:col>70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132</xdr:row>
      <xdr:rowOff>0</xdr:rowOff>
    </xdr:from>
    <xdr:to>
      <xdr:col>23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132</xdr:row>
      <xdr:rowOff>0</xdr:rowOff>
    </xdr:from>
    <xdr:to>
      <xdr:col>44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132</xdr:row>
      <xdr:rowOff>0</xdr:rowOff>
    </xdr:from>
    <xdr:to>
      <xdr:col>59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133</xdr:row>
      <xdr:rowOff>0</xdr:rowOff>
    </xdr:from>
    <xdr:to>
      <xdr:col>70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133</xdr:row>
      <xdr:rowOff>0</xdr:rowOff>
    </xdr:from>
    <xdr:to>
      <xdr:col>23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133</xdr:row>
      <xdr:rowOff>0</xdr:rowOff>
    </xdr:from>
    <xdr:to>
      <xdr:col>44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133</xdr:row>
      <xdr:rowOff>0</xdr:rowOff>
    </xdr:from>
    <xdr:to>
      <xdr:col>38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134</xdr:row>
      <xdr:rowOff>0</xdr:rowOff>
    </xdr:from>
    <xdr:to>
      <xdr:col>70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134</xdr:row>
      <xdr:rowOff>0</xdr:rowOff>
    </xdr:from>
    <xdr:to>
      <xdr:col>44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133</xdr:row>
      <xdr:rowOff>0</xdr:rowOff>
    </xdr:from>
    <xdr:to>
      <xdr:col>59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134</xdr:row>
      <xdr:rowOff>0</xdr:rowOff>
    </xdr:from>
    <xdr:to>
      <xdr:col>59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134</xdr:row>
      <xdr:rowOff>0</xdr:rowOff>
    </xdr:from>
    <xdr:to>
      <xdr:col>23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132</xdr:row>
      <xdr:rowOff>0</xdr:rowOff>
    </xdr:from>
    <xdr:to>
      <xdr:col>38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134</xdr:row>
      <xdr:rowOff>0</xdr:rowOff>
    </xdr:from>
    <xdr:to>
      <xdr:col>38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135</xdr:row>
      <xdr:rowOff>0</xdr:rowOff>
    </xdr:from>
    <xdr:to>
      <xdr:col>70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135</xdr:row>
      <xdr:rowOff>0</xdr:rowOff>
    </xdr:from>
    <xdr:to>
      <xdr:col>44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135</xdr:row>
      <xdr:rowOff>0</xdr:rowOff>
    </xdr:from>
    <xdr:to>
      <xdr:col>59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135</xdr:row>
      <xdr:rowOff>0</xdr:rowOff>
    </xdr:from>
    <xdr:to>
      <xdr:col>23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135</xdr:row>
      <xdr:rowOff>0</xdr:rowOff>
    </xdr:from>
    <xdr:to>
      <xdr:col>38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136</xdr:row>
      <xdr:rowOff>0</xdr:rowOff>
    </xdr:from>
    <xdr:to>
      <xdr:col>70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136</xdr:row>
      <xdr:rowOff>0</xdr:rowOff>
    </xdr:from>
    <xdr:to>
      <xdr:col>44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136</xdr:row>
      <xdr:rowOff>0</xdr:rowOff>
    </xdr:from>
    <xdr:to>
      <xdr:col>23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136</xdr:row>
      <xdr:rowOff>0</xdr:rowOff>
    </xdr:from>
    <xdr:to>
      <xdr:col>59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136</xdr:row>
      <xdr:rowOff>0</xdr:rowOff>
    </xdr:from>
    <xdr:to>
      <xdr:col>38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137</xdr:row>
      <xdr:rowOff>0</xdr:rowOff>
    </xdr:from>
    <xdr:to>
      <xdr:col>23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137</xdr:row>
      <xdr:rowOff>0</xdr:rowOff>
    </xdr:from>
    <xdr:to>
      <xdr:col>38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137</xdr:row>
      <xdr:rowOff>0</xdr:rowOff>
    </xdr:from>
    <xdr:to>
      <xdr:col>59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137</xdr:row>
      <xdr:rowOff>0</xdr:rowOff>
    </xdr:from>
    <xdr:to>
      <xdr:col>44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137</xdr:row>
      <xdr:rowOff>0</xdr:rowOff>
    </xdr:from>
    <xdr:to>
      <xdr:col>70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138</xdr:row>
      <xdr:rowOff>0</xdr:rowOff>
    </xdr:from>
    <xdr:to>
      <xdr:col>44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138</xdr:row>
      <xdr:rowOff>0</xdr:rowOff>
    </xdr:from>
    <xdr:to>
      <xdr:col>38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138</xdr:row>
      <xdr:rowOff>0</xdr:rowOff>
    </xdr:from>
    <xdr:to>
      <xdr:col>23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138</xdr:row>
      <xdr:rowOff>0</xdr:rowOff>
    </xdr:from>
    <xdr:to>
      <xdr:col>59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138</xdr:row>
      <xdr:rowOff>0</xdr:rowOff>
    </xdr:from>
    <xdr:to>
      <xdr:col>70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139</xdr:row>
      <xdr:rowOff>0</xdr:rowOff>
    </xdr:from>
    <xdr:to>
      <xdr:col>44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139</xdr:row>
      <xdr:rowOff>0</xdr:rowOff>
    </xdr:from>
    <xdr:to>
      <xdr:col>38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139</xdr:row>
      <xdr:rowOff>0</xdr:rowOff>
    </xdr:from>
    <xdr:to>
      <xdr:col>23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139</xdr:row>
      <xdr:rowOff>0</xdr:rowOff>
    </xdr:from>
    <xdr:to>
      <xdr:col>59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139</xdr:row>
      <xdr:rowOff>0</xdr:rowOff>
    </xdr:from>
    <xdr:to>
      <xdr:col>70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140</xdr:row>
      <xdr:rowOff>0</xdr:rowOff>
    </xdr:from>
    <xdr:to>
      <xdr:col>44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140</xdr:row>
      <xdr:rowOff>0</xdr:rowOff>
    </xdr:from>
    <xdr:to>
      <xdr:col>38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140</xdr:row>
      <xdr:rowOff>0</xdr:rowOff>
    </xdr:from>
    <xdr:to>
      <xdr:col>23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140</xdr:row>
      <xdr:rowOff>0</xdr:rowOff>
    </xdr:from>
    <xdr:to>
      <xdr:col>59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140</xdr:row>
      <xdr:rowOff>0</xdr:rowOff>
    </xdr:from>
    <xdr:to>
      <xdr:col>70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141</xdr:row>
      <xdr:rowOff>0</xdr:rowOff>
    </xdr:from>
    <xdr:to>
      <xdr:col>44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141</xdr:row>
      <xdr:rowOff>0</xdr:rowOff>
    </xdr:from>
    <xdr:to>
      <xdr:col>23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141</xdr:row>
      <xdr:rowOff>0</xdr:rowOff>
    </xdr:from>
    <xdr:to>
      <xdr:col>38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141</xdr:row>
      <xdr:rowOff>0</xdr:rowOff>
    </xdr:from>
    <xdr:to>
      <xdr:col>59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141</xdr:row>
      <xdr:rowOff>0</xdr:rowOff>
    </xdr:from>
    <xdr:to>
      <xdr:col>70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142</xdr:row>
      <xdr:rowOff>0</xdr:rowOff>
    </xdr:from>
    <xdr:to>
      <xdr:col>44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142</xdr:row>
      <xdr:rowOff>0</xdr:rowOff>
    </xdr:from>
    <xdr:to>
      <xdr:col>23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142</xdr:row>
      <xdr:rowOff>0</xdr:rowOff>
    </xdr:from>
    <xdr:to>
      <xdr:col>38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142</xdr:row>
      <xdr:rowOff>0</xdr:rowOff>
    </xdr:from>
    <xdr:to>
      <xdr:col>59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142</xdr:row>
      <xdr:rowOff>0</xdr:rowOff>
    </xdr:from>
    <xdr:to>
      <xdr:col>70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143</xdr:row>
      <xdr:rowOff>0</xdr:rowOff>
    </xdr:from>
    <xdr:to>
      <xdr:col>44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143</xdr:row>
      <xdr:rowOff>0</xdr:rowOff>
    </xdr:from>
    <xdr:to>
      <xdr:col>23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143</xdr:row>
      <xdr:rowOff>0</xdr:rowOff>
    </xdr:from>
    <xdr:to>
      <xdr:col>38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143</xdr:row>
      <xdr:rowOff>0</xdr:rowOff>
    </xdr:from>
    <xdr:to>
      <xdr:col>59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143</xdr:row>
      <xdr:rowOff>0</xdr:rowOff>
    </xdr:from>
    <xdr:to>
      <xdr:col>70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144</xdr:row>
      <xdr:rowOff>0</xdr:rowOff>
    </xdr:from>
    <xdr:to>
      <xdr:col>23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144</xdr:row>
      <xdr:rowOff>0</xdr:rowOff>
    </xdr:from>
    <xdr:to>
      <xdr:col>59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144</xdr:row>
      <xdr:rowOff>0</xdr:rowOff>
    </xdr:from>
    <xdr:to>
      <xdr:col>70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144</xdr:row>
      <xdr:rowOff>0</xdr:rowOff>
    </xdr:from>
    <xdr:to>
      <xdr:col>38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144</xdr:row>
      <xdr:rowOff>0</xdr:rowOff>
    </xdr:from>
    <xdr:to>
      <xdr:col>44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24"/>
  <sheetViews>
    <sheetView tabSelected="1" topLeftCell="H1" zoomScaleNormal="100" workbookViewId="0">
      <selection activeCell="AS145" sqref="AS145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5.109375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12.5546875" customWidth="1" outlineLevel="1"/>
    <col min="33" max="33" width="10.33203125" customWidth="1" outlineLevel="1"/>
    <col min="34" max="34" width="8.109375" customWidth="1" outlineLevel="1"/>
    <col min="35" max="35" width="2.21875" customWidth="1" outlineLevel="1"/>
    <col min="36" max="36" width="3.5546875" customWidth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customWidth="1" outlineLevel="1"/>
    <col min="62" max="62" width="15.10937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63" t="s">
        <v>5</v>
      </c>
      <c r="C1" s="563"/>
      <c r="D1" s="563"/>
    </row>
    <row r="2" spans="2:89" ht="15.6" x14ac:dyDescent="0.3">
      <c r="B2" s="563" t="s">
        <v>6</v>
      </c>
      <c r="C2" s="563"/>
      <c r="D2" s="56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66" t="s">
        <v>13</v>
      </c>
      <c r="C3" s="566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64" t="s">
        <v>11</v>
      </c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11"/>
      <c r="AD4" s="326"/>
      <c r="AE4" s="448"/>
      <c r="AF4" s="448"/>
      <c r="AG4" s="448"/>
      <c r="AH4" s="448"/>
      <c r="AI4" s="12"/>
      <c r="AK4" s="546" t="s">
        <v>14</v>
      </c>
      <c r="AL4" s="547"/>
      <c r="AM4" s="547"/>
      <c r="AN4" s="547"/>
      <c r="AO4" s="547"/>
      <c r="AP4" s="547"/>
      <c r="AQ4" s="547"/>
      <c r="AR4" s="547"/>
      <c r="AS4" s="547"/>
      <c r="AT4" s="547"/>
      <c r="AU4" s="547"/>
      <c r="AV4" s="547"/>
      <c r="AW4" s="547"/>
      <c r="AX4" s="547"/>
      <c r="AY4" s="547"/>
      <c r="AZ4" s="547"/>
      <c r="BA4" s="547"/>
      <c r="BB4" s="547"/>
      <c r="BC4" s="547"/>
      <c r="BD4" s="547"/>
      <c r="BE4" s="547"/>
      <c r="BF4" s="547"/>
      <c r="BG4" s="547"/>
      <c r="BH4" s="547"/>
      <c r="BI4" s="547"/>
      <c r="BJ4" s="547"/>
      <c r="BK4" s="547"/>
      <c r="BL4" s="547"/>
      <c r="BM4" s="547"/>
      <c r="BN4" s="547"/>
      <c r="BO4" s="547"/>
      <c r="BP4" s="547"/>
      <c r="BQ4" s="547"/>
      <c r="BR4" s="547"/>
      <c r="BS4" s="547"/>
      <c r="BT4" s="548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67" t="s">
        <v>12</v>
      </c>
      <c r="G6" s="567"/>
      <c r="H6" s="567"/>
      <c r="I6" s="567"/>
      <c r="J6" s="567"/>
      <c r="K6" s="567"/>
      <c r="L6" s="567"/>
      <c r="M6" s="336"/>
      <c r="N6" s="336"/>
      <c r="O6" s="337"/>
      <c r="P6" s="573" t="s">
        <v>124</v>
      </c>
      <c r="Q6" s="567"/>
      <c r="R6" s="567"/>
      <c r="S6" s="567"/>
      <c r="T6" s="574"/>
      <c r="U6" s="3"/>
      <c r="V6" s="8" t="s">
        <v>7</v>
      </c>
      <c r="W6" s="30"/>
      <c r="X6" s="568">
        <v>1.2500000000000001E-2</v>
      </c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9"/>
      <c r="AJ6" s="3"/>
      <c r="AK6" s="555" t="s">
        <v>27</v>
      </c>
      <c r="AL6" s="556"/>
      <c r="AM6" s="556"/>
      <c r="AN6" s="556"/>
      <c r="AO6" s="556"/>
      <c r="AP6" s="556"/>
      <c r="AQ6" s="556"/>
      <c r="AR6" s="556"/>
      <c r="AS6" s="556"/>
      <c r="AT6" s="556"/>
      <c r="AU6" s="556"/>
      <c r="AV6" s="556"/>
      <c r="AW6" s="556"/>
      <c r="AX6" s="557"/>
      <c r="AY6" s="3"/>
      <c r="AZ6" s="558" t="s">
        <v>7</v>
      </c>
      <c r="BA6" s="550"/>
      <c r="BB6" s="550"/>
      <c r="BC6" s="97"/>
      <c r="BD6" s="549" t="s">
        <v>26</v>
      </c>
      <c r="BE6" s="549"/>
      <c r="BF6" s="549"/>
      <c r="BG6" s="549"/>
      <c r="BH6" s="549"/>
      <c r="BI6" s="549"/>
      <c r="BJ6" s="549"/>
      <c r="BK6" s="549"/>
      <c r="BL6" s="549"/>
      <c r="BM6" s="549"/>
      <c r="BN6" s="549"/>
      <c r="BO6" s="549"/>
      <c r="BP6" s="549"/>
      <c r="BQ6" s="550"/>
      <c r="BR6" s="550"/>
      <c r="BS6" s="550"/>
      <c r="BT6" s="551"/>
      <c r="BU6" s="3"/>
    </row>
    <row r="7" spans="2:89" ht="16.2" x14ac:dyDescent="0.3">
      <c r="D7" s="552" t="s">
        <v>20</v>
      </c>
      <c r="E7" s="553"/>
      <c r="F7" s="553"/>
      <c r="G7" s="553"/>
      <c r="H7" s="553"/>
      <c r="I7" s="553"/>
      <c r="J7" s="553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70" t="s">
        <v>35</v>
      </c>
      <c r="W7" s="571"/>
      <c r="X7" s="571"/>
      <c r="Y7" s="571"/>
      <c r="Z7" s="571"/>
      <c r="AA7" s="571"/>
      <c r="AB7" s="571"/>
      <c r="AC7" s="571"/>
      <c r="AD7" s="571"/>
      <c r="AE7" s="571"/>
      <c r="AF7" s="571"/>
      <c r="AG7" s="571"/>
      <c r="AH7" s="571"/>
      <c r="AI7" s="572"/>
      <c r="AJ7" s="3"/>
      <c r="AK7" s="552" t="s">
        <v>76</v>
      </c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54"/>
      <c r="AZ7" s="552" t="s">
        <v>25</v>
      </c>
      <c r="BA7" s="553"/>
      <c r="BB7" s="553"/>
      <c r="BC7" s="553"/>
      <c r="BD7" s="553"/>
      <c r="BE7" s="553"/>
      <c r="BF7" s="553"/>
      <c r="BG7" s="553"/>
      <c r="BH7" s="553"/>
      <c r="BI7" s="553"/>
      <c r="BJ7" s="553"/>
      <c r="BK7" s="553"/>
      <c r="BL7" s="553"/>
      <c r="BM7" s="553"/>
      <c r="BN7" s="553"/>
      <c r="BO7" s="553"/>
      <c r="BP7" s="553"/>
      <c r="BQ7" s="553"/>
      <c r="BR7" s="553"/>
      <c r="BS7" s="553"/>
      <c r="BT7" s="554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44" t="s">
        <v>1</v>
      </c>
      <c r="BA8" s="545"/>
      <c r="BB8" s="545"/>
      <c r="BC8" s="64"/>
      <c r="BD8" s="545" t="s">
        <v>24</v>
      </c>
      <c r="BE8" s="545"/>
      <c r="BF8" s="545"/>
      <c r="BG8" s="545"/>
      <c r="BH8" s="559"/>
      <c r="BI8" s="560" t="s">
        <v>124</v>
      </c>
      <c r="BJ8" s="561"/>
      <c r="BK8" s="561"/>
      <c r="BL8" s="562"/>
      <c r="BM8" s="544" t="s">
        <v>24</v>
      </c>
      <c r="BN8" s="545"/>
      <c r="BO8" s="545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+Z23+V24+21+653</f>
        <v>7795</v>
      </c>
      <c r="AA24" s="340" t="s">
        <v>47</v>
      </c>
      <c r="AB24" s="46">
        <f t="shared" si="4"/>
        <v>2.7891981636735116E-2</v>
      </c>
      <c r="AC24" s="33"/>
      <c r="AD24" s="33">
        <f t="shared" si="5"/>
        <v>519.66666666666663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9125</v>
      </c>
      <c r="AA25" s="33"/>
      <c r="AB25" s="46">
        <f t="shared" si="4"/>
        <v>2.9091361220657575E-2</v>
      </c>
      <c r="AC25" s="33"/>
      <c r="AD25" s="33">
        <f t="shared" si="5"/>
        <v>570.3125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10290</v>
      </c>
      <c r="AA26" s="33"/>
      <c r="AB26" s="46">
        <f t="shared" si="4"/>
        <v>3.0355504553325682E-2</v>
      </c>
      <c r="AC26" s="33"/>
      <c r="AD26" s="33">
        <f t="shared" si="5"/>
        <v>605.29411764705878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11545</v>
      </c>
      <c r="AA27" s="33"/>
      <c r="AB27" s="46">
        <f t="shared" si="4"/>
        <v>3.1186435183809525E-2</v>
      </c>
      <c r="AC27" s="33"/>
      <c r="AD27" s="33">
        <f t="shared" si="5"/>
        <v>641.38888888888891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13515</v>
      </c>
      <c r="AA28" s="33"/>
      <c r="AB28" s="46">
        <f t="shared" si="4"/>
        <v>3.3481728117962704E-2</v>
      </c>
      <c r="AC28" s="33"/>
      <c r="AD28" s="33">
        <f t="shared" si="5"/>
        <v>711.31578947368416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15465</v>
      </c>
      <c r="AA29" s="33"/>
      <c r="AB29" s="46">
        <f t="shared" si="4"/>
        <v>3.5503732885203448E-2</v>
      </c>
      <c r="AC29" s="33"/>
      <c r="AD29" s="33">
        <f t="shared" si="5"/>
        <v>773.25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17365</v>
      </c>
      <c r="AA30" s="33"/>
      <c r="AB30" s="46">
        <f t="shared" si="4"/>
        <v>3.7015799660644097E-2</v>
      </c>
      <c r="AC30" s="33"/>
      <c r="AD30" s="33">
        <f t="shared" si="5"/>
        <v>826.90476190476193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19400</v>
      </c>
      <c r="AA31" s="33"/>
      <c r="AB31" s="46">
        <f t="shared" si="4"/>
        <v>3.8578098775841362E-2</v>
      </c>
      <c r="AC31" s="33"/>
      <c r="AD31" s="33">
        <f t="shared" si="5"/>
        <v>881.81818181818187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21230</v>
      </c>
      <c r="AA32" s="33"/>
      <c r="AB32" s="46">
        <f t="shared" si="4"/>
        <v>3.9840188860885868E-2</v>
      </c>
      <c r="AC32" s="33"/>
      <c r="AD32" s="33">
        <f t="shared" si="5"/>
        <v>923.04347826086962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22758</v>
      </c>
      <c r="AA33" s="33"/>
      <c r="AB33" s="46">
        <f t="shared" si="4"/>
        <v>4.0617526325182937E-2</v>
      </c>
      <c r="AC33" s="33"/>
      <c r="AD33" s="33">
        <f t="shared" si="5"/>
        <v>948.25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24293</v>
      </c>
      <c r="AA34" s="33"/>
      <c r="AB34" s="46">
        <f t="shared" si="4"/>
        <v>4.1389168587643389E-2</v>
      </c>
      <c r="AC34" s="33"/>
      <c r="AD34" s="33">
        <f t="shared" si="5"/>
        <v>971.72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32895</v>
      </c>
      <c r="AA35" s="341" t="s">
        <v>68</v>
      </c>
      <c r="AB35" s="46">
        <f t="shared" si="4"/>
        <v>5.1090933941340559E-2</v>
      </c>
      <c r="AC35" s="33"/>
      <c r="AD35" s="33">
        <f t="shared" si="5"/>
        <v>1265.1923076923076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35513</v>
      </c>
      <c r="AA36" s="33"/>
      <c r="AB36" s="46">
        <f t="shared" si="4"/>
        <v>5.2674749404474086E-2</v>
      </c>
      <c r="AC36" s="33"/>
      <c r="AD36" s="33">
        <f t="shared" si="5"/>
        <v>1315.2962962962963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37689</v>
      </c>
      <c r="AA37" s="33"/>
      <c r="AB37" s="46">
        <f t="shared" si="4"/>
        <v>5.3553692233584985E-2</v>
      </c>
      <c r="AC37" s="33"/>
      <c r="AD37" s="33">
        <f t="shared" si="5"/>
        <v>1346.0357142857142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40217</v>
      </c>
      <c r="AA38" s="33"/>
      <c r="AB38" s="46">
        <f t="shared" si="4"/>
        <v>5.4648157559319822E-2</v>
      </c>
      <c r="AC38" s="33"/>
      <c r="AD38" s="33">
        <f t="shared" si="5"/>
        <v>1386.7931034482758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42084</v>
      </c>
      <c r="AA39" s="33"/>
      <c r="AB39" s="46">
        <f t="shared" si="4"/>
        <v>5.5012987216709393E-2</v>
      </c>
      <c r="AC39" s="33"/>
      <c r="AD39" s="33">
        <f t="shared" si="5"/>
        <v>1402.8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43654</v>
      </c>
      <c r="AA40" s="33"/>
      <c r="AB40" s="46">
        <f t="shared" si="4"/>
        <v>5.5176789700265176E-2</v>
      </c>
      <c r="AC40" s="33"/>
      <c r="AD40" s="33">
        <f t="shared" si="5"/>
        <v>1408.1935483870968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45606</v>
      </c>
      <c r="AA41" s="33"/>
      <c r="AB41" s="46">
        <f t="shared" si="4"/>
        <v>5.5663980256533248E-2</v>
      </c>
      <c r="AC41" s="33"/>
      <c r="AD41" s="33">
        <f t="shared" si="5"/>
        <v>1425.1875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48289</v>
      </c>
      <c r="AA42" s="33"/>
      <c r="AB42" s="46">
        <f t="shared" ref="AB42:AB68" si="23">+Z42/H42</f>
        <v>5.711876074917141E-2</v>
      </c>
      <c r="AC42" s="33"/>
      <c r="AD42" s="33">
        <f t="shared" ref="AD42:AD68" si="24">+Z42/BV42</f>
        <v>1463.3030303030303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50647</v>
      </c>
      <c r="AA43" s="33"/>
      <c r="AB43" s="46">
        <f t="shared" si="23"/>
        <v>5.7841036792047731E-2</v>
      </c>
      <c r="AC43" s="33"/>
      <c r="AD43" s="33">
        <f t="shared" si="24"/>
        <v>1489.6176470588234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52987</v>
      </c>
      <c r="AA44" s="33"/>
      <c r="AB44" s="46">
        <f t="shared" si="23"/>
        <v>5.8386334686465591E-2</v>
      </c>
      <c r="AC44" s="33"/>
      <c r="AD44" s="33">
        <f t="shared" si="24"/>
        <v>1513.9142857142858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54944</v>
      </c>
      <c r="AA45" s="33"/>
      <c r="AB45" s="46">
        <f t="shared" si="23"/>
        <v>5.8062661684392065E-2</v>
      </c>
      <c r="AC45" s="33"/>
      <c r="AD45" s="33">
        <f t="shared" si="24"/>
        <v>1526.2222222222222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57009</v>
      </c>
      <c r="AA46" s="33"/>
      <c r="AB46" s="46">
        <f t="shared" si="23"/>
        <v>5.8071298259052856E-2</v>
      </c>
      <c r="AC46" s="33"/>
      <c r="AD46" s="33">
        <f t="shared" si="24"/>
        <v>1540.7837837837837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58165</v>
      </c>
      <c r="AA47" s="33"/>
      <c r="AB47" s="46">
        <f t="shared" si="23"/>
        <v>5.7691010656446634E-2</v>
      </c>
      <c r="AC47" s="33"/>
      <c r="AD47" s="33">
        <f t="shared" si="24"/>
        <v>1530.6578947368421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>
        <f>+P47/7</f>
        <v>31007.142857142859</v>
      </c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59548</v>
      </c>
      <c r="AA48" s="33"/>
      <c r="AB48" s="46">
        <f t="shared" si="23"/>
        <v>5.7734445594970776E-2</v>
      </c>
      <c r="AC48" s="33"/>
      <c r="AD48" s="33">
        <f t="shared" si="24"/>
        <v>1526.8717948717949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62018</v>
      </c>
      <c r="AA49" s="33"/>
      <c r="AB49" s="46">
        <f t="shared" si="23"/>
        <v>5.8683542435284688E-2</v>
      </c>
      <c r="AC49" s="33"/>
      <c r="AD49" s="33">
        <f t="shared" si="24"/>
        <v>1550.45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64408</v>
      </c>
      <c r="AA50" s="33"/>
      <c r="AB50" s="46">
        <f t="shared" si="23"/>
        <v>5.9348537203409352E-2</v>
      </c>
      <c r="AC50" s="33"/>
      <c r="AD50" s="33">
        <f t="shared" si="24"/>
        <v>1570.9268292682927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66609</v>
      </c>
      <c r="AA51" s="33"/>
      <c r="AB51" s="46">
        <f t="shared" si="23"/>
        <v>5.9681259122338112E-2</v>
      </c>
      <c r="AC51" s="33"/>
      <c r="AD51" s="33">
        <f t="shared" si="24"/>
        <v>1585.9285714285713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>
        <f>SUM(AZ22:AZ51)</f>
        <v>6376446</v>
      </c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68506</v>
      </c>
      <c r="AA52" s="33"/>
      <c r="AB52" s="46">
        <f t="shared" si="23"/>
        <v>5.9462574842503078E-2</v>
      </c>
      <c r="AC52" s="33"/>
      <c r="AD52" s="33">
        <f t="shared" si="24"/>
        <v>1593.1627906976744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70197</v>
      </c>
      <c r="AA53" s="33"/>
      <c r="AB53" s="46">
        <f t="shared" si="23"/>
        <v>5.9396867569785843E-2</v>
      </c>
      <c r="AC53" s="33"/>
      <c r="AD53" s="33">
        <f t="shared" si="24"/>
        <v>1595.3863636363637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71350</v>
      </c>
      <c r="AA54" s="33"/>
      <c r="AB54" s="46">
        <f t="shared" si="23"/>
        <v>5.9007027914831395E-2</v>
      </c>
      <c r="AC54" s="33"/>
      <c r="AD54" s="33">
        <f t="shared" si="24"/>
        <v>1585.5555555555557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72674</v>
      </c>
      <c r="AA55" s="33"/>
      <c r="AB55" s="46">
        <f t="shared" si="23"/>
        <v>5.8898233312342826E-2</v>
      </c>
      <c r="AC55" s="33"/>
      <c r="AD55" s="33">
        <f t="shared" si="24"/>
        <v>1579.8695652173913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75024</v>
      </c>
      <c r="AA56" s="33"/>
      <c r="AB56" s="46">
        <f t="shared" si="23"/>
        <v>5.9604874595710296E-2</v>
      </c>
      <c r="AC56" s="33"/>
      <c r="AD56" s="33">
        <f t="shared" si="24"/>
        <v>1596.2553191489362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77552</v>
      </c>
      <c r="AA57" s="33"/>
      <c r="AB57" s="46">
        <f t="shared" si="23"/>
        <v>6.0391792846307434E-2</v>
      </c>
      <c r="AC57" s="33"/>
      <c r="AD57" s="33">
        <f t="shared" si="24"/>
        <v>1615.6666666666667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79681</v>
      </c>
      <c r="AA58" s="33"/>
      <c r="AB58" s="46">
        <f t="shared" si="23"/>
        <v>6.0654847949917753E-2</v>
      </c>
      <c r="AC58" s="33"/>
      <c r="AD58" s="33">
        <f t="shared" si="24"/>
        <v>1626.1428571428571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81368</v>
      </c>
      <c r="AA59" s="33"/>
      <c r="AB59" s="46">
        <f t="shared" si="23"/>
        <v>6.0593919905632905E-2</v>
      </c>
      <c r="AC59" s="33"/>
      <c r="AD59" s="33">
        <f t="shared" si="24"/>
        <v>1627.36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82790</v>
      </c>
      <c r="AA60" s="33"/>
      <c r="AB60" s="46">
        <f t="shared" si="23"/>
        <v>6.0502862905730564E-2</v>
      </c>
      <c r="AC60" s="33"/>
      <c r="AD60" s="33">
        <f t="shared" si="24"/>
        <v>1623.3333333333333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83540</v>
      </c>
      <c r="AA61" s="33"/>
      <c r="AB61" s="46">
        <f t="shared" si="23"/>
        <v>6.0157241264094177E-2</v>
      </c>
      <c r="AC61" s="33"/>
      <c r="AD61" s="33">
        <f t="shared" si="24"/>
        <v>1606.5384615384614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84600</v>
      </c>
      <c r="AA62" s="33"/>
      <c r="AB62" s="46">
        <f t="shared" si="23"/>
        <v>6.0132632970594714E-2</v>
      </c>
      <c r="AC62" s="33"/>
      <c r="AD62" s="33">
        <f t="shared" si="24"/>
        <v>1596.2264150943397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86471</v>
      </c>
      <c r="AA63" s="33"/>
      <c r="AB63" s="46">
        <f t="shared" si="23"/>
        <v>6.0482257717046746E-2</v>
      </c>
      <c r="AC63" s="33"/>
      <c r="AD63" s="33">
        <f t="shared" si="24"/>
        <v>1601.3148148148148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88293</v>
      </c>
      <c r="AA64" s="33"/>
      <c r="AB64" s="46">
        <f t="shared" si="23"/>
        <v>6.0832821185555504E-2</v>
      </c>
      <c r="AC64" s="33"/>
      <c r="AD64" s="33">
        <f t="shared" si="24"/>
        <v>1605.3272727272727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90046</v>
      </c>
      <c r="AA65" s="33"/>
      <c r="AB65" s="46">
        <f t="shared" si="23"/>
        <v>6.0897481417158499E-2</v>
      </c>
      <c r="AC65" s="33"/>
      <c r="AD65" s="33">
        <f t="shared" si="24"/>
        <v>1607.9642857142858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91648</v>
      </c>
      <c r="AA66" s="33"/>
      <c r="AB66" s="46">
        <f t="shared" si="23"/>
        <v>6.0881886562579507E-2</v>
      </c>
      <c r="AC66" s="33"/>
      <c r="AD66" s="33">
        <f t="shared" si="24"/>
        <v>1607.859649122807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92866</v>
      </c>
      <c r="AA67" s="33"/>
      <c r="AB67" s="46">
        <f t="shared" si="23"/>
        <v>6.0743222427099432E-2</v>
      </c>
      <c r="AC67" s="33"/>
      <c r="AD67" s="33">
        <f t="shared" si="24"/>
        <v>1601.1379310344828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93731</v>
      </c>
      <c r="AA68" s="33"/>
      <c r="AB68" s="46">
        <f t="shared" si="23"/>
        <v>6.0521592024381426E-2</v>
      </c>
      <c r="AC68" s="33"/>
      <c r="AD68" s="33">
        <f t="shared" si="24"/>
        <v>1588.6610169491526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94734</v>
      </c>
      <c r="AA69" s="33"/>
      <c r="AB69" s="46">
        <f t="shared" ref="AB69:AB96" si="44">+Z69/H69</f>
        <v>6.0288287141629808E-2</v>
      </c>
      <c r="AC69" s="33"/>
      <c r="AD69" s="33">
        <f t="shared" ref="AD69:AD96" si="45">+Z69/BV69</f>
        <v>1578.9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96286</v>
      </c>
      <c r="AA70" s="33"/>
      <c r="AB70" s="46">
        <f t="shared" si="44"/>
        <v>6.0494873523456012E-2</v>
      </c>
      <c r="AC70" s="33"/>
      <c r="AD70" s="33">
        <f t="shared" si="45"/>
        <v>1578.4590163934427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97689</v>
      </c>
      <c r="AA71" s="33"/>
      <c r="AB71" s="46">
        <f t="shared" si="44"/>
        <v>6.0534311079769906E-2</v>
      </c>
      <c r="AC71" s="33"/>
      <c r="AD71" s="33">
        <f t="shared" si="45"/>
        <v>1575.6290322580646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99107</v>
      </c>
      <c r="AA72" s="33"/>
      <c r="AB72" s="46">
        <f t="shared" si="44"/>
        <v>6.0359181804118749E-2</v>
      </c>
      <c r="AC72" s="33"/>
      <c r="AD72" s="33">
        <f t="shared" si="45"/>
        <v>1573.1269841269841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100400</v>
      </c>
      <c r="AA73" s="33"/>
      <c r="AB73" s="46">
        <f t="shared" si="44"/>
        <v>6.0265697293325877E-2</v>
      </c>
      <c r="AC73" s="33"/>
      <c r="AD73" s="33">
        <f t="shared" si="45"/>
        <v>1568.75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101436</v>
      </c>
      <c r="AA74" s="33"/>
      <c r="AB74" s="46">
        <f t="shared" si="44"/>
        <v>6.0096546919101074E-2</v>
      </c>
      <c r="AC74" s="33"/>
      <c r="AD74" s="33">
        <f t="shared" si="45"/>
        <v>1560.5538461538461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102053</v>
      </c>
      <c r="AA75" s="33"/>
      <c r="AB75" s="46">
        <f t="shared" si="44"/>
        <v>5.9767776364398777E-2</v>
      </c>
      <c r="AC75" s="33"/>
      <c r="AD75" s="33">
        <f t="shared" si="45"/>
        <v>1546.2575757575758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102558</v>
      </c>
      <c r="AA76" s="33"/>
      <c r="AB76" s="46">
        <f t="shared" si="44"/>
        <v>5.937536545856438E-2</v>
      </c>
      <c r="AC76" s="33"/>
      <c r="AD76" s="33">
        <f t="shared" si="45"/>
        <v>1530.7164179104477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49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103332</v>
      </c>
      <c r="AA77" s="33"/>
      <c r="AB77" s="46">
        <f t="shared" si="44"/>
        <v>5.917152308893079E-2</v>
      </c>
      <c r="AC77" s="33"/>
      <c r="AD77" s="33">
        <f t="shared" si="45"/>
        <v>1519.5882352941176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49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104860</v>
      </c>
      <c r="AA78" s="33"/>
      <c r="AB78" s="46">
        <f t="shared" si="44"/>
        <v>5.9348255859692257E-2</v>
      </c>
      <c r="AC78" s="33"/>
      <c r="AD78" s="33">
        <f t="shared" si="45"/>
        <v>1519.7101449275362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106083</v>
      </c>
      <c r="AA79" s="33"/>
      <c r="AB79" s="46">
        <f t="shared" si="44"/>
        <v>5.9280241540035666E-2</v>
      </c>
      <c r="AC79" s="33"/>
      <c r="AD79" s="33">
        <f t="shared" si="45"/>
        <v>1515.4714285714285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107295</v>
      </c>
      <c r="AA80" s="33"/>
      <c r="AB80" s="46">
        <f t="shared" si="44"/>
        <v>5.912918979866482E-2</v>
      </c>
      <c r="AC80" s="33"/>
      <c r="AD80" s="33">
        <f t="shared" si="45"/>
        <v>1511.1971830985915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108310</v>
      </c>
      <c r="AA81" s="33"/>
      <c r="AB81" s="46">
        <f t="shared" si="44"/>
        <v>5.8932158643999921E-2</v>
      </c>
      <c r="AC81" s="33"/>
      <c r="AD81" s="33">
        <f t="shared" si="45"/>
        <v>1504.3055555555557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108948</v>
      </c>
      <c r="AA82" s="33"/>
      <c r="AB82" s="46">
        <f t="shared" si="44"/>
        <v>5.8630112806515464E-2</v>
      </c>
      <c r="AC82" s="33"/>
      <c r="AD82" s="33">
        <f t="shared" si="45"/>
        <v>1492.4383561643835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109678</v>
      </c>
      <c r="AA83" s="33"/>
      <c r="AB83" s="46">
        <f t="shared" si="44"/>
        <v>5.8327603105544149E-2</v>
      </c>
      <c r="AC83" s="33"/>
      <c r="AD83" s="33">
        <f t="shared" si="45"/>
        <v>1482.1351351351352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>
        <f>SUM(AZ76:AZ83)</f>
        <v>3400297</v>
      </c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110812</v>
      </c>
      <c r="AA84" s="33"/>
      <c r="AB84" s="46">
        <f t="shared" si="44"/>
        <v>5.8252784449662795E-2</v>
      </c>
      <c r="AC84" s="33"/>
      <c r="AD84" s="33">
        <f t="shared" si="45"/>
        <v>1477.4933333333333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111895</v>
      </c>
      <c r="AA85" s="33"/>
      <c r="AB85" s="46">
        <f t="shared" si="44"/>
        <v>5.819259958842108E-2</v>
      </c>
      <c r="AC85" s="33"/>
      <c r="AD85" s="33">
        <f t="shared" si="45"/>
        <v>1472.3026315789473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112926</v>
      </c>
      <c r="AA86" s="33"/>
      <c r="AB86" s="46">
        <f t="shared" si="44"/>
        <v>5.8056446252057088E-2</v>
      </c>
      <c r="AC86" s="33"/>
      <c r="AD86" s="33">
        <f t="shared" si="45"/>
        <v>1466.5714285714287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113901</v>
      </c>
      <c r="AA87" s="33"/>
      <c r="AB87" s="46">
        <f t="shared" si="44"/>
        <v>5.7803095660999747E-2</v>
      </c>
      <c r="AC87" s="33"/>
      <c r="AD87" s="33">
        <f t="shared" si="45"/>
        <v>1460.2692307692307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114607</v>
      </c>
      <c r="AA88" s="33"/>
      <c r="AB88" s="46">
        <f t="shared" si="44"/>
        <v>5.7495073585185838E-2</v>
      </c>
      <c r="AC88" s="33"/>
      <c r="AD88" s="33">
        <f t="shared" si="45"/>
        <v>1450.7215189873418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115149</v>
      </c>
      <c r="AA89" s="33"/>
      <c r="AB89" s="46">
        <f t="shared" si="44"/>
        <v>5.7239335073477254E-2</v>
      </c>
      <c r="AC89" s="33"/>
      <c r="AD89" s="33">
        <f t="shared" si="45"/>
        <v>1439.3625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115735</v>
      </c>
      <c r="AA90" s="33"/>
      <c r="AB90" s="46">
        <f t="shared" si="44"/>
        <v>5.6991119066554068E-2</v>
      </c>
      <c r="AC90" s="33"/>
      <c r="AD90" s="33">
        <f t="shared" si="45"/>
        <v>1428.8271604938273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116828</v>
      </c>
      <c r="AA91" s="33"/>
      <c r="AB91" s="46">
        <f t="shared" si="44"/>
        <v>5.6994522909673134E-2</v>
      </c>
      <c r="AC91" s="33"/>
      <c r="AD91" s="33">
        <f t="shared" si="45"/>
        <v>1424.7317073170732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117810</v>
      </c>
      <c r="AA92" s="33"/>
      <c r="AB92" s="46">
        <f t="shared" si="44"/>
        <v>5.6894820644402301E-2</v>
      </c>
      <c r="AC92" s="33"/>
      <c r="AD92" s="33">
        <f t="shared" si="45"/>
        <v>1419.3975903614457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118714</v>
      </c>
      <c r="AA93" s="33"/>
      <c r="AB93" s="46">
        <f t="shared" si="44"/>
        <v>5.669345637912418E-2</v>
      </c>
      <c r="AC93" s="33"/>
      <c r="AD93" s="33">
        <f t="shared" si="45"/>
        <v>1413.2619047619048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119505</v>
      </c>
      <c r="AA94" s="33"/>
      <c r="AB94" s="46">
        <f t="shared" si="44"/>
        <v>5.6338818320334307E-2</v>
      </c>
      <c r="AC94" s="33"/>
      <c r="AD94" s="33">
        <f t="shared" si="45"/>
        <v>1405.9411764705883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120207</v>
      </c>
      <c r="AA95" s="33"/>
      <c r="AB95" s="46">
        <f t="shared" si="44"/>
        <v>5.6001762881285971E-2</v>
      </c>
      <c r="AC95" s="33"/>
      <c r="AD95" s="33">
        <f t="shared" si="45"/>
        <v>1397.7558139534883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120538</v>
      </c>
      <c r="AA96" s="33"/>
      <c r="AB96" s="46">
        <f t="shared" si="44"/>
        <v>5.5637459669788461E-2</v>
      </c>
      <c r="AC96" s="33"/>
      <c r="AD96" s="33">
        <f t="shared" si="45"/>
        <v>1385.4942528735633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>
        <f t="shared" ref="N97:N108" si="56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7">+Z96+V97</f>
        <v>120963</v>
      </c>
      <c r="AA97" s="33"/>
      <c r="AB97" s="46">
        <f t="shared" ref="AB97:AB108" si="58">+Z97/H97</f>
        <v>5.5304652681130134E-2</v>
      </c>
      <c r="AC97" s="33"/>
      <c r="AD97" s="33">
        <f t="shared" ref="AD97:AD108" si="59">+Z97/BV97</f>
        <v>1374.5795454545455</v>
      </c>
      <c r="AE97" s="50"/>
      <c r="AF97" s="33"/>
      <c r="AG97" s="33"/>
      <c r="AH97" s="232"/>
      <c r="AI97" s="50"/>
      <c r="AJ97" s="10"/>
      <c r="AK97" s="23">
        <f t="shared" ref="AK97:AK108" si="60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1">+AK97/AO96</f>
        <v>2.5369620751997179E-2</v>
      </c>
      <c r="AR97" s="25"/>
      <c r="AS97" s="25"/>
      <c r="AT97" s="24"/>
      <c r="AU97" s="342">
        <f t="shared" ref="AU97:AU108" si="62">+AO97/H97</f>
        <v>0.40684945035049186</v>
      </c>
      <c r="AV97" s="342"/>
      <c r="AW97" s="24">
        <f t="shared" ref="AW97:AW108" si="63">+AO97/BV97</f>
        <v>10112.113636363636</v>
      </c>
      <c r="AX97" s="352"/>
      <c r="AY97" s="10"/>
      <c r="AZ97" s="66">
        <f t="shared" ref="AZ97:AZ108" si="64">+BB97-BB96</f>
        <v>468146</v>
      </c>
      <c r="BA97" s="67"/>
      <c r="BB97" s="67">
        <v>25259077</v>
      </c>
      <c r="BC97" s="67"/>
      <c r="BD97" s="67">
        <f t="shared" ref="BD97:BD108" si="65">+D97</f>
        <v>20722</v>
      </c>
      <c r="BE97" s="67"/>
      <c r="BF97" s="157">
        <f t="shared" ref="BF97:BF108" si="66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7">+BB97/BV97</f>
        <v>287034.96590909088</v>
      </c>
      <c r="BN97" s="67"/>
      <c r="BO97" s="67">
        <f t="shared" ref="BO97:BO108" si="68">+BO96+BD97</f>
        <v>1913834</v>
      </c>
      <c r="BP97" s="67"/>
      <c r="BQ97" s="74">
        <f t="shared" ref="BQ97:BQ108" si="69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>
        <f t="shared" si="56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7"/>
        <v>121809</v>
      </c>
      <c r="AA98" s="33"/>
      <c r="AB98" s="46">
        <f t="shared" si="58"/>
        <v>5.5054765953177077E-2</v>
      </c>
      <c r="AC98" s="33"/>
      <c r="AD98" s="33">
        <f t="shared" si="59"/>
        <v>1368.6404494382023</v>
      </c>
      <c r="AE98" s="50"/>
      <c r="AF98" s="33"/>
      <c r="AG98" s="33"/>
      <c r="AH98" s="232"/>
      <c r="AI98" s="50"/>
      <c r="AJ98" s="10"/>
      <c r="AK98" s="23">
        <f t="shared" si="60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1"/>
        <v>1.4805599944261271E-2</v>
      </c>
      <c r="AR98" s="25"/>
      <c r="AS98" s="25"/>
      <c r="AT98" s="24"/>
      <c r="AU98" s="342">
        <f t="shared" si="62"/>
        <v>0.40815301743814481</v>
      </c>
      <c r="AV98" s="342"/>
      <c r="AW98" s="24">
        <f t="shared" si="63"/>
        <v>10146.528089887641</v>
      </c>
      <c r="AX98" s="352"/>
      <c r="AY98" s="10"/>
      <c r="AZ98" s="66">
        <f t="shared" si="64"/>
        <v>470291</v>
      </c>
      <c r="BA98" s="67"/>
      <c r="BB98" s="67">
        <v>25729368</v>
      </c>
      <c r="BC98" s="67"/>
      <c r="BD98" s="67">
        <f t="shared" si="65"/>
        <v>25294</v>
      </c>
      <c r="BE98" s="67"/>
      <c r="BF98" s="157">
        <f t="shared" si="66"/>
        <v>5.3783721142866864E-2</v>
      </c>
      <c r="BG98" s="67"/>
      <c r="BH98" s="184"/>
      <c r="BI98" s="67"/>
      <c r="BJ98" s="67"/>
      <c r="BK98" s="67"/>
      <c r="BL98" s="157"/>
      <c r="BM98" s="66">
        <f t="shared" si="67"/>
        <v>289094.02247191011</v>
      </c>
      <c r="BN98" s="67"/>
      <c r="BO98" s="67">
        <f t="shared" si="68"/>
        <v>1939128</v>
      </c>
      <c r="BP98" s="67"/>
      <c r="BQ98" s="74">
        <f t="shared" si="69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>
        <f t="shared" si="56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7"/>
        <v>122618</v>
      </c>
      <c r="AA99" s="33"/>
      <c r="AB99" s="46">
        <f t="shared" si="58"/>
        <v>5.4774975352645902E-2</v>
      </c>
      <c r="AC99" s="33"/>
      <c r="AD99" s="33">
        <f t="shared" si="59"/>
        <v>1362.4222222222222</v>
      </c>
      <c r="AE99" s="50"/>
      <c r="AF99" s="33"/>
      <c r="AG99" s="33"/>
      <c r="AH99" s="232"/>
      <c r="AI99" s="50"/>
      <c r="AJ99" s="10"/>
      <c r="AK99" s="23">
        <f t="shared" si="60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1"/>
        <v>1.7446605414372107E-2</v>
      </c>
      <c r="AR99" s="25"/>
      <c r="AS99" s="25"/>
      <c r="AT99" s="24"/>
      <c r="AU99" s="342">
        <f t="shared" si="62"/>
        <v>0.41043752348031809</v>
      </c>
      <c r="AV99" s="342"/>
      <c r="AW99" s="24">
        <f t="shared" si="63"/>
        <v>10208.844444444445</v>
      </c>
      <c r="AX99" s="352"/>
      <c r="AY99" s="10"/>
      <c r="AZ99" s="66">
        <f t="shared" si="64"/>
        <v>514443</v>
      </c>
      <c r="BA99" s="67"/>
      <c r="BB99" s="67">
        <v>26243811</v>
      </c>
      <c r="BC99" s="67"/>
      <c r="BD99" s="67">
        <f t="shared" si="65"/>
        <v>26071</v>
      </c>
      <c r="BE99" s="67"/>
      <c r="BF99" s="157">
        <f t="shared" si="66"/>
        <v>5.0678112055174238E-2</v>
      </c>
      <c r="BG99" s="67"/>
      <c r="BH99" s="184"/>
      <c r="BI99" s="67"/>
      <c r="BJ99" s="67"/>
      <c r="BK99" s="67"/>
      <c r="BL99" s="157"/>
      <c r="BM99" s="66">
        <f t="shared" si="67"/>
        <v>291597.90000000002</v>
      </c>
      <c r="BN99" s="67"/>
      <c r="BO99" s="67">
        <f t="shared" si="68"/>
        <v>1965199</v>
      </c>
      <c r="BP99" s="67"/>
      <c r="BQ99" s="74">
        <f t="shared" si="69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>
        <f t="shared" si="56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7"/>
        <v>123365</v>
      </c>
      <c r="AA100" s="33"/>
      <c r="AB100" s="46">
        <f t="shared" si="58"/>
        <v>5.4429713465822427E-2</v>
      </c>
      <c r="AC100" s="33"/>
      <c r="AD100" s="33">
        <f t="shared" si="59"/>
        <v>1355.6593406593406</v>
      </c>
      <c r="AE100" s="50"/>
      <c r="AF100" s="33"/>
      <c r="AG100" s="33"/>
      <c r="AH100" s="232"/>
      <c r="AI100" s="50"/>
      <c r="AJ100" s="10"/>
      <c r="AK100" s="23">
        <f t="shared" si="60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1"/>
        <v>1.3276069987244177E-2</v>
      </c>
      <c r="AR100" s="25"/>
      <c r="AS100" s="25"/>
      <c r="AT100" s="24"/>
      <c r="AU100" s="342">
        <f t="shared" si="62"/>
        <v>0.41076266897742381</v>
      </c>
      <c r="AV100" s="342"/>
      <c r="AW100" s="24">
        <f t="shared" si="63"/>
        <v>10230.703296703297</v>
      </c>
      <c r="AX100" s="352"/>
      <c r="AY100" s="10"/>
      <c r="AZ100" s="66">
        <f t="shared" si="64"/>
        <v>479368</v>
      </c>
      <c r="BA100" s="67"/>
      <c r="BB100" s="67">
        <v>26723179</v>
      </c>
      <c r="BC100" s="67"/>
      <c r="BD100" s="67">
        <f t="shared" si="65"/>
        <v>27924</v>
      </c>
      <c r="BE100" s="67"/>
      <c r="BF100" s="157">
        <f t="shared" si="66"/>
        <v>5.825169806912435E-2</v>
      </c>
      <c r="BG100" s="67"/>
      <c r="BH100" s="184"/>
      <c r="BI100" s="67"/>
      <c r="BJ100" s="67"/>
      <c r="BK100" s="67"/>
      <c r="BL100" s="157"/>
      <c r="BM100" s="66">
        <f t="shared" si="67"/>
        <v>293661.30769230769</v>
      </c>
      <c r="BN100" s="67"/>
      <c r="BO100" s="67">
        <f t="shared" si="68"/>
        <v>1993123</v>
      </c>
      <c r="BP100" s="67"/>
      <c r="BQ100" s="74">
        <f t="shared" si="69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>
        <f t="shared" si="56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7"/>
        <v>124084</v>
      </c>
      <c r="AA101" s="33"/>
      <c r="AB101" s="46">
        <f t="shared" si="58"/>
        <v>5.3948626980400344E-2</v>
      </c>
      <c r="AC101" s="33"/>
      <c r="AD101" s="33">
        <f t="shared" si="59"/>
        <v>1348.7391304347825</v>
      </c>
      <c r="AE101" s="50"/>
      <c r="AF101" s="33"/>
      <c r="AG101" s="33"/>
      <c r="AH101" s="232"/>
      <c r="AI101" s="50"/>
      <c r="AJ101" s="10"/>
      <c r="AK101" s="23">
        <f t="shared" si="60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1"/>
        <v>2.6924985553075528E-2</v>
      </c>
      <c r="AR101" s="25"/>
      <c r="AS101" s="25"/>
      <c r="AT101" s="24"/>
      <c r="AU101" s="342">
        <f t="shared" si="62"/>
        <v>0.41567146658318987</v>
      </c>
      <c r="AV101" s="342"/>
      <c r="AW101" s="24">
        <f t="shared" si="63"/>
        <v>10391.967391304348</v>
      </c>
      <c r="AX101" s="352"/>
      <c r="AY101" s="10"/>
      <c r="AZ101" s="66">
        <f t="shared" si="64"/>
        <v>614206</v>
      </c>
      <c r="BA101" s="67"/>
      <c r="BB101" s="67">
        <v>27337385</v>
      </c>
      <c r="BC101" s="67"/>
      <c r="BD101" s="67">
        <f t="shared" si="65"/>
        <v>33539</v>
      </c>
      <c r="BE101" s="67"/>
      <c r="BF101" s="157">
        <f t="shared" si="66"/>
        <v>5.460545810363298E-2</v>
      </c>
      <c r="BG101" s="67"/>
      <c r="BH101" s="184"/>
      <c r="BI101" s="67"/>
      <c r="BJ101" s="67"/>
      <c r="BK101" s="67"/>
      <c r="BL101" s="157"/>
      <c r="BM101" s="66">
        <f t="shared" si="67"/>
        <v>297145.48913043475</v>
      </c>
      <c r="BN101" s="67"/>
      <c r="BO101" s="67">
        <f t="shared" si="68"/>
        <v>2026662</v>
      </c>
      <c r="BP101" s="67"/>
      <c r="BQ101" s="74">
        <f t="shared" si="69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>
        <f t="shared" si="56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7"/>
        <v>124657</v>
      </c>
      <c r="AA102" s="33"/>
      <c r="AB102" s="46">
        <f t="shared" si="58"/>
        <v>5.3423405894801441E-2</v>
      </c>
      <c r="AC102" s="33"/>
      <c r="AD102" s="33">
        <f t="shared" si="59"/>
        <v>1340.3978494623657</v>
      </c>
      <c r="AE102" s="50"/>
      <c r="AF102" s="33"/>
      <c r="AG102" s="33"/>
      <c r="AH102" s="232"/>
      <c r="AI102" s="50"/>
      <c r="AJ102" s="10"/>
      <c r="AK102" s="23">
        <f t="shared" si="60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1"/>
        <v>1.7655777194133009E-2</v>
      </c>
      <c r="AR102" s="25"/>
      <c r="AS102" s="25"/>
      <c r="AT102" s="24"/>
      <c r="AU102" s="342">
        <f t="shared" si="62"/>
        <v>0.41696673235112358</v>
      </c>
      <c r="AV102" s="342"/>
      <c r="AW102" s="24">
        <f t="shared" si="63"/>
        <v>10461.731182795698</v>
      </c>
      <c r="AX102" s="352"/>
      <c r="AY102" s="10"/>
      <c r="AZ102" s="66">
        <f t="shared" si="64"/>
        <v>638478</v>
      </c>
      <c r="BA102" s="67"/>
      <c r="BB102" s="67">
        <v>27975863</v>
      </c>
      <c r="BC102" s="67"/>
      <c r="BD102" s="67">
        <f t="shared" si="65"/>
        <v>33338</v>
      </c>
      <c r="BE102" s="67"/>
      <c r="BF102" s="157">
        <f t="shared" si="66"/>
        <v>5.2214798317248207E-2</v>
      </c>
      <c r="BG102" s="67"/>
      <c r="BH102" s="184"/>
      <c r="BI102" s="67"/>
      <c r="BJ102" s="67"/>
      <c r="BK102" s="67"/>
      <c r="BL102" s="157"/>
      <c r="BM102" s="66">
        <f t="shared" si="67"/>
        <v>300815.73118279572</v>
      </c>
      <c r="BN102" s="67"/>
      <c r="BO102" s="67">
        <f t="shared" si="68"/>
        <v>2060000</v>
      </c>
      <c r="BP102" s="67"/>
      <c r="BQ102" s="74">
        <f t="shared" si="69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 t="shared" si="56"/>
        <v>25100.606382978724</v>
      </c>
      <c r="O103" s="41"/>
      <c r="P103" s="17">
        <f>SUM(D97:D103)</f>
        <v>192967</v>
      </c>
      <c r="Q103" s="16"/>
      <c r="R103" s="60">
        <f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7"/>
        <v>124924</v>
      </c>
      <c r="AA103" s="33"/>
      <c r="AB103" s="46">
        <f t="shared" si="58"/>
        <v>5.2946080390530531E-2</v>
      </c>
      <c r="AC103" s="33"/>
      <c r="AD103" s="33">
        <f t="shared" si="59"/>
        <v>1328.9787234042553</v>
      </c>
      <c r="AE103" s="50"/>
      <c r="AF103" s="33">
        <f>SUM(V97:V103)</f>
        <v>4386</v>
      </c>
      <c r="AG103" s="33"/>
      <c r="AH103" s="232">
        <f>+(AF103-AF96)/AF96</f>
        <v>-0.18611987381703471</v>
      </c>
      <c r="AI103" s="50"/>
      <c r="AJ103" s="392"/>
      <c r="AK103" s="23">
        <f t="shared" si="60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1"/>
        <v>7.620194852514181E-3</v>
      </c>
      <c r="AR103" s="25"/>
      <c r="AS103" s="25"/>
      <c r="AT103" s="24"/>
      <c r="AU103" s="342">
        <f t="shared" si="62"/>
        <v>0.41550026128893214</v>
      </c>
      <c r="AV103" s="342"/>
      <c r="AW103" s="24">
        <f t="shared" si="63"/>
        <v>10429.308510638299</v>
      </c>
      <c r="AX103" s="352"/>
      <c r="AY103" s="392"/>
      <c r="AZ103" s="66">
        <f t="shared" si="64"/>
        <v>516127</v>
      </c>
      <c r="BA103" s="67"/>
      <c r="BB103" s="67">
        <v>28491990</v>
      </c>
      <c r="BC103" s="67"/>
      <c r="BD103" s="67">
        <f t="shared" si="65"/>
        <v>26079</v>
      </c>
      <c r="BE103" s="67"/>
      <c r="BF103" s="157">
        <f t="shared" si="66"/>
        <v>5.0528261455029477E-2</v>
      </c>
      <c r="BG103" s="67"/>
      <c r="BH103" s="184"/>
      <c r="BI103" s="67"/>
      <c r="BJ103" s="67">
        <f>SUM(AZ97:AZ103)</f>
        <v>3701059</v>
      </c>
      <c r="BK103" s="67"/>
      <c r="BL103" s="157">
        <f>+P103/BJ103</f>
        <v>5.2138320410455491E-2</v>
      </c>
      <c r="BM103" s="66">
        <f t="shared" si="67"/>
        <v>303106.27659574465</v>
      </c>
      <c r="BN103" s="67"/>
      <c r="BO103" s="67">
        <f t="shared" si="68"/>
        <v>2086079</v>
      </c>
      <c r="BP103" s="67"/>
      <c r="BQ103" s="479">
        <f t="shared" si="69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>
        <f t="shared" si="56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7"/>
        <v>125287</v>
      </c>
      <c r="AA104" s="33"/>
      <c r="AB104" s="46">
        <f t="shared" si="58"/>
        <v>5.2400444508946854E-2</v>
      </c>
      <c r="AC104" s="33"/>
      <c r="AD104" s="33">
        <f t="shared" si="59"/>
        <v>1318.8105263157895</v>
      </c>
      <c r="AE104" s="50"/>
      <c r="AF104" s="33"/>
      <c r="AG104" s="33"/>
      <c r="AH104" s="232"/>
      <c r="AI104" s="50"/>
      <c r="AJ104" s="10"/>
      <c r="AK104" s="23">
        <f t="shared" si="60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1"/>
        <v>2.3026352698767284E-2</v>
      </c>
      <c r="AR104" s="25"/>
      <c r="AS104" s="25"/>
      <c r="AT104" s="24"/>
      <c r="AU104" s="342">
        <f t="shared" si="62"/>
        <v>0.41946830406118396</v>
      </c>
      <c r="AV104" s="342"/>
      <c r="AW104" s="24">
        <f t="shared" si="63"/>
        <v>10557.147368421052</v>
      </c>
      <c r="AX104" s="352"/>
      <c r="AY104" s="10"/>
      <c r="AZ104" s="66">
        <f t="shared" si="64"/>
        <v>521192</v>
      </c>
      <c r="BA104" s="67"/>
      <c r="BB104" s="67">
        <v>29013182</v>
      </c>
      <c r="BC104" s="67"/>
      <c r="BD104" s="67">
        <f t="shared" si="65"/>
        <v>31496</v>
      </c>
      <c r="BE104" s="67"/>
      <c r="BF104" s="157">
        <f t="shared" si="66"/>
        <v>6.0430704999309276E-2</v>
      </c>
      <c r="BG104" s="67"/>
      <c r="BH104" s="184"/>
      <c r="BI104" s="67"/>
      <c r="BJ104" s="67"/>
      <c r="BK104" s="67"/>
      <c r="BL104" s="157"/>
      <c r="BM104" s="66">
        <f t="shared" si="67"/>
        <v>305401.91578947369</v>
      </c>
      <c r="BN104" s="67"/>
      <c r="BO104" s="67">
        <f t="shared" si="68"/>
        <v>2117575</v>
      </c>
      <c r="BP104" s="67"/>
      <c r="BQ104" s="479">
        <f t="shared" si="69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>
        <f t="shared" si="56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7"/>
        <v>126158</v>
      </c>
      <c r="AA105" s="33"/>
      <c r="AB105" s="46">
        <f t="shared" si="58"/>
        <v>5.1981239320623769E-2</v>
      </c>
      <c r="AC105" s="33"/>
      <c r="AD105" s="33">
        <f t="shared" si="59"/>
        <v>1314.1458333333333</v>
      </c>
      <c r="AE105" s="50"/>
      <c r="AF105" s="33"/>
      <c r="AG105" s="33"/>
      <c r="AH105" s="232"/>
      <c r="AI105" s="50"/>
      <c r="AJ105" s="10"/>
      <c r="AK105" s="23">
        <f t="shared" si="60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1"/>
        <v>1.7401032376170196E-2</v>
      </c>
      <c r="AR105" s="25"/>
      <c r="AS105" s="25"/>
      <c r="AT105" s="24"/>
      <c r="AU105" s="342">
        <f t="shared" si="62"/>
        <v>0.42043048367299263</v>
      </c>
      <c r="AV105" s="342"/>
      <c r="AW105" s="24">
        <f t="shared" si="63"/>
        <v>10628.96875</v>
      </c>
      <c r="AX105" s="352"/>
      <c r="AY105" s="10"/>
      <c r="AZ105" s="66">
        <f t="shared" si="64"/>
        <v>539508</v>
      </c>
      <c r="BA105" s="67"/>
      <c r="BB105" s="67">
        <v>29552690</v>
      </c>
      <c r="BC105" s="67"/>
      <c r="BD105" s="67">
        <f t="shared" si="65"/>
        <v>36038</v>
      </c>
      <c r="BE105" s="67"/>
      <c r="BF105" s="157">
        <f t="shared" si="66"/>
        <v>6.6797897343505566E-2</v>
      </c>
      <c r="BG105" s="67"/>
      <c r="BH105" s="184"/>
      <c r="BI105" s="67"/>
      <c r="BJ105" s="67"/>
      <c r="BK105" s="67"/>
      <c r="BL105" s="157"/>
      <c r="BM105" s="66">
        <f t="shared" si="67"/>
        <v>307840.52083333331</v>
      </c>
      <c r="BN105" s="67"/>
      <c r="BO105" s="67">
        <f t="shared" si="68"/>
        <v>2153613</v>
      </c>
      <c r="BP105" s="67"/>
      <c r="BQ105" s="479">
        <f t="shared" si="69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>
        <f t="shared" si="56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7"/>
        <v>126977</v>
      </c>
      <c r="AA106" s="33"/>
      <c r="AB106" s="46">
        <f t="shared" si="58"/>
        <v>5.1503547290240176E-2</v>
      </c>
      <c r="AC106" s="33"/>
      <c r="AD106" s="33">
        <f t="shared" si="59"/>
        <v>1309.0412371134021</v>
      </c>
      <c r="AE106" s="50"/>
      <c r="AF106" s="33"/>
      <c r="AG106" s="33"/>
      <c r="AH106" s="232"/>
      <c r="AI106" s="50"/>
      <c r="AJ106" s="10"/>
      <c r="AK106" s="23">
        <f t="shared" si="60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1"/>
        <v>1.9820047609667369E-2</v>
      </c>
      <c r="AR106" s="25"/>
      <c r="AS106" s="25"/>
      <c r="AT106" s="24"/>
      <c r="AU106" s="342">
        <f t="shared" si="62"/>
        <v>0.42208312393551883</v>
      </c>
      <c r="AV106" s="342"/>
      <c r="AW106" s="24">
        <f t="shared" si="63"/>
        <v>10727.886597938144</v>
      </c>
      <c r="AX106" s="352"/>
      <c r="AY106" s="10"/>
      <c r="AZ106" s="66">
        <f t="shared" si="64"/>
        <v>507174</v>
      </c>
      <c r="BA106" s="67"/>
      <c r="BB106" s="67">
        <f>30059864</f>
        <v>30059864</v>
      </c>
      <c r="BC106" s="67"/>
      <c r="BD106" s="67">
        <f t="shared" si="65"/>
        <v>38412</v>
      </c>
      <c r="BE106" s="67"/>
      <c r="BF106" s="157">
        <f t="shared" si="66"/>
        <v>7.5737320919447765E-2</v>
      </c>
      <c r="BG106" s="67"/>
      <c r="BH106" s="184"/>
      <c r="BI106" s="67"/>
      <c r="BJ106" s="67"/>
      <c r="BK106" s="67"/>
      <c r="BL106" s="157"/>
      <c r="BM106" s="66">
        <f t="shared" si="67"/>
        <v>309895.50515463919</v>
      </c>
      <c r="BN106" s="67"/>
      <c r="BO106" s="67">
        <f t="shared" si="68"/>
        <v>2192025</v>
      </c>
      <c r="BP106" s="67"/>
      <c r="BQ106" s="479">
        <f t="shared" si="69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>
        <f t="shared" si="56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7"/>
        <v>127630</v>
      </c>
      <c r="AA107" s="33"/>
      <c r="AB107" s="46">
        <f t="shared" si="58"/>
        <v>5.0937594163508758E-2</v>
      </c>
      <c r="AC107" s="33"/>
      <c r="AD107" s="33">
        <f t="shared" si="59"/>
        <v>1302.3469387755101</v>
      </c>
      <c r="AE107" s="50"/>
      <c r="AF107" s="33"/>
      <c r="AG107" s="33"/>
      <c r="AH107" s="232"/>
      <c r="AI107" s="50"/>
      <c r="AJ107" s="10"/>
      <c r="AK107" s="23">
        <f t="shared" si="60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1"/>
        <v>1.1231927580590138E-2</v>
      </c>
      <c r="AR107" s="25"/>
      <c r="AS107" s="25"/>
      <c r="AT107" s="24"/>
      <c r="AU107" s="342">
        <f t="shared" si="62"/>
        <v>0.41997393853405252</v>
      </c>
      <c r="AV107" s="342"/>
      <c r="AW107" s="24">
        <f t="shared" si="63"/>
        <v>10737.683673469388</v>
      </c>
      <c r="AX107" s="352"/>
      <c r="AY107" s="10"/>
      <c r="AZ107" s="66">
        <f t="shared" si="64"/>
        <v>672688</v>
      </c>
      <c r="BA107" s="67"/>
      <c r="BB107" s="67">
        <v>30732552</v>
      </c>
      <c r="BC107" s="67"/>
      <c r="BD107" s="67">
        <f t="shared" si="65"/>
        <v>40212</v>
      </c>
      <c r="BE107" s="67"/>
      <c r="BF107" s="157">
        <f t="shared" si="66"/>
        <v>5.9778084342221059E-2</v>
      </c>
      <c r="BG107" s="67"/>
      <c r="BH107" s="184"/>
      <c r="BI107" s="67"/>
      <c r="BJ107" s="67"/>
      <c r="BK107" s="67"/>
      <c r="BL107" s="157"/>
      <c r="BM107" s="66">
        <f t="shared" si="67"/>
        <v>313597.46938775509</v>
      </c>
      <c r="BN107" s="67"/>
      <c r="BO107" s="67">
        <f t="shared" si="68"/>
        <v>2232237</v>
      </c>
      <c r="BP107" s="67"/>
      <c r="BQ107" s="479">
        <f t="shared" si="69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>
        <f t="shared" si="56"/>
        <v>25787.434343434343</v>
      </c>
      <c r="O108" s="41"/>
      <c r="P108" s="17"/>
      <c r="Q108" s="16"/>
      <c r="R108" s="60"/>
      <c r="S108" s="16"/>
      <c r="T108" s="41"/>
      <c r="V108" s="34">
        <v>663</v>
      </c>
      <c r="W108" s="33"/>
      <c r="X108" s="33"/>
      <c r="Y108" s="33"/>
      <c r="Z108" s="33">
        <f t="shared" si="57"/>
        <v>128293</v>
      </c>
      <c r="AA108" s="33"/>
      <c r="AB108" s="46">
        <f t="shared" si="58"/>
        <v>5.0252726643154055E-2</v>
      </c>
      <c r="AC108" s="33"/>
      <c r="AD108" s="33">
        <f t="shared" si="59"/>
        <v>1295.8888888888889</v>
      </c>
      <c r="AE108" s="50"/>
      <c r="AF108" s="33"/>
      <c r="AG108" s="33"/>
      <c r="AH108" s="232"/>
      <c r="AI108" s="50"/>
      <c r="AJ108" s="10"/>
      <c r="AK108" s="23">
        <f t="shared" si="60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1"/>
        <v>1.55945159760637E-2</v>
      </c>
      <c r="AR108" s="25"/>
      <c r="AS108" s="25"/>
      <c r="AT108" s="24"/>
      <c r="AU108" s="342">
        <f t="shared" si="62"/>
        <v>0.41861395182682348</v>
      </c>
      <c r="AV108" s="342"/>
      <c r="AW108" s="24">
        <f t="shared" si="63"/>
        <v>10794.979797979799</v>
      </c>
      <c r="AX108" s="352"/>
      <c r="AY108" s="10"/>
      <c r="AZ108" s="66">
        <f t="shared" si="64"/>
        <v>619948</v>
      </c>
      <c r="BA108" s="67"/>
      <c r="BB108" s="67">
        <v>31352500</v>
      </c>
      <c r="BC108" s="67"/>
      <c r="BD108" s="67">
        <f t="shared" si="65"/>
        <v>47341</v>
      </c>
      <c r="BE108" s="67"/>
      <c r="BF108" s="157">
        <f t="shared" si="66"/>
        <v>7.6362856239555577E-2</v>
      </c>
      <c r="BG108" s="67"/>
      <c r="BH108" s="184"/>
      <c r="BI108" s="67"/>
      <c r="BJ108" s="67"/>
      <c r="BK108" s="67"/>
      <c r="BL108" s="157"/>
      <c r="BM108" s="66">
        <f t="shared" si="67"/>
        <v>316691.91919191921</v>
      </c>
      <c r="BN108" s="67"/>
      <c r="BO108" s="67">
        <f t="shared" si="68"/>
        <v>2279578</v>
      </c>
      <c r="BP108" s="67"/>
      <c r="BQ108" s="479">
        <f t="shared" si="69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>
        <f t="shared" ref="N109:N126" si="71">+H109/BV109</f>
        <v>25965.37</v>
      </c>
      <c r="O109" s="41"/>
      <c r="P109" s="17"/>
      <c r="Q109" s="16"/>
      <c r="R109" s="60"/>
      <c r="S109" s="16"/>
      <c r="T109" s="41"/>
      <c r="U109" s="10">
        <v>1</v>
      </c>
      <c r="V109" s="34">
        <v>512</v>
      </c>
      <c r="W109" s="33"/>
      <c r="X109" s="33"/>
      <c r="Y109" s="33"/>
      <c r="Z109" s="33">
        <f t="shared" ref="Z109:Z126" si="72">+Z108+V109</f>
        <v>128805</v>
      </c>
      <c r="AA109" s="33"/>
      <c r="AB109" s="46">
        <f t="shared" ref="AB109:AB126" si="73">+Z109/H109</f>
        <v>4.9606456599694128E-2</v>
      </c>
      <c r="AC109" s="33"/>
      <c r="AD109" s="33">
        <f t="shared" ref="AD109:AD126" si="74">+Z109/BV109</f>
        <v>1288.05</v>
      </c>
      <c r="AE109" s="50"/>
      <c r="AF109" s="33"/>
      <c r="AG109" s="33"/>
      <c r="AH109" s="232"/>
      <c r="AI109" s="50"/>
      <c r="AJ109" s="10"/>
      <c r="AK109" s="23">
        <f t="shared" ref="AK109:AK126" si="75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:AQ126" si="76">+AK109/AO108</f>
        <v>1.1915377799070462E-2</v>
      </c>
      <c r="AR109" s="25"/>
      <c r="AS109" s="25"/>
      <c r="AT109" s="24"/>
      <c r="AU109" s="342">
        <f t="shared" ref="AU109:AU126" si="77">+AO109/H109</f>
        <v>0.41649204305580856</v>
      </c>
      <c r="AV109" s="342"/>
      <c r="AW109" s="24">
        <f t="shared" ref="AW109:AW126" si="78">+AO109/BV109</f>
        <v>10814.37</v>
      </c>
      <c r="AX109" s="352"/>
      <c r="AY109" s="10"/>
      <c r="AZ109" s="66">
        <f t="shared" ref="AZ109:AZ126" si="79">+BB109-BB108</f>
        <v>645524</v>
      </c>
      <c r="BA109" s="67"/>
      <c r="BB109" s="67">
        <v>31998024</v>
      </c>
      <c r="BC109" s="67"/>
      <c r="BD109" s="67">
        <f t="shared" ref="BD109:BD126" si="80">+D109</f>
        <v>43581</v>
      </c>
      <c r="BE109" s="67"/>
      <c r="BF109" s="157">
        <f t="shared" ref="BF109:BF126" si="81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:BM126" si="82">+BB109/BV109</f>
        <v>319980.24</v>
      </c>
      <c r="BN109" s="67"/>
      <c r="BO109" s="67">
        <f t="shared" ref="BO109:BO126" si="83">+BO108+BD109</f>
        <v>2323159</v>
      </c>
      <c r="BP109" s="67"/>
      <c r="BQ109" s="479">
        <f t="shared" ref="BQ109:BQ126" si="84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 t="shared" si="71"/>
        <v>26109.673267326732</v>
      </c>
      <c r="O110" s="41"/>
      <c r="P110" s="17">
        <f>SUM(D104:D110)</f>
        <v>277620</v>
      </c>
      <c r="Q110" s="16"/>
      <c r="R110" s="60">
        <f>+(P110-P103)/P103</f>
        <v>0.43869158975368844</v>
      </c>
      <c r="S110" s="16"/>
      <c r="T110" s="41"/>
      <c r="U110" s="392">
        <f>+U109+1</f>
        <v>2</v>
      </c>
      <c r="V110" s="34">
        <v>285</v>
      </c>
      <c r="W110" s="33"/>
      <c r="X110" s="33"/>
      <c r="Y110" s="33"/>
      <c r="Z110" s="33">
        <f t="shared" si="72"/>
        <v>129090</v>
      </c>
      <c r="AA110" s="33"/>
      <c r="AB110" s="46">
        <f t="shared" si="73"/>
        <v>4.8951926697627712E-2</v>
      </c>
      <c r="AC110" s="33"/>
      <c r="AD110" s="33">
        <f t="shared" si="74"/>
        <v>1278.1188118811881</v>
      </c>
      <c r="AE110" s="50"/>
      <c r="AF110" s="33">
        <f>SUM(V104:V110)</f>
        <v>4166</v>
      </c>
      <c r="AG110" s="33"/>
      <c r="AH110" s="232">
        <f>+(AF110-AF103)/AF103</f>
        <v>-5.0159598723210214E-2</v>
      </c>
      <c r="AI110" s="50"/>
      <c r="AJ110" s="392"/>
      <c r="AK110" s="23">
        <f t="shared" si="75"/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si="76"/>
        <v>1.1113916020997988E-2</v>
      </c>
      <c r="AR110" s="25"/>
      <c r="AS110" s="25"/>
      <c r="AT110" s="24"/>
      <c r="AU110" s="342">
        <f t="shared" si="77"/>
        <v>0.41464697466171824</v>
      </c>
      <c r="AV110" s="342"/>
      <c r="AW110" s="24">
        <f t="shared" si="78"/>
        <v>10826.29702970297</v>
      </c>
      <c r="AX110" s="352"/>
      <c r="AY110" s="392"/>
      <c r="AZ110" s="66">
        <f t="shared" si="79"/>
        <v>594344</v>
      </c>
      <c r="BA110" s="67"/>
      <c r="BB110" s="67">
        <f>32592368</f>
        <v>32592368</v>
      </c>
      <c r="BC110" s="67"/>
      <c r="BD110" s="67">
        <f t="shared" si="80"/>
        <v>40540</v>
      </c>
      <c r="BE110" s="67"/>
      <c r="BF110" s="157">
        <f t="shared" si="81"/>
        <v>6.8209656360626175E-2</v>
      </c>
      <c r="BG110" s="67"/>
      <c r="BH110" s="184"/>
      <c r="BI110" s="67"/>
      <c r="BJ110" s="67">
        <f>SUM(AZ104:AZ110)</f>
        <v>4100378</v>
      </c>
      <c r="BK110" s="67"/>
      <c r="BL110" s="157">
        <f>+P110/BJ110</f>
        <v>6.7705952963360932E-2</v>
      </c>
      <c r="BM110" s="66">
        <f t="shared" si="82"/>
        <v>322696.71287128713</v>
      </c>
      <c r="BN110" s="67"/>
      <c r="BO110" s="67">
        <f t="shared" si="83"/>
        <v>2363699</v>
      </c>
      <c r="BP110" s="67"/>
      <c r="BQ110" s="479">
        <f t="shared" si="84"/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>
        <f t="shared" si="71"/>
        <v>26292.264705882353</v>
      </c>
      <c r="O111" s="41"/>
      <c r="P111" s="17"/>
      <c r="Q111" s="16"/>
      <c r="R111" s="60"/>
      <c r="S111" s="16"/>
      <c r="T111" s="41"/>
      <c r="U111" s="10">
        <f t="shared" ref="U111:U138" si="85">+U110+1</f>
        <v>3</v>
      </c>
      <c r="V111" s="34">
        <v>346</v>
      </c>
      <c r="W111" s="33"/>
      <c r="X111" s="33"/>
      <c r="Y111" s="33"/>
      <c r="Z111" s="33">
        <f t="shared" si="72"/>
        <v>129436</v>
      </c>
      <c r="AA111" s="33"/>
      <c r="AB111" s="46">
        <f t="shared" si="73"/>
        <v>4.8264400436868964E-2</v>
      </c>
      <c r="AC111" s="33"/>
      <c r="AD111" s="33">
        <f t="shared" si="74"/>
        <v>1268.9803921568628</v>
      </c>
      <c r="AE111" s="50"/>
      <c r="AF111" s="33"/>
      <c r="AG111" s="33"/>
      <c r="AH111" s="232"/>
      <c r="AI111" s="50"/>
      <c r="AJ111" s="10"/>
      <c r="AK111" s="23">
        <f t="shared" si="75"/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si="76"/>
        <v>2.1693602668968848E-2</v>
      </c>
      <c r="AR111" s="25"/>
      <c r="AS111" s="25"/>
      <c r="AT111" s="24"/>
      <c r="AU111" s="342">
        <f t="shared" si="77"/>
        <v>0.41657559015158041</v>
      </c>
      <c r="AV111" s="342"/>
      <c r="AW111" s="24">
        <f t="shared" si="78"/>
        <v>10952.715686274511</v>
      </c>
      <c r="AX111" s="352"/>
      <c r="AY111" s="10"/>
      <c r="AZ111" s="66">
        <f t="shared" si="79"/>
        <v>597145</v>
      </c>
      <c r="BA111" s="67"/>
      <c r="BB111" s="67">
        <v>33189513</v>
      </c>
      <c r="BC111" s="67"/>
      <c r="BD111" s="67">
        <f t="shared" si="80"/>
        <v>44734</v>
      </c>
      <c r="BE111" s="67"/>
      <c r="BF111" s="157">
        <f t="shared" si="81"/>
        <v>7.4913128302171159E-2</v>
      </c>
      <c r="BG111" s="67"/>
      <c r="BH111" s="184"/>
      <c r="BI111" s="67"/>
      <c r="BJ111" s="67"/>
      <c r="BK111" s="67"/>
      <c r="BL111" s="157"/>
      <c r="BM111" s="66">
        <f t="shared" si="82"/>
        <v>325387.3823529412</v>
      </c>
      <c r="BN111" s="67"/>
      <c r="BO111" s="67">
        <f t="shared" si="83"/>
        <v>2408433</v>
      </c>
      <c r="BP111" s="67"/>
      <c r="BQ111" s="479">
        <f t="shared" si="84"/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>
        <f t="shared" si="71"/>
        <v>26484.009708737864</v>
      </c>
      <c r="O112" s="41"/>
      <c r="P112" s="17"/>
      <c r="Q112" s="16"/>
      <c r="R112" s="60"/>
      <c r="S112" s="16"/>
      <c r="T112" s="41"/>
      <c r="U112" s="10">
        <f t="shared" si="85"/>
        <v>4</v>
      </c>
      <c r="V112" s="34">
        <v>764</v>
      </c>
      <c r="W112" s="33"/>
      <c r="X112" s="33"/>
      <c r="Y112" s="33"/>
      <c r="Z112" s="33">
        <f t="shared" si="72"/>
        <v>130200</v>
      </c>
      <c r="AA112" s="33"/>
      <c r="AB112" s="46">
        <f t="shared" si="73"/>
        <v>4.7729844680046908E-2</v>
      </c>
      <c r="AC112" s="33"/>
      <c r="AD112" s="33">
        <f t="shared" si="74"/>
        <v>1264.0776699029127</v>
      </c>
      <c r="AE112" s="50"/>
      <c r="AF112" s="33"/>
      <c r="AG112" s="33"/>
      <c r="AH112" s="232"/>
      <c r="AI112" s="50"/>
      <c r="AJ112" s="10"/>
      <c r="AK112" s="23">
        <f t="shared" si="75"/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si="76"/>
        <v>2.3413478795213293E-2</v>
      </c>
      <c r="AR112" s="25"/>
      <c r="AS112" s="25"/>
      <c r="AT112" s="24"/>
      <c r="AU112" s="342">
        <f t="shared" si="77"/>
        <v>0.41913328907386138</v>
      </c>
      <c r="AV112" s="342"/>
      <c r="AW112" s="24">
        <f t="shared" si="78"/>
        <v>11100.330097087379</v>
      </c>
      <c r="AX112" s="352"/>
      <c r="AY112" s="10"/>
      <c r="AZ112" s="66">
        <f t="shared" si="79"/>
        <v>1008514</v>
      </c>
      <c r="BA112" s="67"/>
      <c r="BB112" s="67">
        <v>34198027</v>
      </c>
      <c r="BC112" s="67"/>
      <c r="BD112" s="67">
        <f t="shared" si="80"/>
        <v>46042</v>
      </c>
      <c r="BE112" s="67"/>
      <c r="BF112" s="157">
        <f t="shared" si="81"/>
        <v>4.5653307737919355E-2</v>
      </c>
      <c r="BG112" s="67"/>
      <c r="BH112" s="184"/>
      <c r="BI112" s="67"/>
      <c r="BJ112" s="67"/>
      <c r="BK112" s="67"/>
      <c r="BL112" s="157"/>
      <c r="BM112" s="66">
        <f t="shared" si="82"/>
        <v>332019.67961165047</v>
      </c>
      <c r="BN112" s="67"/>
      <c r="BO112" s="67">
        <f t="shared" si="83"/>
        <v>2454475</v>
      </c>
      <c r="BP112" s="67"/>
      <c r="BQ112" s="479">
        <f t="shared" si="84"/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>
        <f t="shared" si="71"/>
        <v>26720.673076923078</v>
      </c>
      <c r="O113" s="41"/>
      <c r="P113" s="17"/>
      <c r="Q113" s="16"/>
      <c r="R113" s="60"/>
      <c r="S113" s="16"/>
      <c r="T113" s="41"/>
      <c r="U113" s="10">
        <f t="shared" si="85"/>
        <v>5</v>
      </c>
      <c r="V113" s="34">
        <v>676</v>
      </c>
      <c r="W113" s="33"/>
      <c r="X113" s="33"/>
      <c r="Y113" s="33"/>
      <c r="Z113" s="33">
        <f t="shared" si="72"/>
        <v>130876</v>
      </c>
      <c r="AA113" s="33"/>
      <c r="AB113" s="46">
        <f t="shared" si="73"/>
        <v>4.7095485705032476E-2</v>
      </c>
      <c r="AC113" s="33"/>
      <c r="AD113" s="33">
        <f t="shared" si="74"/>
        <v>1258.4230769230769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si="75"/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si="76"/>
        <v>1.8337598636968724E-2</v>
      </c>
      <c r="AR113" s="25"/>
      <c r="AS113" s="25"/>
      <c r="AT113" s="24"/>
      <c r="AU113" s="342">
        <f t="shared" si="77"/>
        <v>0.41897119415606615</v>
      </c>
      <c r="AV113" s="342"/>
      <c r="AW113" s="24">
        <f t="shared" si="78"/>
        <v>11195.192307692309</v>
      </c>
      <c r="AX113" s="352"/>
      <c r="AY113" s="10"/>
      <c r="AZ113" s="66">
        <f t="shared" si="79"/>
        <v>657615</v>
      </c>
      <c r="BA113" s="67"/>
      <c r="BB113" s="67">
        <v>34855642</v>
      </c>
      <c r="BC113" s="67"/>
      <c r="BD113" s="67">
        <f t="shared" si="80"/>
        <v>51097</v>
      </c>
      <c r="BE113" s="67"/>
      <c r="BF113" s="157">
        <f t="shared" si="81"/>
        <v>7.7700478243349066E-2</v>
      </c>
      <c r="BG113" s="67"/>
      <c r="BH113" s="184"/>
      <c r="BI113" s="67"/>
      <c r="BJ113" s="67"/>
      <c r="BK113" s="67"/>
      <c r="BL113" s="157"/>
      <c r="BM113" s="66">
        <f t="shared" si="82"/>
        <v>335150.40384615387</v>
      </c>
      <c r="BN113" s="67"/>
      <c r="BO113" s="67">
        <f t="shared" si="83"/>
        <v>2505572</v>
      </c>
      <c r="BP113" s="67"/>
      <c r="BQ113" s="479">
        <f t="shared" si="84"/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6" t="s">
        <v>150</v>
      </c>
      <c r="J114" s="38">
        <f t="shared" si="70"/>
        <v>2.1545907626981414E-2</v>
      </c>
      <c r="K114" s="16"/>
      <c r="L114" s="16"/>
      <c r="M114" s="16"/>
      <c r="N114" s="16">
        <f t="shared" si="71"/>
        <v>27095.876190476192</v>
      </c>
      <c r="O114" s="41"/>
      <c r="P114" s="17"/>
      <c r="Q114" s="16"/>
      <c r="R114" s="60"/>
      <c r="S114" s="16"/>
      <c r="T114" s="41"/>
      <c r="U114" s="10">
        <f t="shared" si="85"/>
        <v>6</v>
      </c>
      <c r="V114" s="34">
        <f>604-30-21</f>
        <v>553</v>
      </c>
      <c r="W114" s="33"/>
      <c r="X114" s="33"/>
      <c r="Y114" s="535" t="s">
        <v>150</v>
      </c>
      <c r="Z114" s="33">
        <f t="shared" si="72"/>
        <v>131429</v>
      </c>
      <c r="AA114" s="33"/>
      <c r="AB114" s="46">
        <f t="shared" si="73"/>
        <v>4.6195397155849055E-2</v>
      </c>
      <c r="AC114" s="33"/>
      <c r="AD114" s="33">
        <f t="shared" si="74"/>
        <v>1251.7047619047619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si="75"/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si="76"/>
        <v>1.7932663402903032E-2</v>
      </c>
      <c r="AR114" s="25"/>
      <c r="AS114" s="25"/>
      <c r="AT114" s="24"/>
      <c r="AU114" s="342">
        <f t="shared" si="77"/>
        <v>0.41657331795701119</v>
      </c>
      <c r="AV114" s="342"/>
      <c r="AW114" s="24">
        <f t="shared" si="78"/>
        <v>11287.419047619047</v>
      </c>
      <c r="AX114" s="352"/>
      <c r="AY114" s="10"/>
      <c r="AZ114" s="66">
        <f t="shared" si="79"/>
        <v>682358</v>
      </c>
      <c r="BA114" s="67"/>
      <c r="BB114" s="67">
        <v>35538000</v>
      </c>
      <c r="BC114" s="67"/>
      <c r="BD114" s="67">
        <f t="shared" si="80"/>
        <v>59875</v>
      </c>
      <c r="BE114" s="67"/>
      <c r="BF114" s="157">
        <f t="shared" si="81"/>
        <v>8.7747194288042341E-2</v>
      </c>
      <c r="BG114" s="67"/>
      <c r="BH114" s="184"/>
      <c r="BI114" s="67"/>
      <c r="BJ114" s="67"/>
      <c r="BK114" s="67"/>
      <c r="BL114" s="157"/>
      <c r="BM114" s="66">
        <f t="shared" si="82"/>
        <v>338457.14285714284</v>
      </c>
      <c r="BN114" s="67"/>
      <c r="BO114" s="67">
        <f t="shared" si="83"/>
        <v>2565447</v>
      </c>
      <c r="BP114" s="67"/>
      <c r="BQ114" s="479">
        <f t="shared" si="84"/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6" t="s">
        <v>150</v>
      </c>
      <c r="J115" s="38">
        <f t="shared" si="70"/>
        <v>2.0418148324802193E-2</v>
      </c>
      <c r="K115" s="16"/>
      <c r="L115" s="16"/>
      <c r="M115" s="16"/>
      <c r="N115" s="16">
        <f t="shared" si="71"/>
        <v>27388.283018867925</v>
      </c>
      <c r="O115" s="41"/>
      <c r="P115" s="17"/>
      <c r="Q115" s="16"/>
      <c r="R115" s="60"/>
      <c r="S115" s="16"/>
      <c r="T115" s="41"/>
      <c r="U115" s="10">
        <f t="shared" si="85"/>
        <v>7</v>
      </c>
      <c r="V115" s="34">
        <v>616</v>
      </c>
      <c r="W115" s="33"/>
      <c r="X115" s="33"/>
      <c r="Y115" s="33"/>
      <c r="Z115" s="33">
        <f t="shared" si="72"/>
        <v>132045</v>
      </c>
      <c r="AA115" s="33"/>
      <c r="AB115" s="46">
        <f t="shared" si="73"/>
        <v>4.5483228952747319E-2</v>
      </c>
      <c r="AC115" s="33"/>
      <c r="AD115" s="33">
        <f t="shared" si="74"/>
        <v>1245.7075471698113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si="75"/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si="76"/>
        <v>4.2448440277797699E-2</v>
      </c>
      <c r="AR115" s="25"/>
      <c r="AS115" s="25"/>
      <c r="AT115" s="24"/>
      <c r="AU115" s="342">
        <f t="shared" si="77"/>
        <v>0.42556691712955341</v>
      </c>
      <c r="AV115" s="342"/>
      <c r="AW115" s="24">
        <f t="shared" si="78"/>
        <v>11655.547169811322</v>
      </c>
      <c r="AX115" s="352"/>
      <c r="AY115" s="10"/>
      <c r="AZ115" s="66">
        <f t="shared" si="79"/>
        <v>759195</v>
      </c>
      <c r="BA115" s="67"/>
      <c r="BB115" s="67">
        <v>36297195</v>
      </c>
      <c r="BC115" s="67"/>
      <c r="BD115" s="67">
        <f t="shared" si="80"/>
        <v>58091</v>
      </c>
      <c r="BE115" s="67"/>
      <c r="BF115" s="157">
        <f t="shared" si="81"/>
        <v>7.6516573475852709E-2</v>
      </c>
      <c r="BG115" s="67"/>
      <c r="BH115" s="184"/>
      <c r="BI115" s="67"/>
      <c r="BJ115" s="67"/>
      <c r="BK115" s="67"/>
      <c r="BL115" s="157"/>
      <c r="BM115" s="66">
        <f t="shared" si="82"/>
        <v>342426.36792452831</v>
      </c>
      <c r="BN115" s="67"/>
      <c r="BO115" s="67">
        <f t="shared" si="83"/>
        <v>2623538</v>
      </c>
      <c r="BP115" s="67"/>
      <c r="BQ115" s="479">
        <f t="shared" si="84"/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si="86"/>
        <v>2949742</v>
      </c>
      <c r="I116" s="506" t="s">
        <v>150</v>
      </c>
      <c r="J116" s="38">
        <f t="shared" si="70"/>
        <v>1.6045974762655013E-2</v>
      </c>
      <c r="K116" s="16"/>
      <c r="L116" s="16"/>
      <c r="M116" s="16"/>
      <c r="N116" s="16">
        <f t="shared" si="71"/>
        <v>27567.682242990653</v>
      </c>
      <c r="O116" s="41"/>
      <c r="P116" s="17"/>
      <c r="Q116" s="16"/>
      <c r="R116" s="60"/>
      <c r="S116" s="16"/>
      <c r="T116" s="41"/>
      <c r="U116" s="10">
        <f t="shared" si="85"/>
        <v>8</v>
      </c>
      <c r="V116" s="34">
        <v>254</v>
      </c>
      <c r="W116" s="33"/>
      <c r="X116" s="33"/>
      <c r="Y116" s="33"/>
      <c r="Z116" s="33">
        <f t="shared" si="72"/>
        <v>132299</v>
      </c>
      <c r="AA116" s="33"/>
      <c r="AB116" s="46">
        <f t="shared" si="73"/>
        <v>4.4851041209705796E-2</v>
      </c>
      <c r="AC116" s="33"/>
      <c r="AD116" s="33">
        <f t="shared" si="74"/>
        <v>1236.4392523364486</v>
      </c>
      <c r="AE116" s="50"/>
      <c r="AF116" s="33"/>
      <c r="AG116" s="33"/>
      <c r="AH116" s="232"/>
      <c r="AI116" s="50"/>
      <c r="AJ116" s="10"/>
      <c r="AK116" s="23">
        <f t="shared" si="75"/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si="76"/>
        <v>2.0167739387189517E-2</v>
      </c>
      <c r="AR116" s="25"/>
      <c r="AS116" s="25"/>
      <c r="AT116" s="24"/>
      <c r="AU116" s="342">
        <f t="shared" si="77"/>
        <v>0.42729330226168932</v>
      </c>
      <c r="AV116" s="342"/>
      <c r="AW116" s="24">
        <f t="shared" si="78"/>
        <v>11779.485981308411</v>
      </c>
      <c r="AX116" s="352"/>
      <c r="AY116" s="10"/>
      <c r="AZ116" s="66">
        <f t="shared" si="79"/>
        <v>656438</v>
      </c>
      <c r="BA116" s="67"/>
      <c r="BB116" s="67">
        <v>36953633</v>
      </c>
      <c r="BC116" s="67"/>
      <c r="BD116" s="67">
        <f t="shared" si="80"/>
        <v>46584</v>
      </c>
      <c r="BE116" s="67"/>
      <c r="BF116" s="157">
        <f t="shared" si="81"/>
        <v>7.0964813127820145E-2</v>
      </c>
      <c r="BG116" s="67"/>
      <c r="BH116" s="184"/>
      <c r="BI116" s="67"/>
      <c r="BJ116" s="67"/>
      <c r="BK116" s="67"/>
      <c r="BL116" s="157"/>
      <c r="BM116" s="66">
        <f t="shared" si="82"/>
        <v>345361.05607476638</v>
      </c>
      <c r="BN116" s="67"/>
      <c r="BO116" s="67">
        <f t="shared" si="83"/>
        <v>2670122</v>
      </c>
      <c r="BP116" s="67"/>
      <c r="BQ116" s="479">
        <f t="shared" si="84"/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2994272</v>
      </c>
      <c r="I117" s="16"/>
      <c r="J117" s="38">
        <f t="shared" si="70"/>
        <v>1.5096235535175619E-2</v>
      </c>
      <c r="K117" s="16"/>
      <c r="L117" s="16"/>
      <c r="M117" s="16"/>
      <c r="N117" s="16">
        <f t="shared" si="71"/>
        <v>27724.740740740741</v>
      </c>
      <c r="O117" s="41"/>
      <c r="P117" s="17">
        <f t="shared" ref="P117:P126" si="87">SUM(D111:D117)</f>
        <v>350953</v>
      </c>
      <c r="Q117" s="16"/>
      <c r="R117" s="60">
        <f>+(P117-P110)/P110</f>
        <v>0.26414883653915422</v>
      </c>
      <c r="S117" s="16"/>
      <c r="T117" s="41"/>
      <c r="U117" s="392">
        <f t="shared" si="85"/>
        <v>9</v>
      </c>
      <c r="V117" s="34">
        <v>251</v>
      </c>
      <c r="W117" s="33"/>
      <c r="X117" s="33"/>
      <c r="Y117" s="33"/>
      <c r="Z117" s="33">
        <f t="shared" si="72"/>
        <v>132550</v>
      </c>
      <c r="AA117" s="33"/>
      <c r="AB117" s="46">
        <f t="shared" si="73"/>
        <v>4.4267855425292026E-2</v>
      </c>
      <c r="AC117" s="33"/>
      <c r="AD117" s="33">
        <f t="shared" si="74"/>
        <v>1227.3148148148148</v>
      </c>
      <c r="AE117" s="50"/>
      <c r="AF117" s="33">
        <f>SUM(V111:V117)</f>
        <v>3460</v>
      </c>
      <c r="AG117" s="33"/>
      <c r="AH117" s="232">
        <f>+(AF117-AF110)/AF110</f>
        <v>-0.16946711473835813</v>
      </c>
      <c r="AI117" s="50"/>
      <c r="AJ117" s="392"/>
      <c r="AK117" s="23">
        <f t="shared" si="75"/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si="76"/>
        <v>1.9957077288649282E-2</v>
      </c>
      <c r="AR117" s="25"/>
      <c r="AS117" s="25"/>
      <c r="AT117" s="24"/>
      <c r="AU117" s="342">
        <f t="shared" si="77"/>
        <v>0.42933941873016213</v>
      </c>
      <c r="AV117" s="342"/>
      <c r="AW117" s="24">
        <f t="shared" si="78"/>
        <v>11903.324074074075</v>
      </c>
      <c r="AX117" s="352"/>
      <c r="AY117" s="392"/>
      <c r="AZ117" s="66">
        <f t="shared" si="79"/>
        <v>633176</v>
      </c>
      <c r="BA117" s="67"/>
      <c r="BB117" s="67">
        <v>37586809</v>
      </c>
      <c r="BC117" s="67"/>
      <c r="BD117" s="67">
        <f t="shared" si="80"/>
        <v>44530</v>
      </c>
      <c r="BE117" s="67"/>
      <c r="BF117" s="157">
        <f t="shared" si="81"/>
        <v>7.0327997270900985E-2</v>
      </c>
      <c r="BG117" s="67"/>
      <c r="BH117" s="184"/>
      <c r="BI117" s="67"/>
      <c r="BJ117" s="67">
        <f t="shared" ref="BJ117:BJ124" si="88">SUM(AZ111:AZ117)</f>
        <v>4994441</v>
      </c>
      <c r="BK117" s="67"/>
      <c r="BL117" s="157">
        <f t="shared" ref="BL117:BL124" si="89">+P117/BJ117</f>
        <v>7.0268724768197288E-2</v>
      </c>
      <c r="BM117" s="66">
        <f t="shared" si="82"/>
        <v>348026.00925925927</v>
      </c>
      <c r="BN117" s="67"/>
      <c r="BO117" s="67">
        <f t="shared" si="83"/>
        <v>2714652</v>
      </c>
      <c r="BP117" s="67"/>
      <c r="BQ117" s="479">
        <f t="shared" si="84"/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3047884</v>
      </c>
      <c r="I118" s="16"/>
      <c r="J118" s="38">
        <f t="shared" si="70"/>
        <v>1.7904852999326714E-2</v>
      </c>
      <c r="K118" s="16"/>
      <c r="L118" s="16"/>
      <c r="M118" s="16"/>
      <c r="N118" s="16">
        <f t="shared" si="71"/>
        <v>27962.238532110092</v>
      </c>
      <c r="O118" s="41"/>
      <c r="P118" s="17">
        <f t="shared" si="87"/>
        <v>359831</v>
      </c>
      <c r="Q118" s="16"/>
      <c r="R118" s="60"/>
      <c r="S118" s="16"/>
      <c r="T118" s="41"/>
      <c r="U118" s="10">
        <f t="shared" si="85"/>
        <v>10</v>
      </c>
      <c r="V118" s="34">
        <v>378</v>
      </c>
      <c r="W118" s="33"/>
      <c r="X118" s="33"/>
      <c r="Y118" s="33"/>
      <c r="Z118" s="33">
        <f t="shared" si="72"/>
        <v>132928</v>
      </c>
      <c r="AA118" s="33"/>
      <c r="AB118" s="46">
        <f t="shared" si="73"/>
        <v>4.3613208376696751E-2</v>
      </c>
      <c r="AC118" s="33"/>
      <c r="AD118" s="33">
        <f t="shared" si="74"/>
        <v>1219.5229357798164</v>
      </c>
      <c r="AE118" s="50"/>
      <c r="AF118" s="33"/>
      <c r="AG118" s="33"/>
      <c r="AH118" s="232"/>
      <c r="AI118" s="50"/>
      <c r="AJ118" s="10"/>
      <c r="AK118" s="23">
        <f t="shared" si="75"/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si="76"/>
        <v>3.0638811598689752E-2</v>
      </c>
      <c r="AR118" s="25"/>
      <c r="AS118" s="25"/>
      <c r="AT118" s="24"/>
      <c r="AU118" s="342">
        <f t="shared" si="77"/>
        <v>0.43471044173597156</v>
      </c>
      <c r="AV118" s="342"/>
      <c r="AW118" s="24">
        <f t="shared" si="78"/>
        <v>12155.477064220184</v>
      </c>
      <c r="AX118" s="352"/>
      <c r="AY118" s="10"/>
      <c r="AZ118" s="66">
        <f t="shared" si="79"/>
        <v>630831</v>
      </c>
      <c r="BA118" s="67"/>
      <c r="BB118" s="67">
        <v>38217640</v>
      </c>
      <c r="BC118" s="67"/>
      <c r="BD118" s="67">
        <f t="shared" si="80"/>
        <v>53612</v>
      </c>
      <c r="BE118" s="67"/>
      <c r="BF118" s="157">
        <f t="shared" si="81"/>
        <v>8.4986311706304857E-2</v>
      </c>
      <c r="BG118" s="67"/>
      <c r="BH118" s="184"/>
      <c r="BI118" s="67"/>
      <c r="BJ118" s="67"/>
      <c r="BK118" s="67"/>
      <c r="BL118" s="157"/>
      <c r="BM118" s="66">
        <f t="shared" si="82"/>
        <v>350620.55045871559</v>
      </c>
      <c r="BN118" s="67"/>
      <c r="BO118" s="67">
        <f t="shared" si="83"/>
        <v>2768264</v>
      </c>
      <c r="BP118" s="67"/>
      <c r="BQ118" s="479">
        <f t="shared" si="84"/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3103326</v>
      </c>
      <c r="I119" s="16"/>
      <c r="J119" s="38">
        <f t="shared" si="70"/>
        <v>1.819032482863521E-2</v>
      </c>
      <c r="K119" s="16"/>
      <c r="L119" s="16"/>
      <c r="M119" s="16"/>
      <c r="N119" s="16">
        <f t="shared" si="71"/>
        <v>28212.054545454546</v>
      </c>
      <c r="O119" s="41"/>
      <c r="P119" s="17">
        <f t="shared" si="87"/>
        <v>369231</v>
      </c>
      <c r="Q119" s="16"/>
      <c r="R119" s="60"/>
      <c r="S119" s="16"/>
      <c r="T119" s="41"/>
      <c r="U119" s="10">
        <f t="shared" si="85"/>
        <v>11</v>
      </c>
      <c r="V119" s="34">
        <v>993</v>
      </c>
      <c r="W119" s="33"/>
      <c r="X119" s="33"/>
      <c r="Y119" s="33"/>
      <c r="Z119" s="33">
        <f t="shared" si="72"/>
        <v>133921</v>
      </c>
      <c r="AA119" s="33"/>
      <c r="AB119" s="46">
        <f t="shared" si="73"/>
        <v>4.3154022490708356E-2</v>
      </c>
      <c r="AC119" s="33"/>
      <c r="AD119" s="33">
        <f t="shared" si="74"/>
        <v>1217.4636363636364</v>
      </c>
      <c r="AE119" s="50"/>
      <c r="AF119" s="33"/>
      <c r="AG119" s="33"/>
      <c r="AH119" s="232"/>
      <c r="AI119" s="50"/>
      <c r="AJ119" s="10"/>
      <c r="AK119" s="23">
        <f t="shared" si="75"/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si="76"/>
        <v>2.2579016368201896E-2</v>
      </c>
      <c r="AR119" s="25"/>
      <c r="AS119" s="25"/>
      <c r="AT119" s="24"/>
      <c r="AU119" s="342">
        <f t="shared" si="77"/>
        <v>0.43658416808288913</v>
      </c>
      <c r="AV119" s="342"/>
      <c r="AW119" s="24">
        <f t="shared" si="78"/>
        <v>12316.936363636363</v>
      </c>
      <c r="AX119" s="352"/>
      <c r="AY119" s="10"/>
      <c r="AZ119" s="66">
        <f t="shared" si="79"/>
        <v>583951</v>
      </c>
      <c r="BA119" s="67"/>
      <c r="BB119" s="67">
        <v>38801591</v>
      </c>
      <c r="BC119" s="67"/>
      <c r="BD119" s="67">
        <f t="shared" si="80"/>
        <v>55442</v>
      </c>
      <c r="BE119" s="67"/>
      <c r="BF119" s="157">
        <f t="shared" si="81"/>
        <v>9.4942897606134766E-2</v>
      </c>
      <c r="BG119" s="67"/>
      <c r="BH119" s="184"/>
      <c r="BI119" s="67"/>
      <c r="BJ119" s="67"/>
      <c r="BK119" s="67"/>
      <c r="BL119" s="157"/>
      <c r="BM119" s="66">
        <f t="shared" si="82"/>
        <v>352741.73636363639</v>
      </c>
      <c r="BN119" s="67"/>
      <c r="BO119" s="67">
        <f t="shared" si="83"/>
        <v>2823706</v>
      </c>
      <c r="BP119" s="67"/>
      <c r="BQ119" s="479">
        <f t="shared" si="84"/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3165174</v>
      </c>
      <c r="I120" s="16"/>
      <c r="J120" s="38">
        <f t="shared" si="70"/>
        <v>1.9929585225657891E-2</v>
      </c>
      <c r="K120" s="16"/>
      <c r="L120" s="16"/>
      <c r="M120" s="16"/>
      <c r="N120" s="16">
        <f t="shared" si="71"/>
        <v>28515.08108108108</v>
      </c>
      <c r="O120" s="41"/>
      <c r="P120" s="17">
        <f t="shared" si="87"/>
        <v>379982</v>
      </c>
      <c r="Q120" s="16"/>
      <c r="R120" s="60"/>
      <c r="S120" s="16"/>
      <c r="T120" s="41"/>
      <c r="U120" s="10">
        <f t="shared" si="85"/>
        <v>12</v>
      </c>
      <c r="V120" s="34">
        <v>890</v>
      </c>
      <c r="W120" s="33"/>
      <c r="X120" s="33"/>
      <c r="Y120" s="33"/>
      <c r="Z120" s="33">
        <f t="shared" si="72"/>
        <v>134811</v>
      </c>
      <c r="AA120" s="33"/>
      <c r="AB120" s="46">
        <f t="shared" si="73"/>
        <v>4.2591971247078357E-2</v>
      </c>
      <c r="AC120" s="33"/>
      <c r="AD120" s="33">
        <f t="shared" si="74"/>
        <v>1214.5135135135135</v>
      </c>
      <c r="AE120" s="50"/>
      <c r="AF120" s="33"/>
      <c r="AG120" s="33"/>
      <c r="AH120" s="232"/>
      <c r="AI120" s="50"/>
      <c r="AJ120" s="10"/>
      <c r="AK120" s="23">
        <f t="shared" si="75"/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si="76"/>
        <v>2.7911309113910411E-2</v>
      </c>
      <c r="AR120" s="25"/>
      <c r="AS120" s="25"/>
      <c r="AT120" s="24"/>
      <c r="AU120" s="342">
        <f t="shared" si="77"/>
        <v>0.44000077088968886</v>
      </c>
      <c r="AV120" s="342"/>
      <c r="AW120" s="24">
        <f t="shared" si="78"/>
        <v>12546.657657657657</v>
      </c>
      <c r="AX120" s="352"/>
      <c r="AY120" s="10"/>
      <c r="AZ120" s="66">
        <f t="shared" si="79"/>
        <v>677846</v>
      </c>
      <c r="BA120" s="67"/>
      <c r="BB120" s="67">
        <v>39479437</v>
      </c>
      <c r="BC120" s="67"/>
      <c r="BD120" s="67">
        <f t="shared" si="80"/>
        <v>61848</v>
      </c>
      <c r="BE120" s="67"/>
      <c r="BF120" s="157">
        <f t="shared" si="81"/>
        <v>9.1241963513836483E-2</v>
      </c>
      <c r="BG120" s="67"/>
      <c r="BH120" s="184"/>
      <c r="BI120" s="67"/>
      <c r="BJ120" s="67"/>
      <c r="BK120" s="67"/>
      <c r="BL120" s="157"/>
      <c r="BM120" s="66">
        <f t="shared" si="82"/>
        <v>355670.60360360361</v>
      </c>
      <c r="BN120" s="67"/>
      <c r="BO120" s="67">
        <f t="shared" si="83"/>
        <v>2885554</v>
      </c>
      <c r="BP120" s="67"/>
      <c r="BQ120" s="479">
        <f t="shared" si="84"/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3226241</v>
      </c>
      <c r="I121" s="16"/>
      <c r="J121" s="38">
        <f t="shared" si="70"/>
        <v>1.9293410093726284E-2</v>
      </c>
      <c r="K121" s="16"/>
      <c r="L121" s="16"/>
      <c r="M121" s="16"/>
      <c r="N121" s="16">
        <f t="shared" si="71"/>
        <v>28805.723214285714</v>
      </c>
      <c r="O121" s="41"/>
      <c r="P121" s="17">
        <f t="shared" si="87"/>
        <v>381174</v>
      </c>
      <c r="Q121" s="16"/>
      <c r="R121" s="60"/>
      <c r="S121" s="16"/>
      <c r="T121" s="41"/>
      <c r="U121" s="10">
        <f t="shared" si="85"/>
        <v>13</v>
      </c>
      <c r="V121" s="34">
        <v>960</v>
      </c>
      <c r="W121" s="33"/>
      <c r="X121" s="33"/>
      <c r="Y121" s="33"/>
      <c r="Z121" s="33">
        <f t="shared" si="72"/>
        <v>135771</v>
      </c>
      <c r="AA121" s="33"/>
      <c r="AB121" s="46">
        <f t="shared" si="73"/>
        <v>4.2083340953140203E-2</v>
      </c>
      <c r="AC121" s="33"/>
      <c r="AD121" s="33">
        <f t="shared" si="74"/>
        <v>1212.2410714285713</v>
      </c>
      <c r="AE121" s="50"/>
      <c r="AF121" s="33"/>
      <c r="AG121" s="33"/>
      <c r="AH121" s="232"/>
      <c r="AI121" s="50"/>
      <c r="AJ121" s="10"/>
      <c r="AK121" s="23">
        <f t="shared" si="75"/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si="76"/>
        <v>2.423315063988184E-2</v>
      </c>
      <c r="AR121" s="25"/>
      <c r="AS121" s="25"/>
      <c r="AT121" s="24"/>
      <c r="AU121" s="342">
        <f t="shared" si="77"/>
        <v>0.4421331202473715</v>
      </c>
      <c r="AV121" s="342"/>
      <c r="AW121" s="24">
        <f t="shared" si="78"/>
        <v>12735.964285714286</v>
      </c>
      <c r="AX121" s="352"/>
      <c r="AY121" s="10"/>
      <c r="AZ121" s="66">
        <f t="shared" si="79"/>
        <v>681700</v>
      </c>
      <c r="BA121" s="67"/>
      <c r="BB121" s="67">
        <v>40161137</v>
      </c>
      <c r="BC121" s="67"/>
      <c r="BD121" s="67">
        <f t="shared" si="80"/>
        <v>61067</v>
      </c>
      <c r="BE121" s="67"/>
      <c r="BF121" s="157">
        <f t="shared" si="81"/>
        <v>8.9580460613172944E-2</v>
      </c>
      <c r="BG121" s="67"/>
      <c r="BH121" s="184"/>
      <c r="BI121" s="67"/>
      <c r="BJ121" s="67"/>
      <c r="BK121" s="67"/>
      <c r="BL121" s="157"/>
      <c r="BM121" s="66">
        <f t="shared" si="82"/>
        <v>358581.58035714284</v>
      </c>
      <c r="BN121" s="67"/>
      <c r="BO121" s="67">
        <f t="shared" si="83"/>
        <v>2946621</v>
      </c>
      <c r="BP121" s="67"/>
      <c r="BQ121" s="479">
        <f t="shared" si="84"/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3298028</v>
      </c>
      <c r="I122" s="16"/>
      <c r="J122" s="38">
        <f t="shared" si="70"/>
        <v>2.2250972571484895E-2</v>
      </c>
      <c r="K122" s="16"/>
      <c r="L122" s="16"/>
      <c r="M122" s="16"/>
      <c r="N122" s="16">
        <f t="shared" si="71"/>
        <v>29186.088495575223</v>
      </c>
      <c r="O122" s="41"/>
      <c r="P122" s="17">
        <f t="shared" si="87"/>
        <v>394870</v>
      </c>
      <c r="Q122" s="16"/>
      <c r="R122" s="60"/>
      <c r="S122" s="16"/>
      <c r="T122" s="41"/>
      <c r="U122" s="10">
        <f t="shared" si="85"/>
        <v>14</v>
      </c>
      <c r="V122" s="34">
        <v>849</v>
      </c>
      <c r="W122" s="33"/>
      <c r="X122" s="33"/>
      <c r="Y122" s="33"/>
      <c r="Z122" s="33">
        <f t="shared" si="72"/>
        <v>136620</v>
      </c>
      <c r="AA122" s="33"/>
      <c r="AB122" s="46">
        <f t="shared" si="73"/>
        <v>4.1424754429010308E-2</v>
      </c>
      <c r="AC122" s="33"/>
      <c r="AD122" s="33">
        <f t="shared" si="74"/>
        <v>1209.0265486725664</v>
      </c>
      <c r="AE122" s="50"/>
      <c r="AF122" s="33"/>
      <c r="AG122" s="33"/>
      <c r="AH122" s="232"/>
      <c r="AI122" s="50"/>
      <c r="AJ122" s="10"/>
      <c r="AK122" s="23">
        <f t="shared" si="75"/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si="76"/>
        <v>2.3882733653573823E-2</v>
      </c>
      <c r="AR122" s="25"/>
      <c r="AS122" s="25"/>
      <c r="AT122" s="24"/>
      <c r="AU122" s="342">
        <f t="shared" si="77"/>
        <v>0.4428388721987806</v>
      </c>
      <c r="AV122" s="342"/>
      <c r="AW122" s="24">
        <f t="shared" si="78"/>
        <v>12924.734513274336</v>
      </c>
      <c r="AX122" s="352"/>
      <c r="AY122" s="10"/>
      <c r="AZ122" s="66">
        <f t="shared" si="79"/>
        <v>849076</v>
      </c>
      <c r="BA122" s="67"/>
      <c r="BB122" s="67">
        <v>41010213</v>
      </c>
      <c r="BC122" s="67"/>
      <c r="BD122" s="67">
        <f t="shared" si="80"/>
        <v>71787</v>
      </c>
      <c r="BE122" s="67"/>
      <c r="BF122" s="157">
        <f t="shared" si="81"/>
        <v>8.4547201899476607E-2</v>
      </c>
      <c r="BG122" s="67"/>
      <c r="BH122" s="184"/>
      <c r="BI122" s="67"/>
      <c r="BJ122" s="67"/>
      <c r="BK122" s="67"/>
      <c r="BL122" s="157"/>
      <c r="BM122" s="66">
        <f t="shared" si="82"/>
        <v>362922.23893805308</v>
      </c>
      <c r="BN122" s="67"/>
      <c r="BO122" s="67">
        <f t="shared" si="83"/>
        <v>3018408</v>
      </c>
      <c r="BP122" s="67"/>
      <c r="BQ122" s="479">
        <f t="shared" si="84"/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3359747</v>
      </c>
      <c r="I123" s="16"/>
      <c r="J123" s="38">
        <f t="shared" si="70"/>
        <v>1.8713910251823212E-2</v>
      </c>
      <c r="K123" s="16"/>
      <c r="L123" s="16"/>
      <c r="M123" s="16"/>
      <c r="N123" s="16">
        <f t="shared" si="71"/>
        <v>29471.464912280702</v>
      </c>
      <c r="O123" s="41"/>
      <c r="P123" s="17">
        <f t="shared" si="87"/>
        <v>410005</v>
      </c>
      <c r="Q123" s="16"/>
      <c r="R123" s="60"/>
      <c r="S123" s="16"/>
      <c r="T123" s="41"/>
      <c r="U123" s="10">
        <f t="shared" si="85"/>
        <v>15</v>
      </c>
      <c r="V123" s="34">
        <v>731</v>
      </c>
      <c r="W123" s="33"/>
      <c r="X123" s="33"/>
      <c r="Y123" s="33"/>
      <c r="Z123" s="33">
        <f t="shared" si="72"/>
        <v>137351</v>
      </c>
      <c r="AA123" s="33"/>
      <c r="AB123" s="46">
        <f t="shared" si="73"/>
        <v>4.0881352077998728E-2</v>
      </c>
      <c r="AC123" s="33"/>
      <c r="AD123" s="33">
        <f t="shared" si="74"/>
        <v>1204.8333333333333</v>
      </c>
      <c r="AE123" s="50"/>
      <c r="AF123" s="33"/>
      <c r="AG123" s="33"/>
      <c r="AH123" s="232"/>
      <c r="AI123" s="50"/>
      <c r="AJ123" s="10"/>
      <c r="AK123" s="23">
        <f t="shared" si="75"/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si="76"/>
        <v>2.0507430699865457E-2</v>
      </c>
      <c r="AR123" s="25"/>
      <c r="AS123" s="25"/>
      <c r="AT123" s="24"/>
      <c r="AU123" s="342">
        <f t="shared" si="77"/>
        <v>0.44361852246612615</v>
      </c>
      <c r="AV123" s="342"/>
      <c r="AW123" s="24">
        <f t="shared" si="78"/>
        <v>13074.087719298246</v>
      </c>
      <c r="AX123" s="352"/>
      <c r="AY123" s="10"/>
      <c r="AZ123" s="66">
        <f t="shared" si="79"/>
        <v>760123</v>
      </c>
      <c r="BA123" s="67"/>
      <c r="BB123" s="67">
        <v>41770336</v>
      </c>
      <c r="BC123" s="67"/>
      <c r="BD123" s="67">
        <f t="shared" si="80"/>
        <v>61719</v>
      </c>
      <c r="BE123" s="67"/>
      <c r="BF123" s="157">
        <f t="shared" si="81"/>
        <v>8.1196069583475305E-2</v>
      </c>
      <c r="BG123" s="67"/>
      <c r="BH123" s="184"/>
      <c r="BI123" s="67"/>
      <c r="BJ123" s="67"/>
      <c r="BK123" s="67"/>
      <c r="BL123" s="157"/>
      <c r="BM123" s="66">
        <f t="shared" si="82"/>
        <v>366406.4561403509</v>
      </c>
      <c r="BN123" s="67"/>
      <c r="BO123" s="67">
        <f t="shared" si="83"/>
        <v>3080127</v>
      </c>
      <c r="BP123" s="67"/>
      <c r="BQ123" s="479">
        <f t="shared" si="84"/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3418096</v>
      </c>
      <c r="I124" s="16"/>
      <c r="J124" s="38">
        <f t="shared" si="70"/>
        <v>1.7367081509411273E-2</v>
      </c>
      <c r="K124" s="16"/>
      <c r="L124" s="16"/>
      <c r="M124" s="16"/>
      <c r="N124" s="16">
        <f t="shared" si="71"/>
        <v>29722.573913043478</v>
      </c>
      <c r="O124" s="41"/>
      <c r="P124" s="17">
        <f t="shared" si="87"/>
        <v>423824</v>
      </c>
      <c r="Q124" s="16"/>
      <c r="R124" s="60">
        <f t="shared" ref="R124:R129" si="90">+(P124-P117)/P117</f>
        <v>0.20763748992030273</v>
      </c>
      <c r="S124" s="16"/>
      <c r="T124" s="41"/>
      <c r="U124" s="10">
        <f t="shared" si="85"/>
        <v>16</v>
      </c>
      <c r="V124" s="34">
        <v>380</v>
      </c>
      <c r="W124" s="33"/>
      <c r="X124" s="33"/>
      <c r="Y124" s="33"/>
      <c r="Z124" s="33">
        <f t="shared" si="72"/>
        <v>137731</v>
      </c>
      <c r="AA124" s="33"/>
      <c r="AB124" s="46">
        <f t="shared" si="73"/>
        <v>4.029465527006848E-2</v>
      </c>
      <c r="AC124" s="33"/>
      <c r="AD124" s="33">
        <f t="shared" si="74"/>
        <v>1197.6608695652174</v>
      </c>
      <c r="AE124" s="50"/>
      <c r="AF124" s="33">
        <f t="shared" ref="AF124" si="91">SUM(V118:V124)</f>
        <v>5181</v>
      </c>
      <c r="AG124" s="33">
        <f>SUM(D95:D125)</f>
        <v>1356158</v>
      </c>
      <c r="AH124" s="232">
        <f t="shared" ref="AH124" si="92">+(AF124-AF117)/AF117</f>
        <v>0.49739884393063583</v>
      </c>
      <c r="AI124" s="50"/>
      <c r="AJ124" s="392"/>
      <c r="AK124" s="23">
        <f t="shared" si="75"/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si="76"/>
        <v>1.7872502593183518E-2</v>
      </c>
      <c r="AR124" s="25"/>
      <c r="AS124" s="25"/>
      <c r="AT124" s="24"/>
      <c r="AU124" s="342">
        <f t="shared" si="77"/>
        <v>0.44383890914708074</v>
      </c>
      <c r="AV124" s="342"/>
      <c r="AW124" s="24">
        <f t="shared" si="78"/>
        <v>13192.034782608696</v>
      </c>
      <c r="AX124" s="352"/>
      <c r="AY124" s="392"/>
      <c r="AZ124" s="66">
        <f t="shared" si="79"/>
        <v>699271</v>
      </c>
      <c r="BA124" s="67"/>
      <c r="BB124" s="67">
        <v>42469607</v>
      </c>
      <c r="BC124" s="67"/>
      <c r="BD124" s="67">
        <f t="shared" si="80"/>
        <v>58349</v>
      </c>
      <c r="BE124" s="67"/>
      <c r="BF124" s="157">
        <f t="shared" si="81"/>
        <v>8.3442613807808416E-2</v>
      </c>
      <c r="BG124" s="67"/>
      <c r="BH124" s="184"/>
      <c r="BI124" s="67"/>
      <c r="BJ124" s="67">
        <f t="shared" si="88"/>
        <v>4882798</v>
      </c>
      <c r="BK124" s="67"/>
      <c r="BL124" s="157">
        <f t="shared" si="89"/>
        <v>8.679941295953672E-2</v>
      </c>
      <c r="BM124" s="66">
        <f t="shared" si="82"/>
        <v>369300.93043478258</v>
      </c>
      <c r="BN124" s="67"/>
      <c r="BO124" s="67">
        <f t="shared" si="83"/>
        <v>3138476</v>
      </c>
      <c r="BP124" s="67"/>
      <c r="BQ124" s="479">
        <f t="shared" si="84"/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3483584</v>
      </c>
      <c r="I125" s="16"/>
      <c r="J125" s="38">
        <f t="shared" si="70"/>
        <v>1.915920442257912E-2</v>
      </c>
      <c r="K125" s="16"/>
      <c r="L125" s="16"/>
      <c r="M125" s="16"/>
      <c r="N125" s="16">
        <f t="shared" si="71"/>
        <v>30030.896551724138</v>
      </c>
      <c r="O125" s="41"/>
      <c r="P125" s="17">
        <f t="shared" si="87"/>
        <v>435700</v>
      </c>
      <c r="Q125" s="16"/>
      <c r="R125" s="60">
        <f t="shared" si="90"/>
        <v>0.21084620280075925</v>
      </c>
      <c r="S125" s="16"/>
      <c r="T125" s="41"/>
      <c r="U125" s="537">
        <f t="shared" si="85"/>
        <v>17</v>
      </c>
      <c r="V125" s="34">
        <v>465</v>
      </c>
      <c r="W125" s="33"/>
      <c r="X125" s="33"/>
      <c r="Y125" s="33"/>
      <c r="Z125" s="33">
        <f t="shared" si="72"/>
        <v>138196</v>
      </c>
      <c r="AA125" s="33"/>
      <c r="AB125" s="46">
        <f t="shared" si="73"/>
        <v>3.9670638055519833E-2</v>
      </c>
      <c r="AC125" s="33"/>
      <c r="AD125" s="33">
        <f t="shared" si="74"/>
        <v>1191.344827586207</v>
      </c>
      <c r="AE125" s="50"/>
      <c r="AF125" s="33"/>
      <c r="AG125" s="33"/>
      <c r="AH125" s="232"/>
      <c r="AI125" s="50"/>
      <c r="AJ125" s="10"/>
      <c r="AK125" s="23">
        <f t="shared" si="75"/>
        <v>32385</v>
      </c>
      <c r="AL125" s="24"/>
      <c r="AM125" s="24"/>
      <c r="AN125" s="24">
        <v>178263</v>
      </c>
      <c r="AO125" s="24">
        <v>1549469</v>
      </c>
      <c r="AP125" s="24"/>
      <c r="AQ125" s="505">
        <f t="shared" si="76"/>
        <v>2.1346873343862306E-2</v>
      </c>
      <c r="AR125" s="25"/>
      <c r="AS125" s="25"/>
      <c r="AT125" s="24"/>
      <c r="AU125" s="342">
        <f t="shared" si="77"/>
        <v>0.444791628391909</v>
      </c>
      <c r="AV125" s="342"/>
      <c r="AW125" s="24">
        <f t="shared" si="78"/>
        <v>13357.491379310344</v>
      </c>
      <c r="AX125" s="352"/>
      <c r="AY125" s="10"/>
      <c r="AZ125" s="66">
        <f t="shared" si="79"/>
        <v>783226</v>
      </c>
      <c r="BA125" s="67"/>
      <c r="BB125" s="67">
        <v>43252833</v>
      </c>
      <c r="BC125" s="67"/>
      <c r="BD125" s="67">
        <f t="shared" si="80"/>
        <v>65488</v>
      </c>
      <c r="BE125" s="67"/>
      <c r="BF125" s="157">
        <f t="shared" si="81"/>
        <v>8.3613158909433549E-2</v>
      </c>
      <c r="BG125" s="67"/>
      <c r="BH125" s="184"/>
      <c r="BI125" s="67"/>
      <c r="BJ125" s="67"/>
      <c r="BK125" s="67"/>
      <c r="BL125" s="157"/>
      <c r="BM125" s="66">
        <f t="shared" si="82"/>
        <v>372869.25</v>
      </c>
      <c r="BN125" s="67"/>
      <c r="BO125" s="67">
        <f t="shared" si="83"/>
        <v>3203964</v>
      </c>
      <c r="BP125" s="67"/>
      <c r="BQ125" s="479">
        <f t="shared" si="84"/>
        <v>7.4075240343216359E-2</v>
      </c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3549632</v>
      </c>
      <c r="I126" s="16"/>
      <c r="J126" s="38">
        <f t="shared" si="70"/>
        <v>1.8959783946648049E-2</v>
      </c>
      <c r="K126" s="16"/>
      <c r="L126" s="16"/>
      <c r="M126" s="16"/>
      <c r="N126" s="16">
        <f t="shared" si="71"/>
        <v>30338.735042735043</v>
      </c>
      <c r="O126" s="41"/>
      <c r="P126" s="17">
        <f t="shared" si="87"/>
        <v>446306</v>
      </c>
      <c r="Q126" s="16"/>
      <c r="R126" s="60">
        <f t="shared" si="90"/>
        <v>0.20874466120125343</v>
      </c>
      <c r="S126" s="16"/>
      <c r="T126" s="41"/>
      <c r="U126" s="10">
        <f t="shared" si="85"/>
        <v>18</v>
      </c>
      <c r="V126" s="34">
        <v>936</v>
      </c>
      <c r="W126" s="33"/>
      <c r="X126" s="33"/>
      <c r="Y126" s="33"/>
      <c r="Z126" s="33">
        <f t="shared" si="72"/>
        <v>139132</v>
      </c>
      <c r="AA126" s="33"/>
      <c r="AB126" s="46">
        <f t="shared" si="73"/>
        <v>3.9196175828931E-2</v>
      </c>
      <c r="AC126" s="33"/>
      <c r="AD126" s="33">
        <f t="shared" si="74"/>
        <v>1189.1623931623931</v>
      </c>
      <c r="AE126" s="50"/>
      <c r="AF126" s="33"/>
      <c r="AG126" s="33"/>
      <c r="AH126" s="232"/>
      <c r="AI126" s="50"/>
      <c r="AJ126" s="10"/>
      <c r="AK126" s="23">
        <f t="shared" si="75"/>
        <v>50726</v>
      </c>
      <c r="AL126" s="24"/>
      <c r="AM126" s="24"/>
      <c r="AN126" s="24">
        <v>178263</v>
      </c>
      <c r="AO126" s="24">
        <v>1600195</v>
      </c>
      <c r="AP126" s="24"/>
      <c r="AQ126" s="505">
        <f t="shared" si="76"/>
        <v>3.2737666903952259E-2</v>
      </c>
      <c r="AR126" s="25"/>
      <c r="AS126" s="25"/>
      <c r="AT126" s="24"/>
      <c r="AU126" s="342">
        <f t="shared" si="77"/>
        <v>0.45080588635667024</v>
      </c>
      <c r="AV126" s="342"/>
      <c r="AW126" s="24">
        <f t="shared" si="78"/>
        <v>13676.880341880342</v>
      </c>
      <c r="AX126" s="352"/>
      <c r="AY126" s="10"/>
      <c r="AZ126" s="66">
        <f t="shared" si="79"/>
        <v>778044</v>
      </c>
      <c r="BA126" s="67"/>
      <c r="BB126" s="67">
        <v>44030877</v>
      </c>
      <c r="BC126" s="67"/>
      <c r="BD126" s="67">
        <f t="shared" si="80"/>
        <v>66048</v>
      </c>
      <c r="BE126" s="67"/>
      <c r="BF126" s="157">
        <f t="shared" si="81"/>
        <v>8.4889800576831126E-2</v>
      </c>
      <c r="BG126" s="67"/>
      <c r="BH126" s="184"/>
      <c r="BI126" s="67"/>
      <c r="BJ126" s="67"/>
      <c r="BK126" s="67"/>
      <c r="BL126" s="157"/>
      <c r="BM126" s="66">
        <f t="shared" si="82"/>
        <v>376332.28205128206</v>
      </c>
      <c r="BN126" s="67"/>
      <c r="BO126" s="67">
        <f t="shared" si="83"/>
        <v>3270012</v>
      </c>
      <c r="BP126" s="67"/>
      <c r="BQ126" s="479">
        <f t="shared" si="84"/>
        <v>7.4266338142662938E-2</v>
      </c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3621637</v>
      </c>
      <c r="I127" s="16"/>
      <c r="J127" s="38">
        <f t="shared" ref="J127" si="94">+D127/H126</f>
        <v>2.0285201395524945E-2</v>
      </c>
      <c r="K127" s="16"/>
      <c r="L127" s="16"/>
      <c r="M127" s="16"/>
      <c r="N127" s="16">
        <f t="shared" ref="N127" si="95">+H127/BV127</f>
        <v>30691.838983050846</v>
      </c>
      <c r="O127" s="41"/>
      <c r="P127" s="17">
        <f t="shared" ref="P127" si="96">SUM(D121:D127)</f>
        <v>456463</v>
      </c>
      <c r="Q127" s="16"/>
      <c r="R127" s="60">
        <f t="shared" si="90"/>
        <v>0.20127532356795849</v>
      </c>
      <c r="S127" s="16"/>
      <c r="T127" s="41"/>
      <c r="U127" s="10">
        <f t="shared" si="85"/>
        <v>19</v>
      </c>
      <c r="V127" s="34">
        <v>1002</v>
      </c>
      <c r="W127" s="33"/>
      <c r="X127" s="33"/>
      <c r="Y127" s="33"/>
      <c r="Z127" s="33">
        <f t="shared" ref="Z127" si="97">+Z126+V127</f>
        <v>140134</v>
      </c>
      <c r="AA127" s="33"/>
      <c r="AB127" s="46">
        <f t="shared" ref="AB127" si="98">+Z127/H127</f>
        <v>3.8693552114692886E-2</v>
      </c>
      <c r="AC127" s="33"/>
      <c r="AD127" s="33">
        <f t="shared" ref="AD127" si="99">+Z127/BV127</f>
        <v>1187.5762711864406</v>
      </c>
      <c r="AE127" s="50"/>
      <c r="AF127" s="33"/>
      <c r="AG127" s="33"/>
      <c r="AH127" s="232"/>
      <c r="AI127" s="50"/>
      <c r="AJ127" s="10"/>
      <c r="AK127" s="23">
        <f t="shared" ref="AK127" si="100">+AO127-AO126</f>
        <v>45767</v>
      </c>
      <c r="AL127" s="24"/>
      <c r="AM127" s="24"/>
      <c r="AN127" s="24">
        <v>178263</v>
      </c>
      <c r="AO127" s="24">
        <v>1645962</v>
      </c>
      <c r="AP127" s="24"/>
      <c r="AQ127" s="505">
        <f t="shared" ref="AQ127" si="101">+AK127/AO126</f>
        <v>2.8600889266620629E-2</v>
      </c>
      <c r="AR127" s="25"/>
      <c r="AS127" s="25"/>
      <c r="AT127" s="24"/>
      <c r="AU127" s="342">
        <f t="shared" ref="AU127" si="102">+AO127/H127</f>
        <v>0.45448011493145229</v>
      </c>
      <c r="AV127" s="342"/>
      <c r="AW127" s="24">
        <f t="shared" ref="AW127" si="103">+AO127/BV127</f>
        <v>13948.830508474577</v>
      </c>
      <c r="AX127" s="352"/>
      <c r="AY127" s="10"/>
      <c r="AZ127" s="66">
        <f t="shared" ref="AZ127" si="104">+BB127-BB126</f>
        <v>815289</v>
      </c>
      <c r="BA127" s="67"/>
      <c r="BB127" s="67">
        <v>44846166</v>
      </c>
      <c r="BC127" s="67"/>
      <c r="BD127" s="67">
        <f t="shared" ref="BD127" si="105">+D127</f>
        <v>72005</v>
      </c>
      <c r="BE127" s="67"/>
      <c r="BF127" s="157">
        <f t="shared" ref="BF127" si="106">+BD127/AZ127</f>
        <v>8.8318375447234046E-2</v>
      </c>
      <c r="BG127" s="67"/>
      <c r="BH127" s="184"/>
      <c r="BI127" s="67"/>
      <c r="BJ127" s="67"/>
      <c r="BK127" s="67"/>
      <c r="BL127" s="157"/>
      <c r="BM127" s="66">
        <f t="shared" ref="BM127" si="107">+BB127/BV127</f>
        <v>380052.25423728814</v>
      </c>
      <c r="BN127" s="67"/>
      <c r="BO127" s="67">
        <f t="shared" ref="BO127" si="108">+BO126+BD127</f>
        <v>3342017</v>
      </c>
      <c r="BP127" s="67"/>
      <c r="BQ127" s="479">
        <f t="shared" ref="BQ127" si="109">+BO127/BB127</f>
        <v>7.4521799700781557E-2</v>
      </c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3695025</v>
      </c>
      <c r="I128" s="16"/>
      <c r="J128" s="38">
        <f t="shared" ref="J128" si="111">+D128/H127</f>
        <v>2.026376470087974E-2</v>
      </c>
      <c r="K128" s="16"/>
      <c r="L128" s="16"/>
      <c r="M128" s="16"/>
      <c r="N128" s="16">
        <f t="shared" ref="N128" si="112">+H128/BV128</f>
        <v>31050.63025210084</v>
      </c>
      <c r="O128" s="41"/>
      <c r="P128" s="17">
        <f t="shared" ref="P128" si="113">SUM(D122:D128)</f>
        <v>468784</v>
      </c>
      <c r="Q128" s="16"/>
      <c r="R128" s="60">
        <f t="shared" si="90"/>
        <v>0.22984253910287691</v>
      </c>
      <c r="S128" s="16"/>
      <c r="T128" s="41"/>
      <c r="U128" s="10">
        <f t="shared" si="85"/>
        <v>20</v>
      </c>
      <c r="V128" s="34">
        <v>963</v>
      </c>
      <c r="W128" s="33"/>
      <c r="X128" s="33"/>
      <c r="Y128" s="33"/>
      <c r="Z128" s="33">
        <f t="shared" ref="Z128" si="114">+Z127+V128</f>
        <v>141097</v>
      </c>
      <c r="AA128" s="33"/>
      <c r="AB128" s="46">
        <f t="shared" ref="AB128" si="115">+Z128/H128</f>
        <v>3.8185668567871665E-2</v>
      </c>
      <c r="AC128" s="33"/>
      <c r="AD128" s="33">
        <f t="shared" ref="AD128" si="116">+Z128/BV128</f>
        <v>1185.6890756302521</v>
      </c>
      <c r="AE128" s="50"/>
      <c r="AF128" s="33"/>
      <c r="AG128" s="33"/>
      <c r="AH128" s="232"/>
      <c r="AI128" s="50"/>
      <c r="AJ128" s="10"/>
      <c r="AK128" s="23">
        <f t="shared" ref="AK128" si="117">+AO128-AO127</f>
        <v>33671</v>
      </c>
      <c r="AL128" s="24"/>
      <c r="AM128" s="24"/>
      <c r="AN128" s="24">
        <v>178263</v>
      </c>
      <c r="AO128" s="24">
        <v>1679633</v>
      </c>
      <c r="AP128" s="24"/>
      <c r="AQ128" s="505">
        <f t="shared" ref="AQ128" si="118">+AK128/AO127</f>
        <v>2.0456729863751411E-2</v>
      </c>
      <c r="AR128" s="25"/>
      <c r="AS128" s="25"/>
      <c r="AT128" s="24"/>
      <c r="AU128" s="342">
        <f t="shared" ref="AU128" si="119">+AO128/H128</f>
        <v>0.45456607194809234</v>
      </c>
      <c r="AV128" s="342"/>
      <c r="AW128" s="24">
        <f t="shared" ref="AW128" si="120">+AO128/BV128</f>
        <v>14114.563025210084</v>
      </c>
      <c r="AX128" s="352"/>
      <c r="AY128" s="10"/>
      <c r="AZ128" s="66">
        <f t="shared" ref="AZ128" si="121">+BB128-BB127</f>
        <v>850863</v>
      </c>
      <c r="BA128" s="67"/>
      <c r="BB128" s="67">
        <v>45697029</v>
      </c>
      <c r="BC128" s="67"/>
      <c r="BD128" s="67">
        <f t="shared" ref="BD128" si="122">+D128</f>
        <v>73388</v>
      </c>
      <c r="BE128" s="67"/>
      <c r="BF128" s="157">
        <f t="shared" ref="BF128" si="123">+BD128/AZ128</f>
        <v>8.6251253139459583E-2</v>
      </c>
      <c r="BG128" s="67"/>
      <c r="BH128" s="184"/>
      <c r="BI128" s="67"/>
      <c r="BJ128" s="67"/>
      <c r="BK128" s="67"/>
      <c r="BL128" s="157"/>
      <c r="BM128" s="66">
        <f t="shared" ref="BM128" si="124">+BB128/BV128</f>
        <v>384008.64705882355</v>
      </c>
      <c r="BN128" s="67"/>
      <c r="BO128" s="67">
        <f t="shared" ref="BO128" si="125">+BO127+BD128</f>
        <v>3415405</v>
      </c>
      <c r="BP128" s="67"/>
      <c r="BQ128" s="479">
        <f t="shared" ref="BQ128" si="126">+BO128/BB128</f>
        <v>7.4740198099093047E-2</v>
      </c>
      <c r="BR128" s="67"/>
      <c r="BS128" s="86"/>
      <c r="BT128" s="184"/>
      <c r="BU128" s="1"/>
      <c r="BV128">
        <f t="shared" si="53"/>
        <v>119</v>
      </c>
    </row>
    <row r="129" spans="2:74" x14ac:dyDescent="0.3">
      <c r="B129" s="172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3770012</v>
      </c>
      <c r="I129" s="16"/>
      <c r="J129" s="38">
        <f t="shared" ref="J129" si="128">+D129/H128</f>
        <v>2.0294044018646692E-2</v>
      </c>
      <c r="K129" s="16"/>
      <c r="L129" s="16"/>
      <c r="M129" s="16"/>
      <c r="N129" s="16">
        <f t="shared" ref="N129" si="129">+H129/BV129</f>
        <v>31416.766666666666</v>
      </c>
      <c r="O129" s="41"/>
      <c r="P129" s="17">
        <f t="shared" ref="P129" si="130">SUM(D123:D129)</f>
        <v>471984</v>
      </c>
      <c r="Q129" s="16"/>
      <c r="R129" s="60">
        <f t="shared" si="90"/>
        <v>0.1952895889786512</v>
      </c>
      <c r="S129" s="16"/>
      <c r="T129" s="41"/>
      <c r="U129" s="10">
        <f t="shared" si="85"/>
        <v>21</v>
      </c>
      <c r="V129" s="34">
        <v>946</v>
      </c>
      <c r="W129" s="33"/>
      <c r="X129" s="33"/>
      <c r="Y129" s="33"/>
      <c r="Z129" s="33">
        <f t="shared" ref="Z129" si="131">+Z128+V129</f>
        <v>142043</v>
      </c>
      <c r="AA129" s="33"/>
      <c r="AB129" s="46">
        <f t="shared" ref="AB129" si="132">+Z129/H129</f>
        <v>3.7677068401904289E-2</v>
      </c>
      <c r="AC129" s="33"/>
      <c r="AD129" s="33">
        <f t="shared" ref="AD129" si="133">+Z129/BV129</f>
        <v>1183.6916666666666</v>
      </c>
      <c r="AE129" s="50"/>
      <c r="AF129" s="33"/>
      <c r="AG129" s="33"/>
      <c r="AH129" s="232"/>
      <c r="AI129" s="50"/>
      <c r="AJ129" s="10"/>
      <c r="AK129" s="23">
        <f t="shared" ref="AK129" si="134">+AO129-AO128</f>
        <v>61600</v>
      </c>
      <c r="AL129" s="24"/>
      <c r="AM129" s="24"/>
      <c r="AN129" s="24">
        <v>178263</v>
      </c>
      <c r="AO129" s="24">
        <v>1741233</v>
      </c>
      <c r="AP129" s="24"/>
      <c r="AQ129" s="505">
        <f t="shared" ref="AQ129" si="135">+AK129/AO128</f>
        <v>3.6674678337470151E-2</v>
      </c>
      <c r="AR129" s="25"/>
      <c r="AS129" s="25"/>
      <c r="AT129" s="24"/>
      <c r="AU129" s="342">
        <f t="shared" ref="AU129" si="136">+AO129/H129</f>
        <v>0.46186404711709139</v>
      </c>
      <c r="AV129" s="342"/>
      <c r="AW129" s="24">
        <f t="shared" ref="AW129" si="137">+AO129/BV129</f>
        <v>14510.275</v>
      </c>
      <c r="AX129" s="352"/>
      <c r="AY129" s="10"/>
      <c r="AZ129" s="66">
        <f t="shared" ref="AZ129" si="138">+BB129-BB128</f>
        <v>911678</v>
      </c>
      <c r="BA129" s="67"/>
      <c r="BB129" s="67">
        <v>46608707</v>
      </c>
      <c r="BC129" s="67"/>
      <c r="BD129" s="67">
        <f t="shared" ref="BD129" si="139">+D129</f>
        <v>74987</v>
      </c>
      <c r="BE129" s="67"/>
      <c r="BF129" s="157">
        <f t="shared" ref="BF129" si="140">+BD129/AZ129</f>
        <v>8.2251628316137929E-2</v>
      </c>
      <c r="BG129" s="67"/>
      <c r="BH129" s="184"/>
      <c r="BI129" s="67"/>
      <c r="BJ129" s="67"/>
      <c r="BK129" s="67"/>
      <c r="BL129" s="157"/>
      <c r="BM129" s="66">
        <f t="shared" ref="BM129" si="141">+BB129/BV129</f>
        <v>388405.89166666666</v>
      </c>
      <c r="BN129" s="67"/>
      <c r="BO129" s="67">
        <f t="shared" ref="BO129" si="142">+BO128+BD129</f>
        <v>3490392</v>
      </c>
      <c r="BP129" s="67"/>
      <c r="BQ129" s="479">
        <f t="shared" ref="BQ129" si="143">+BO129/BB129</f>
        <v>7.4887123558265628E-2</v>
      </c>
      <c r="BR129" s="67"/>
      <c r="BS129" s="86"/>
      <c r="BT129" s="184"/>
      <c r="BU129" s="1"/>
      <c r="BV129">
        <f t="shared" si="53"/>
        <v>120</v>
      </c>
    </row>
    <row r="130" spans="2:74" x14ac:dyDescent="0.3">
      <c r="B130" s="172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3833271</v>
      </c>
      <c r="I130" s="16"/>
      <c r="J130" s="480">
        <f t="shared" ref="J130" si="145">+D130/H129</f>
        <v>1.6779522187197284E-2</v>
      </c>
      <c r="K130" s="16"/>
      <c r="L130" s="16"/>
      <c r="M130" s="16"/>
      <c r="N130" s="16">
        <f t="shared" ref="N130" si="146">+H130/BV130</f>
        <v>31679.92561983471</v>
      </c>
      <c r="O130" s="41"/>
      <c r="P130" s="17">
        <f t="shared" ref="P130" si="147">SUM(D124:D130)</f>
        <v>473524</v>
      </c>
      <c r="Q130" s="16"/>
      <c r="R130" s="60">
        <f t="shared" ref="R130" si="148">+(P130-P123)/P123</f>
        <v>0.15492250094511043</v>
      </c>
      <c r="S130" s="16"/>
      <c r="T130" s="41"/>
      <c r="U130" s="10">
        <f t="shared" si="85"/>
        <v>22</v>
      </c>
      <c r="V130" s="34">
        <v>813</v>
      </c>
      <c r="W130" s="33"/>
      <c r="X130" s="33"/>
      <c r="Y130" s="33"/>
      <c r="Z130" s="33">
        <f t="shared" ref="Z130" si="149">+Z129+V130</f>
        <v>142856</v>
      </c>
      <c r="AA130" s="33"/>
      <c r="AB130" s="46">
        <f t="shared" ref="AB130" si="150">+Z130/H130</f>
        <v>3.7267388608840858E-2</v>
      </c>
      <c r="AC130" s="33"/>
      <c r="AD130" s="33">
        <f t="shared" ref="AD130" si="151">+Z130/BV130</f>
        <v>1180.6280991735537</v>
      </c>
      <c r="AE130" s="50"/>
      <c r="AF130" s="33"/>
      <c r="AG130" s="33"/>
      <c r="AH130" s="232"/>
      <c r="AI130" s="50"/>
      <c r="AJ130" s="10"/>
      <c r="AK130" s="23">
        <f t="shared" ref="AK130" si="152">+AO130-AO129</f>
        <v>33861</v>
      </c>
      <c r="AL130" s="24"/>
      <c r="AM130" s="24"/>
      <c r="AN130" s="24">
        <v>178263</v>
      </c>
      <c r="AO130" s="24">
        <v>1775094</v>
      </c>
      <c r="AP130" s="24"/>
      <c r="AQ130" s="505">
        <f t="shared" ref="AQ130" si="153">+AK130/AO129</f>
        <v>1.9446564589575319E-2</v>
      </c>
      <c r="AR130" s="25"/>
      <c r="AS130" s="25"/>
      <c r="AT130" s="24"/>
      <c r="AU130" s="342">
        <f t="shared" ref="AU130" si="154">+AO130/H130</f>
        <v>0.46307553001079232</v>
      </c>
      <c r="AV130" s="342"/>
      <c r="AW130" s="24">
        <f t="shared" ref="AW130" si="155">+AO130/BV130</f>
        <v>14670.198347107438</v>
      </c>
      <c r="AX130" s="352"/>
      <c r="AY130" s="10"/>
      <c r="AZ130" s="66">
        <f t="shared" ref="AZ130" si="156">+BB130-BB129</f>
        <v>989570</v>
      </c>
      <c r="BA130" s="67"/>
      <c r="BB130" s="67">
        <v>47598277</v>
      </c>
      <c r="BC130" s="67"/>
      <c r="BD130" s="67">
        <f t="shared" ref="BD130" si="157">+D130</f>
        <v>63259</v>
      </c>
      <c r="BE130" s="67"/>
      <c r="BF130" s="157">
        <f t="shared" ref="BF130" si="158">+BD130/AZ130</f>
        <v>6.3925745525834451E-2</v>
      </c>
      <c r="BG130" s="67"/>
      <c r="BH130" s="184"/>
      <c r="BI130" s="67"/>
      <c r="BJ130" s="67"/>
      <c r="BK130" s="67"/>
      <c r="BL130" s="157"/>
      <c r="BM130" s="66">
        <f t="shared" ref="BM130" si="159">+BB130/BV130</f>
        <v>393374.19008264464</v>
      </c>
      <c r="BN130" s="67"/>
      <c r="BO130" s="67">
        <f t="shared" ref="BO130" si="160">+BO129+BD130</f>
        <v>3553651</v>
      </c>
      <c r="BP130" s="67"/>
      <c r="BQ130" s="479">
        <f t="shared" ref="BQ130" si="161">+BO130/BB130</f>
        <v>7.4659236089575254E-2</v>
      </c>
      <c r="BR130" s="67"/>
      <c r="BS130" s="86"/>
      <c r="BT130" s="184"/>
      <c r="BU130" s="1"/>
      <c r="BV130">
        <f t="shared" si="53"/>
        <v>121</v>
      </c>
    </row>
    <row r="131" spans="2:74" x14ac:dyDescent="0.3">
      <c r="B131" s="391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3898550</v>
      </c>
      <c r="I131" s="16"/>
      <c r="J131" s="480">
        <f t="shared" ref="J131" si="163">+D131/H130</f>
        <v>1.7029581263625766E-2</v>
      </c>
      <c r="K131" s="16"/>
      <c r="L131" s="16"/>
      <c r="M131" s="16"/>
      <c r="N131" s="16">
        <f t="shared" ref="N131" si="164">+H131/BV131</f>
        <v>31955.327868852459</v>
      </c>
      <c r="O131" s="41"/>
      <c r="P131" s="17">
        <f t="shared" ref="P131" si="165">SUM(D125:D131)</f>
        <v>480454</v>
      </c>
      <c r="Q131" s="16"/>
      <c r="R131" s="60">
        <f t="shared" ref="R131" si="166">+(P131-P124)/P124</f>
        <v>0.13361678432556912</v>
      </c>
      <c r="S131" s="16"/>
      <c r="T131" s="41"/>
      <c r="U131" s="392">
        <f t="shared" si="85"/>
        <v>23</v>
      </c>
      <c r="V131" s="34">
        <v>412</v>
      </c>
      <c r="W131" s="33"/>
      <c r="X131" s="33"/>
      <c r="Y131" s="33"/>
      <c r="Z131" s="33">
        <f t="shared" ref="Z131" si="167">+Z130+V131</f>
        <v>143268</v>
      </c>
      <c r="AA131" s="33"/>
      <c r="AB131" s="46">
        <f t="shared" ref="AB131" si="168">+Z131/H131</f>
        <v>3.6749047722871325E-2</v>
      </c>
      <c r="AC131" s="33"/>
      <c r="AD131" s="33">
        <f t="shared" ref="AD131" si="169">+Z131/BV131</f>
        <v>1174.327868852459</v>
      </c>
      <c r="AE131" s="50"/>
      <c r="AF131" s="33">
        <f t="shared" ref="AF131" si="170">SUM(V125:V131)</f>
        <v>5537</v>
      </c>
      <c r="AG131" s="33">
        <f>SUM(D102:D150)</f>
        <v>2506009</v>
      </c>
      <c r="AH131" s="232">
        <f t="shared" ref="AH131" si="171">+(AF131-AF124)/AF124</f>
        <v>6.8712603744450873E-2</v>
      </c>
      <c r="AI131" s="50"/>
      <c r="AJ131" s="392"/>
      <c r="AK131" s="23">
        <f t="shared" ref="AK131" si="172">+AO131-AO130</f>
        <v>27244</v>
      </c>
      <c r="AL131" s="24"/>
      <c r="AM131" s="24"/>
      <c r="AN131" s="24">
        <v>178263</v>
      </c>
      <c r="AO131" s="24">
        <v>1802338</v>
      </c>
      <c r="AP131" s="24"/>
      <c r="AQ131" s="505">
        <f t="shared" ref="AQ131" si="173">+AK131/AO130</f>
        <v>1.5347919603130877E-2</v>
      </c>
      <c r="AR131" s="25"/>
      <c r="AS131" s="25"/>
      <c r="AT131" s="24"/>
      <c r="AU131" s="342">
        <f t="shared" ref="AU131" si="174">+AO131/H131</f>
        <v>0.46230983314309165</v>
      </c>
      <c r="AV131" s="342"/>
      <c r="AW131" s="24">
        <f t="shared" ref="AW131" si="175">+AO131/BV131</f>
        <v>14773.262295081968</v>
      </c>
      <c r="AX131" s="352"/>
      <c r="AY131" s="392"/>
      <c r="AZ131" s="66">
        <f t="shared" ref="AZ131" si="176">+BB131-BB130</f>
        <v>743458</v>
      </c>
      <c r="BA131" s="67"/>
      <c r="BB131" s="67">
        <v>48341735</v>
      </c>
      <c r="BC131" s="67"/>
      <c r="BD131" s="67">
        <f t="shared" ref="BD131" si="177">+D131</f>
        <v>65279</v>
      </c>
      <c r="BE131" s="67"/>
      <c r="BF131" s="157">
        <f t="shared" ref="BF131" si="178">+BD131/AZ131</f>
        <v>8.7804556545225149E-2</v>
      </c>
      <c r="BG131" s="67"/>
      <c r="BH131" s="184"/>
      <c r="BI131" s="67"/>
      <c r="BJ131" s="67">
        <f t="shared" ref="BJ131" si="179">SUM(AZ125:AZ131)</f>
        <v>5872128</v>
      </c>
      <c r="BK131" s="67"/>
      <c r="BL131" s="157">
        <f t="shared" ref="BL131" si="180">+P131/BJ131</f>
        <v>8.1819401756909937E-2</v>
      </c>
      <c r="BM131" s="66">
        <f t="shared" ref="BM131" si="181">+BB131/BV131</f>
        <v>396243.7295081967</v>
      </c>
      <c r="BN131" s="67"/>
      <c r="BO131" s="67">
        <f t="shared" ref="BO131" si="182">+BO130+BD131</f>
        <v>3618930</v>
      </c>
      <c r="BP131" s="67"/>
      <c r="BQ131" s="479">
        <f t="shared" ref="BQ131" si="183">+BO131/BB131</f>
        <v>7.4861400816499446E-2</v>
      </c>
      <c r="BR131" s="67"/>
      <c r="BS131" s="86"/>
      <c r="BT131" s="184"/>
      <c r="BU131" s="1"/>
      <c r="BV131" s="473">
        <f t="shared" si="53"/>
        <v>122</v>
      </c>
    </row>
    <row r="132" spans="2:74" x14ac:dyDescent="0.3">
      <c r="B132" s="172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3961429</v>
      </c>
      <c r="I132" s="16"/>
      <c r="J132" s="480">
        <f t="shared" ref="J132" si="185">+D132/H131</f>
        <v>1.612881712431545E-2</v>
      </c>
      <c r="K132" s="16"/>
      <c r="L132" s="16"/>
      <c r="M132" s="16"/>
      <c r="N132" s="16">
        <f t="shared" ref="N132" si="186">+H132/BV132</f>
        <v>32206.739837398374</v>
      </c>
      <c r="O132" s="41"/>
      <c r="P132" s="17">
        <f t="shared" ref="P132" si="187">SUM(D126:D132)</f>
        <v>477845</v>
      </c>
      <c r="Q132" s="16"/>
      <c r="R132" s="60">
        <f t="shared" ref="R132" si="188">+(P132-P125)/P125</f>
        <v>9.6729400963966025E-2</v>
      </c>
      <c r="S132" s="16"/>
      <c r="T132" s="41"/>
      <c r="U132" s="10">
        <f t="shared" si="85"/>
        <v>24</v>
      </c>
      <c r="V132" s="34">
        <v>545</v>
      </c>
      <c r="W132" s="33"/>
      <c r="X132" s="33"/>
      <c r="Y132" s="33"/>
      <c r="Z132" s="33">
        <f t="shared" ref="Z132" si="189">+Z131+V132</f>
        <v>143813</v>
      </c>
      <c r="AA132" s="33"/>
      <c r="AB132" s="46">
        <f t="shared" ref="AB132" si="190">+Z132/H132</f>
        <v>3.6303313778941894E-2</v>
      </c>
      <c r="AC132" s="33"/>
      <c r="AD132" s="33">
        <f t="shared" ref="AD132" si="191">+Z132/BV132</f>
        <v>1169.2113821138212</v>
      </c>
      <c r="AE132" s="50"/>
      <c r="AF132" s="33"/>
      <c r="AG132" s="33"/>
      <c r="AH132" s="232"/>
      <c r="AI132" s="50"/>
      <c r="AJ132" s="10"/>
      <c r="AK132" s="23">
        <f t="shared" ref="AK132" si="192">+AO132-AO131</f>
        <v>47651</v>
      </c>
      <c r="AL132" s="24"/>
      <c r="AM132" s="24"/>
      <c r="AN132" s="24">
        <v>178263</v>
      </c>
      <c r="AO132" s="24">
        <v>1849989</v>
      </c>
      <c r="AP132" s="24"/>
      <c r="AQ132" s="505">
        <f t="shared" ref="AQ132" si="193">+AK132/AO131</f>
        <v>2.6438437185477972E-2</v>
      </c>
      <c r="AR132" s="25"/>
      <c r="AS132" s="25"/>
      <c r="AT132" s="24"/>
      <c r="AU132" s="342">
        <f t="shared" ref="AU132" si="194">+AO132/H132</f>
        <v>0.46700041828340227</v>
      </c>
      <c r="AV132" s="342"/>
      <c r="AW132" s="24">
        <f t="shared" ref="AW132" si="195">+AO132/BV132</f>
        <v>15040.560975609756</v>
      </c>
      <c r="AX132" s="352"/>
      <c r="AY132" s="10"/>
      <c r="AZ132" s="66">
        <f t="shared" ref="AZ132" si="196">+BB132-BB131</f>
        <v>820172</v>
      </c>
      <c r="BA132" s="67"/>
      <c r="BB132" s="67">
        <v>49161907</v>
      </c>
      <c r="BC132" s="67"/>
      <c r="BD132" s="67">
        <f t="shared" ref="BD132" si="197">+D132</f>
        <v>62879</v>
      </c>
      <c r="BE132" s="67"/>
      <c r="BF132" s="157">
        <f t="shared" ref="BF132" si="198">+BD132/AZ132</f>
        <v>7.6665626234497158E-2</v>
      </c>
      <c r="BG132" s="67"/>
      <c r="BH132" s="184"/>
      <c r="BI132" s="67"/>
      <c r="BJ132" s="67"/>
      <c r="BK132" s="67"/>
      <c r="BL132" s="157"/>
      <c r="BM132" s="66">
        <f t="shared" ref="BM132" si="199">+BB132/BV132</f>
        <v>399690.30081300816</v>
      </c>
      <c r="BN132" s="67"/>
      <c r="BO132" s="67">
        <f t="shared" ref="BO132" si="200">+BO131+BD132</f>
        <v>3681809</v>
      </c>
      <c r="BP132" s="67"/>
      <c r="BQ132" s="479">
        <f t="shared" ref="BQ132" si="201">+BO132/BB132</f>
        <v>7.4891500852479143E-2</v>
      </c>
      <c r="BR132" s="67"/>
      <c r="BS132" s="86"/>
      <c r="BT132" s="184"/>
      <c r="BU132" s="1"/>
      <c r="BV132">
        <f t="shared" si="53"/>
        <v>123</v>
      </c>
    </row>
    <row r="133" spans="2:74" x14ac:dyDescent="0.3">
      <c r="B133" s="172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4028908</v>
      </c>
      <c r="I133" s="16"/>
      <c r="J133" s="480">
        <f t="shared" ref="J133" si="203">+D133/H132</f>
        <v>1.7034004648322613E-2</v>
      </c>
      <c r="K133" s="16"/>
      <c r="L133" s="16"/>
      <c r="M133" s="16"/>
      <c r="N133" s="16">
        <f t="shared" ref="N133" si="204">+H133/BV133</f>
        <v>32491.193548387098</v>
      </c>
      <c r="O133" s="41"/>
      <c r="P133" s="17">
        <f t="shared" ref="P133" si="205">SUM(D127:D133)</f>
        <v>479276</v>
      </c>
      <c r="Q133" s="16"/>
      <c r="R133" s="60">
        <f t="shared" ref="R133" si="206">+(P133-P126)/P126</f>
        <v>7.3873082593556891E-2</v>
      </c>
      <c r="S133" s="16"/>
      <c r="T133" s="41"/>
      <c r="U133" s="10">
        <f t="shared" si="85"/>
        <v>25</v>
      </c>
      <c r="V133" s="34">
        <v>1165</v>
      </c>
      <c r="W133" s="33"/>
      <c r="X133" s="33"/>
      <c r="Y133" s="33"/>
      <c r="Z133" s="33">
        <f t="shared" ref="Z133" si="207">+Z132+V133</f>
        <v>144978</v>
      </c>
      <c r="AA133" s="33"/>
      <c r="AB133" s="46">
        <f t="shared" ref="AB133" si="208">+Z133/H133</f>
        <v>3.5984440448875971E-2</v>
      </c>
      <c r="AC133" s="33"/>
      <c r="AD133" s="33">
        <f t="shared" ref="AD133" si="209">+Z133/BV133</f>
        <v>1169.1774193548388</v>
      </c>
      <c r="AE133" s="50"/>
      <c r="AF133" s="33"/>
      <c r="AG133" s="33"/>
      <c r="AH133" s="232"/>
      <c r="AI133" s="50"/>
      <c r="AJ133" s="10"/>
      <c r="AK133" s="23">
        <f t="shared" ref="AK133" si="210">+AO133-AO132</f>
        <v>36594</v>
      </c>
      <c r="AL133" s="24"/>
      <c r="AM133" s="24"/>
      <c r="AN133" s="24">
        <v>178263</v>
      </c>
      <c r="AO133" s="24">
        <v>1886583</v>
      </c>
      <c r="AP133" s="24"/>
      <c r="AQ133" s="505">
        <f t="shared" ref="AQ133" si="211">+AK133/AO132</f>
        <v>1.9780658155264707E-2</v>
      </c>
      <c r="AR133" s="25"/>
      <c r="AS133" s="25"/>
      <c r="AT133" s="24"/>
      <c r="AU133" s="342">
        <f t="shared" ref="AU133" si="212">+AO133/H133</f>
        <v>0.46826162324878107</v>
      </c>
      <c r="AV133" s="342"/>
      <c r="AW133" s="24">
        <f t="shared" ref="AW133" si="213">+AO133/BV133</f>
        <v>15214.379032258064</v>
      </c>
      <c r="AX133" s="352"/>
      <c r="AY133" s="10"/>
      <c r="AZ133" s="66">
        <f t="shared" ref="AZ133" si="214">+BB133-BB132</f>
        <v>751646</v>
      </c>
      <c r="BA133" s="67"/>
      <c r="BB133" s="67">
        <v>49913553</v>
      </c>
      <c r="BC133" s="67"/>
      <c r="BD133" s="67">
        <f t="shared" ref="BD133" si="215">+D133</f>
        <v>67479</v>
      </c>
      <c r="BE133" s="67"/>
      <c r="BF133" s="157">
        <f t="shared" ref="BF133" si="216">+BD133/AZ133</f>
        <v>8.9774973857374346E-2</v>
      </c>
      <c r="BG133" s="67"/>
      <c r="BH133" s="184"/>
      <c r="BI133" s="67"/>
      <c r="BJ133" s="67"/>
      <c r="BK133" s="67"/>
      <c r="BL133" s="157"/>
      <c r="BM133" s="66">
        <f t="shared" ref="BM133" si="217">+BB133/BV133</f>
        <v>402528.65322580643</v>
      </c>
      <c r="BN133" s="67"/>
      <c r="BO133" s="67">
        <f t="shared" ref="BO133" si="218">+BO132+BD133</f>
        <v>3749288</v>
      </c>
      <c r="BP133" s="67"/>
      <c r="BQ133" s="479">
        <f t="shared" ref="BQ133" si="219">+BO133/BB133</f>
        <v>7.5115630418054996E-2</v>
      </c>
      <c r="BR133" s="67"/>
      <c r="BS133" s="86"/>
      <c r="BT133" s="184"/>
      <c r="BU133" s="1"/>
      <c r="BV133">
        <f t="shared" si="53"/>
        <v>124</v>
      </c>
    </row>
    <row r="134" spans="2:74" x14ac:dyDescent="0.3">
      <c r="B134" s="172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4100875</v>
      </c>
      <c r="I134" s="16"/>
      <c r="J134" s="480">
        <f t="shared" ref="J134" si="221">+D134/H133</f>
        <v>1.786265658088991E-2</v>
      </c>
      <c r="K134" s="16"/>
      <c r="L134" s="16"/>
      <c r="M134" s="16"/>
      <c r="N134" s="16">
        <f t="shared" ref="N134" si="222">+H134/BV134</f>
        <v>32807</v>
      </c>
      <c r="O134" s="41"/>
      <c r="P134" s="17">
        <f t="shared" ref="P134" si="223">SUM(D128:D134)</f>
        <v>479238</v>
      </c>
      <c r="Q134" s="16"/>
      <c r="R134" s="60">
        <f t="shared" ref="R134" si="224">+(P134-P127)/P127</f>
        <v>4.9894514999025114E-2</v>
      </c>
      <c r="S134" s="16"/>
      <c r="T134" s="41"/>
      <c r="U134" s="10">
        <f t="shared" si="85"/>
        <v>26</v>
      </c>
      <c r="V134" s="34">
        <v>1205</v>
      </c>
      <c r="W134" s="33"/>
      <c r="X134" s="33"/>
      <c r="Y134" s="33"/>
      <c r="Z134" s="33">
        <f t="shared" ref="Z134" si="225">+Z133+V134</f>
        <v>146183</v>
      </c>
      <c r="AA134" s="33"/>
      <c r="AB134" s="46">
        <f t="shared" ref="AB134" si="226">+Z134/H134</f>
        <v>3.5646782698814279E-2</v>
      </c>
      <c r="AC134" s="33"/>
      <c r="AD134" s="33">
        <f t="shared" ref="AD134" si="227">+Z134/BV134</f>
        <v>1169.4639999999999</v>
      </c>
      <c r="AE134" s="50"/>
      <c r="AF134" s="33"/>
      <c r="AG134" s="33"/>
      <c r="AH134" s="232"/>
      <c r="AI134" s="50"/>
      <c r="AJ134" s="10"/>
      <c r="AK134" s="23">
        <f t="shared" ref="AK134" si="228">+AO134-AO133</f>
        <v>56054</v>
      </c>
      <c r="AL134" s="24"/>
      <c r="AM134" s="24"/>
      <c r="AN134" s="24">
        <v>178263</v>
      </c>
      <c r="AO134" s="24">
        <v>1942637</v>
      </c>
      <c r="AP134" s="24"/>
      <c r="AQ134" s="505">
        <f t="shared" ref="AQ134" si="229">+AK134/AO133</f>
        <v>2.971191832005271E-2</v>
      </c>
      <c r="AR134" s="25"/>
      <c r="AS134" s="25"/>
      <c r="AT134" s="24"/>
      <c r="AU134" s="342">
        <f t="shared" ref="AU134" si="230">+AO134/H134</f>
        <v>0.47371280519401349</v>
      </c>
      <c r="AV134" s="342"/>
      <c r="AW134" s="24">
        <f t="shared" ref="AW134" si="231">+AO134/BV134</f>
        <v>15541.096</v>
      </c>
      <c r="AX134" s="352"/>
      <c r="AY134" s="10"/>
      <c r="AZ134" s="66">
        <f t="shared" ref="AZ134" si="232">+BB134-BB133</f>
        <v>819317</v>
      </c>
      <c r="BA134" s="67"/>
      <c r="BB134" s="67">
        <v>50732870</v>
      </c>
      <c r="BC134" s="67"/>
      <c r="BD134" s="67">
        <f t="shared" ref="BD134" si="233">+D134</f>
        <v>71967</v>
      </c>
      <c r="BE134" s="67"/>
      <c r="BF134" s="157">
        <f t="shared" ref="BF134" si="234">+BD134/AZ134</f>
        <v>8.7837796603756541E-2</v>
      </c>
      <c r="BG134" s="67"/>
      <c r="BH134" s="184"/>
      <c r="BI134" s="67"/>
      <c r="BJ134" s="67"/>
      <c r="BK134" s="67"/>
      <c r="BL134" s="157"/>
      <c r="BM134" s="66">
        <f t="shared" ref="BM134" si="235">+BB134/BV134</f>
        <v>405862.96</v>
      </c>
      <c r="BN134" s="67"/>
      <c r="BO134" s="67">
        <f t="shared" ref="BO134" si="236">+BO133+BD134</f>
        <v>3821255</v>
      </c>
      <c r="BP134" s="67"/>
      <c r="BQ134" s="479">
        <f t="shared" ref="BQ134" si="237">+BO134/BB134</f>
        <v>7.5321088674857151E-2</v>
      </c>
      <c r="BR134" s="67"/>
      <c r="BS134" s="86"/>
      <c r="BT134" s="184"/>
      <c r="BU134" s="1"/>
      <c r="BV134">
        <f t="shared" si="53"/>
        <v>125</v>
      </c>
    </row>
    <row r="135" spans="2:74" x14ac:dyDescent="0.3">
      <c r="B135" s="172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4170318</v>
      </c>
      <c r="I135" s="16"/>
      <c r="J135" s="480">
        <f t="shared" ref="J135" si="239">+D135/H134</f>
        <v>1.69337031731033E-2</v>
      </c>
      <c r="K135" s="16"/>
      <c r="L135" s="16"/>
      <c r="M135" s="16"/>
      <c r="N135" s="16">
        <f t="shared" ref="N135" si="240">+H135/BV135</f>
        <v>33097.761904761908</v>
      </c>
      <c r="O135" s="41"/>
      <c r="P135" s="17">
        <f t="shared" ref="P135" si="241">SUM(D129:D135)</f>
        <v>475293</v>
      </c>
      <c r="Q135" s="16"/>
      <c r="R135" s="60">
        <f t="shared" ref="R135" si="242">+(P135-P128)/P128</f>
        <v>1.388485955152053E-2</v>
      </c>
      <c r="S135" s="16"/>
      <c r="T135" s="41"/>
      <c r="U135" s="10">
        <f t="shared" si="85"/>
        <v>27</v>
      </c>
      <c r="V135" s="34">
        <v>1166</v>
      </c>
      <c r="W135" s="33"/>
      <c r="X135" s="33"/>
      <c r="Y135" s="33"/>
      <c r="Z135" s="33">
        <f t="shared" ref="Z135" si="243">+Z134+V135</f>
        <v>147349</v>
      </c>
      <c r="AA135" s="33"/>
      <c r="AB135" s="46">
        <f t="shared" ref="AB135" si="244">+Z135/H135</f>
        <v>3.5332797163189954E-2</v>
      </c>
      <c r="AC135" s="33"/>
      <c r="AD135" s="33">
        <f t="shared" ref="AD135" si="245">+Z135/BV135</f>
        <v>1169.436507936508</v>
      </c>
      <c r="AE135" s="50"/>
      <c r="AF135" s="33"/>
      <c r="AG135" s="33"/>
      <c r="AH135" s="232"/>
      <c r="AI135" s="50"/>
      <c r="AJ135" s="10"/>
      <c r="AK135" s="23">
        <f t="shared" ref="AK135" si="246">+AO135-AO134</f>
        <v>36980</v>
      </c>
      <c r="AL135" s="24"/>
      <c r="AM135" s="24"/>
      <c r="AN135" s="24">
        <v>178263</v>
      </c>
      <c r="AO135" s="24">
        <v>1979617</v>
      </c>
      <c r="AP135" s="24"/>
      <c r="AQ135" s="505">
        <f t="shared" ref="AQ135" si="247">+AK135/AO134</f>
        <v>1.9035980473963997E-2</v>
      </c>
      <c r="AR135" s="25"/>
      <c r="AS135" s="25"/>
      <c r="AT135" s="24"/>
      <c r="AU135" s="342">
        <f t="shared" ref="AU135" si="248">+AO135/H135</f>
        <v>0.47469209782083766</v>
      </c>
      <c r="AV135" s="342"/>
      <c r="AW135" s="24">
        <f t="shared" ref="AW135" si="249">+AO135/BV135</f>
        <v>15711.246031746032</v>
      </c>
      <c r="AX135" s="352"/>
      <c r="AY135" s="10"/>
      <c r="AZ135" s="66">
        <f t="shared" ref="AZ135" si="250">+BB135-BB134</f>
        <v>819305</v>
      </c>
      <c r="BA135" s="67"/>
      <c r="BB135" s="67">
        <v>51552175</v>
      </c>
      <c r="BC135" s="67"/>
      <c r="BD135" s="67">
        <f t="shared" ref="BD135" si="251">+D135</f>
        <v>69443</v>
      </c>
      <c r="BE135" s="67"/>
      <c r="BF135" s="157">
        <f t="shared" ref="BF135" si="252">+BD135/AZ135</f>
        <v>8.475842329779508E-2</v>
      </c>
      <c r="BG135" s="67"/>
      <c r="BH135" s="184"/>
      <c r="BI135" s="67"/>
      <c r="BJ135" s="67"/>
      <c r="BK135" s="67"/>
      <c r="BL135" s="157"/>
      <c r="BM135" s="66">
        <f t="shared" ref="BM135" si="253">+BB135/BV135</f>
        <v>409144.24603174604</v>
      </c>
      <c r="BN135" s="67"/>
      <c r="BO135" s="67">
        <f t="shared" ref="BO135" si="254">+BO134+BD135</f>
        <v>3890698</v>
      </c>
      <c r="BP135" s="67"/>
      <c r="BQ135" s="479">
        <f t="shared" ref="BQ135" si="255">+BO135/BB135</f>
        <v>7.5471073722883655E-2</v>
      </c>
      <c r="BR135" s="67"/>
      <c r="BS135" s="86"/>
      <c r="BT135" s="184"/>
      <c r="BU135" s="1"/>
      <c r="BV135">
        <f t="shared" si="53"/>
        <v>126</v>
      </c>
    </row>
    <row r="136" spans="2:74" x14ac:dyDescent="0.3">
      <c r="B136" s="172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4248296</v>
      </c>
      <c r="I136" s="16"/>
      <c r="J136" s="480">
        <f t="shared" ref="J136" si="257">+D136/H135</f>
        <v>1.8698334275707513E-2</v>
      </c>
      <c r="K136" s="16"/>
      <c r="L136" s="16"/>
      <c r="M136" s="16"/>
      <c r="N136" s="16">
        <f t="shared" ref="N136" si="258">+H136/BV136</f>
        <v>33451.149606299216</v>
      </c>
      <c r="O136" s="41"/>
      <c r="P136" s="17">
        <f t="shared" ref="P136" si="259">SUM(D130:D136)</f>
        <v>478284</v>
      </c>
      <c r="Q136" s="16"/>
      <c r="R136" s="60">
        <f t="shared" ref="R136" si="260">+(P136-P129)/P129</f>
        <v>1.3347910098647412E-2</v>
      </c>
      <c r="S136" s="16"/>
      <c r="T136" s="41"/>
      <c r="U136" s="10">
        <f t="shared" si="85"/>
        <v>28</v>
      </c>
      <c r="V136" s="34">
        <v>1141</v>
      </c>
      <c r="W136" s="33"/>
      <c r="X136" s="33"/>
      <c r="Y136" s="33"/>
      <c r="Z136" s="33">
        <f t="shared" ref="Z136" si="261">+Z135+V136</f>
        <v>148490</v>
      </c>
      <c r="AA136" s="33"/>
      <c r="AB136" s="46">
        <f t="shared" ref="AB136" si="262">+Z136/H136</f>
        <v>3.4952837561224546E-2</v>
      </c>
      <c r="AC136" s="33"/>
      <c r="AD136" s="33">
        <f t="shared" ref="AD136" si="263">+Z136/BV136</f>
        <v>1169.2125984251968</v>
      </c>
      <c r="AE136" s="50"/>
      <c r="AF136" s="33"/>
      <c r="AG136" s="33"/>
      <c r="AH136" s="232"/>
      <c r="AI136" s="50"/>
      <c r="AJ136" s="10"/>
      <c r="AK136" s="23">
        <f t="shared" ref="AK136" si="264">+AO136-AO135</f>
        <v>48275</v>
      </c>
      <c r="AL136" s="24"/>
      <c r="AM136" s="24"/>
      <c r="AN136" s="24">
        <v>178263</v>
      </c>
      <c r="AO136" s="24">
        <v>2027892</v>
      </c>
      <c r="AP136" s="24"/>
      <c r="AQ136" s="505">
        <f t="shared" ref="AQ136" si="265">+AK136/AO135</f>
        <v>2.4386030227059072E-2</v>
      </c>
      <c r="AR136" s="25"/>
      <c r="AS136" s="25"/>
      <c r="AT136" s="24"/>
      <c r="AU136" s="342">
        <f t="shared" ref="AU136" si="266">+AO136/H136</f>
        <v>0.47734244506503315</v>
      </c>
      <c r="AV136" s="342"/>
      <c r="AW136" s="24">
        <f t="shared" ref="AW136" si="267">+AO136/BV136</f>
        <v>15967.653543307086</v>
      </c>
      <c r="AX136" s="352"/>
      <c r="AY136" s="10"/>
      <c r="AZ136" s="66">
        <f t="shared" ref="AZ136" si="268">+BB136-BB135</f>
        <v>968251</v>
      </c>
      <c r="BA136" s="67"/>
      <c r="BB136" s="67">
        <v>52520426</v>
      </c>
      <c r="BC136" s="67"/>
      <c r="BD136" s="67">
        <f t="shared" ref="BD136" si="269">+D136</f>
        <v>77978</v>
      </c>
      <c r="BE136" s="67"/>
      <c r="BF136" s="157">
        <f t="shared" ref="BF136" si="270">+BD136/AZ136</f>
        <v>8.0534902623390012E-2</v>
      </c>
      <c r="BG136" s="67"/>
      <c r="BH136" s="184"/>
      <c r="BI136" s="67"/>
      <c r="BJ136" s="67"/>
      <c r="BK136" s="67"/>
      <c r="BL136" s="157"/>
      <c r="BM136" s="66">
        <f t="shared" ref="BM136" si="271">+BB136/BV136</f>
        <v>413546.66141732282</v>
      </c>
      <c r="BN136" s="67"/>
      <c r="BO136" s="67">
        <f t="shared" ref="BO136" si="272">+BO135+BD136</f>
        <v>3968676</v>
      </c>
      <c r="BP136" s="67"/>
      <c r="BQ136" s="479">
        <f t="shared" ref="BQ136" si="273">+BO136/BB136</f>
        <v>7.5564428970930284E-2</v>
      </c>
      <c r="BR136" s="67"/>
      <c r="BS136" s="86"/>
      <c r="BT136" s="184"/>
      <c r="BU136" s="1"/>
      <c r="BV136">
        <f t="shared" si="53"/>
        <v>127</v>
      </c>
    </row>
    <row r="137" spans="2:74" x14ac:dyDescent="0.3">
      <c r="B137" s="172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4315709</v>
      </c>
      <c r="I137" s="16"/>
      <c r="J137" s="480">
        <f t="shared" ref="J137" si="275">+D137/H136</f>
        <v>1.5868244585593848E-2</v>
      </c>
      <c r="K137" s="16"/>
      <c r="L137" s="16"/>
      <c r="M137" s="16"/>
      <c r="N137" s="16">
        <f t="shared" ref="N137" si="276">+H137/BV137</f>
        <v>33716.4765625</v>
      </c>
      <c r="O137" s="41"/>
      <c r="P137" s="17">
        <f t="shared" ref="P137" si="277">SUM(D131:D137)</f>
        <v>482438</v>
      </c>
      <c r="Q137" s="16"/>
      <c r="R137" s="60">
        <f t="shared" ref="R137" si="278">+(P137-P130)/P130</f>
        <v>1.8824811413993801E-2</v>
      </c>
      <c r="S137" s="16"/>
      <c r="T137" s="41"/>
      <c r="U137" s="10">
        <f t="shared" si="85"/>
        <v>29</v>
      </c>
      <c r="V137" s="34">
        <v>908</v>
      </c>
      <c r="W137" s="33"/>
      <c r="X137" s="33"/>
      <c r="Y137" s="33"/>
      <c r="Z137" s="33">
        <f t="shared" ref="Z137" si="279">+Z136+V137</f>
        <v>149398</v>
      </c>
      <c r="AA137" s="33"/>
      <c r="AB137" s="46">
        <f t="shared" ref="AB137" si="280">+Z137/H137</f>
        <v>3.4617255241259318E-2</v>
      </c>
      <c r="AC137" s="33"/>
      <c r="AD137" s="33">
        <f t="shared" ref="AD137" si="281">+Z137/BV137</f>
        <v>1167.171875</v>
      </c>
      <c r="AE137" s="50"/>
      <c r="AF137" s="33"/>
      <c r="AG137" s="33"/>
      <c r="AH137" s="232"/>
      <c r="AI137" s="50"/>
      <c r="AJ137" s="10"/>
      <c r="AK137" s="23">
        <f t="shared" ref="AK137" si="282">+AO137-AO136</f>
        <v>33800</v>
      </c>
      <c r="AL137" s="24"/>
      <c r="AM137" s="24"/>
      <c r="AN137" s="24">
        <v>178263</v>
      </c>
      <c r="AO137" s="24">
        <v>2061692</v>
      </c>
      <c r="AP137" s="24"/>
      <c r="AQ137" s="505">
        <f t="shared" ref="AQ137" si="283">+AK137/AO136</f>
        <v>1.6667554287900933E-2</v>
      </c>
      <c r="AR137" s="25"/>
      <c r="AS137" s="25"/>
      <c r="AT137" s="24"/>
      <c r="AU137" s="342">
        <f t="shared" ref="AU137" si="284">+AO137/H137</f>
        <v>0.47771802964472349</v>
      </c>
      <c r="AV137" s="342"/>
      <c r="AW137" s="24">
        <f t="shared" ref="AW137" si="285">+AO137/BV137</f>
        <v>16106.96875</v>
      </c>
      <c r="AX137" s="352"/>
      <c r="AY137" s="10"/>
      <c r="AZ137" s="66">
        <f t="shared" ref="AZ137" si="286">+BB137-BB136</f>
        <v>831824</v>
      </c>
      <c r="BA137" s="67"/>
      <c r="BB137" s="67">
        <v>53352250</v>
      </c>
      <c r="BC137" s="67"/>
      <c r="BD137" s="67">
        <f t="shared" ref="BD137" si="287">+D137</f>
        <v>67413</v>
      </c>
      <c r="BE137" s="67"/>
      <c r="BF137" s="157">
        <f t="shared" ref="BF137" si="288">+BD137/AZ137</f>
        <v>8.1042383965838932E-2</v>
      </c>
      <c r="BG137" s="67"/>
      <c r="BH137" s="184"/>
      <c r="BI137" s="67"/>
      <c r="BJ137" s="67"/>
      <c r="BK137" s="67"/>
      <c r="BL137" s="157"/>
      <c r="BM137" s="66">
        <f t="shared" ref="BM137" si="289">+BB137/BV137</f>
        <v>416814.453125</v>
      </c>
      <c r="BN137" s="67"/>
      <c r="BO137" s="67">
        <f t="shared" ref="BO137" si="290">+BO136+BD137</f>
        <v>4036089</v>
      </c>
      <c r="BP137" s="67"/>
      <c r="BQ137" s="479">
        <f t="shared" ref="BQ137" si="291">+BO137/BB137</f>
        <v>7.5649836698545983E-2</v>
      </c>
      <c r="BR137" s="67"/>
      <c r="BS137" s="86"/>
      <c r="BT137" s="184"/>
      <c r="BU137" s="1"/>
      <c r="BV137">
        <f t="shared" si="53"/>
        <v>128</v>
      </c>
    </row>
    <row r="138" spans="2:74" x14ac:dyDescent="0.3">
      <c r="B138" s="391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4371839</v>
      </c>
      <c r="I138" s="16"/>
      <c r="J138" s="480">
        <f t="shared" ref="J138" si="293">+D138/H137</f>
        <v>1.3005974221153465E-2</v>
      </c>
      <c r="K138" s="16"/>
      <c r="L138" s="16"/>
      <c r="M138" s="16"/>
      <c r="N138" s="16">
        <f t="shared" ref="N138" si="294">+H138/BV138</f>
        <v>33890.22480620155</v>
      </c>
      <c r="O138" s="41"/>
      <c r="P138" s="17">
        <f t="shared" ref="P138" si="295">SUM(D132:D138)</f>
        <v>473289</v>
      </c>
      <c r="Q138" s="16"/>
      <c r="R138" s="60">
        <f t="shared" ref="R138" si="296">+(P138-P131)/P131</f>
        <v>-1.4912978141507823E-2</v>
      </c>
      <c r="S138" s="16"/>
      <c r="T138" s="41"/>
      <c r="U138" s="392">
        <f t="shared" si="85"/>
        <v>30</v>
      </c>
      <c r="V138" s="34">
        <v>450</v>
      </c>
      <c r="W138" s="33"/>
      <c r="X138" s="33"/>
      <c r="Y138" s="33"/>
      <c r="Z138" s="33">
        <f t="shared" ref="Z138" si="297">+Z137+V138</f>
        <v>149848</v>
      </c>
      <c r="AA138" s="33"/>
      <c r="AB138" s="46">
        <f t="shared" ref="AB138" si="298">+Z138/H138</f>
        <v>3.4275736137584209E-2</v>
      </c>
      <c r="AC138" s="33"/>
      <c r="AD138" s="33">
        <f t="shared" ref="AD138" si="299">+Z138/BV138</f>
        <v>1161.6124031007753</v>
      </c>
      <c r="AE138" s="50"/>
      <c r="AF138" s="33">
        <f t="shared" ref="AF138" si="300">SUM(V132:V138)</f>
        <v>6580</v>
      </c>
      <c r="AG138" s="33">
        <f>SUM(D109:D157)</f>
        <v>2311634</v>
      </c>
      <c r="AH138" s="232">
        <f t="shared" ref="AH138" si="301">+(AF138-AF131)/AF131</f>
        <v>0.18836915297092288</v>
      </c>
      <c r="AI138" s="50"/>
      <c r="AJ138" s="392"/>
      <c r="AK138" s="23">
        <f t="shared" ref="AK138" si="302">+AO138-AO137</f>
        <v>28437</v>
      </c>
      <c r="AL138" s="24"/>
      <c r="AM138" s="24"/>
      <c r="AN138" s="24">
        <v>178263</v>
      </c>
      <c r="AO138" s="24">
        <v>2090129</v>
      </c>
      <c r="AP138" s="24"/>
      <c r="AQ138" s="505">
        <f t="shared" ref="AQ138" si="303">+AK138/AO137</f>
        <v>1.3793039891506587E-2</v>
      </c>
      <c r="AR138" s="25"/>
      <c r="AS138" s="25"/>
      <c r="AT138" s="24"/>
      <c r="AU138" s="342">
        <f t="shared" ref="AU138" si="304">+AO138/H138</f>
        <v>0.47808919770375807</v>
      </c>
      <c r="AV138" s="342"/>
      <c r="AW138" s="24">
        <f t="shared" ref="AW138" si="305">+AO138/BV138</f>
        <v>16202.550387596899</v>
      </c>
      <c r="AX138" s="352"/>
      <c r="AY138" s="392"/>
      <c r="AZ138" s="66">
        <f t="shared" ref="AZ138" si="306">+BB138-BB137</f>
        <v>867325</v>
      </c>
      <c r="BA138" s="67"/>
      <c r="BB138" s="67">
        <v>54219575</v>
      </c>
      <c r="BC138" s="67"/>
      <c r="BD138" s="67">
        <f t="shared" ref="BD138" si="307">+D138</f>
        <v>56130</v>
      </c>
      <c r="BE138" s="67"/>
      <c r="BF138" s="157">
        <f t="shared" ref="BF138" si="308">+BD138/AZ138</f>
        <v>6.4716225175107375E-2</v>
      </c>
      <c r="BG138" s="67"/>
      <c r="BH138" s="184"/>
      <c r="BI138" s="67"/>
      <c r="BJ138" s="67">
        <f t="shared" ref="BJ138" si="309">SUM(AZ132:AZ138)</f>
        <v>5877840</v>
      </c>
      <c r="BK138" s="67"/>
      <c r="BL138" s="157">
        <f t="shared" ref="BL138" si="310">+P138/BJ138</f>
        <v>8.0520905638806095E-2</v>
      </c>
      <c r="BM138" s="66">
        <f t="shared" ref="BM138" si="311">+BB138/BV138</f>
        <v>420306.78294573643</v>
      </c>
      <c r="BN138" s="67"/>
      <c r="BO138" s="67">
        <f t="shared" ref="BO138" si="312">+BO137+BD138</f>
        <v>4092219</v>
      </c>
      <c r="BP138" s="67"/>
      <c r="BQ138" s="479">
        <f t="shared" ref="BQ138" si="313">+BO138/BB138</f>
        <v>7.5474936865513972E-2</v>
      </c>
      <c r="BR138" s="67"/>
      <c r="BS138" s="86"/>
      <c r="BT138" s="184"/>
      <c r="BU138" s="1"/>
      <c r="BV138" s="473">
        <f t="shared" si="53"/>
        <v>129</v>
      </c>
    </row>
    <row r="139" spans="2:74" x14ac:dyDescent="0.3">
      <c r="B139" s="172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4">+H138+D139</f>
        <v>4433410</v>
      </c>
      <c r="I139" s="16"/>
      <c r="J139" s="480">
        <f t="shared" ref="J139" si="315">+D139/H138</f>
        <v>1.4083546992467014E-2</v>
      </c>
      <c r="K139" s="16"/>
      <c r="L139" s="16"/>
      <c r="M139" s="16"/>
      <c r="N139" s="16">
        <f t="shared" ref="N139" si="316">+H139/BV139</f>
        <v>34103.153846153844</v>
      </c>
      <c r="O139" s="41"/>
      <c r="P139" s="17">
        <f t="shared" ref="P139" si="317">SUM(D133:D139)</f>
        <v>471981</v>
      </c>
      <c r="Q139" s="16"/>
      <c r="R139" s="60">
        <f t="shared" ref="R139" si="318">+(P139-P132)/P132</f>
        <v>-1.2271761763751844E-2</v>
      </c>
      <c r="S139" s="16"/>
      <c r="T139" s="41"/>
      <c r="U139" s="10">
        <f t="shared" ref="U139" si="319">+U138+1</f>
        <v>31</v>
      </c>
      <c r="V139" s="34">
        <v>596</v>
      </c>
      <c r="W139" s="33"/>
      <c r="X139" s="33"/>
      <c r="Y139" s="33"/>
      <c r="Z139" s="33">
        <f t="shared" ref="Z139" si="320">+Z138+V139</f>
        <v>150444</v>
      </c>
      <c r="AA139" s="33"/>
      <c r="AB139" s="46">
        <f t="shared" ref="AB139" si="321">+Z139/H139</f>
        <v>3.3934150010939662E-2</v>
      </c>
      <c r="AC139" s="33"/>
      <c r="AD139" s="33">
        <f t="shared" ref="AD139" si="322">+Z139/BV139</f>
        <v>1157.2615384615385</v>
      </c>
      <c r="AE139" s="50"/>
      <c r="AF139" s="33">
        <f t="shared" ref="AF139" si="323">SUM(V133:V139)</f>
        <v>6631</v>
      </c>
      <c r="AG139" s="33">
        <f>SUM(D110:D158)</f>
        <v>2268053</v>
      </c>
      <c r="AH139" s="232" t="e">
        <f t="shared" ref="AH139" si="324">+(AF139-AF132)/AF132</f>
        <v>#DIV/0!</v>
      </c>
      <c r="AI139" s="50"/>
      <c r="AJ139" s="10"/>
      <c r="AK139" s="23">
        <f t="shared" ref="AK139" si="325">+AO139-AO138</f>
        <v>46474</v>
      </c>
      <c r="AL139" s="24"/>
      <c r="AM139" s="24"/>
      <c r="AN139" s="24">
        <v>178263</v>
      </c>
      <c r="AO139" s="24">
        <v>2136603</v>
      </c>
      <c r="AP139" s="24"/>
      <c r="AQ139" s="505">
        <f t="shared" ref="AQ139" si="326">+AK139/AO138</f>
        <v>2.2234991237382956E-2</v>
      </c>
      <c r="AR139" s="25"/>
      <c r="AS139" s="25"/>
      <c r="AT139" s="24"/>
      <c r="AU139" s="342">
        <f t="shared" ref="AU139" si="327">+AO139/H139</f>
        <v>0.48193219215006056</v>
      </c>
      <c r="AV139" s="342"/>
      <c r="AW139" s="24">
        <f t="shared" ref="AW139" si="328">+AO139/BV139</f>
        <v>16435.407692307694</v>
      </c>
      <c r="AX139" s="352"/>
      <c r="AY139" s="10"/>
      <c r="AZ139" s="66">
        <f t="shared" ref="AZ139" si="329">+BB139-BB138</f>
        <v>798661</v>
      </c>
      <c r="BA139" s="67"/>
      <c r="BB139" s="67">
        <v>55018236</v>
      </c>
      <c r="BC139" s="67"/>
      <c r="BD139" s="67">
        <f t="shared" ref="BD139" si="330">+D139</f>
        <v>61571</v>
      </c>
      <c r="BE139" s="67"/>
      <c r="BF139" s="157">
        <f t="shared" ref="BF139" si="331">+BD139/AZ139</f>
        <v>7.7092784047299162E-2</v>
      </c>
      <c r="BG139" s="67"/>
      <c r="BH139" s="184"/>
      <c r="BI139" s="67"/>
      <c r="BJ139" s="67">
        <f t="shared" ref="BJ139" si="332">SUM(AZ133:AZ139)</f>
        <v>5856329</v>
      </c>
      <c r="BK139" s="67"/>
      <c r="BL139" s="157">
        <f t="shared" ref="BL139" si="333">+P139/BJ139</f>
        <v>8.059332049138633E-2</v>
      </c>
      <c r="BM139" s="66">
        <f t="shared" ref="BM139" si="334">+BB139/BV139</f>
        <v>423217.2</v>
      </c>
      <c r="BN139" s="67"/>
      <c r="BO139" s="67">
        <f t="shared" ref="BO139" si="335">+BO138+BD139</f>
        <v>4153790</v>
      </c>
      <c r="BP139" s="67"/>
      <c r="BQ139" s="479">
        <f t="shared" ref="BQ139" si="336">+BO139/BB139</f>
        <v>7.5498422014111832E-2</v>
      </c>
      <c r="BR139" s="67"/>
      <c r="BS139" s="86"/>
      <c r="BT139" s="184"/>
      <c r="BU139" s="1"/>
      <c r="BV139" s="61">
        <f t="shared" si="53"/>
        <v>130</v>
      </c>
    </row>
    <row r="140" spans="2:74" x14ac:dyDescent="0.3">
      <c r="B140" s="172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7">+H139+D140</f>
        <v>4498139</v>
      </c>
      <c r="I140" s="16"/>
      <c r="J140" s="480">
        <f t="shared" ref="J140" si="338">+D140/H139</f>
        <v>1.4600273829851063E-2</v>
      </c>
      <c r="K140" s="16"/>
      <c r="L140" s="16"/>
      <c r="M140" s="16"/>
      <c r="N140" s="16">
        <f t="shared" ref="N140" si="339">+H140/BV140</f>
        <v>34336.938931297707</v>
      </c>
      <c r="O140" s="41"/>
      <c r="P140" s="17">
        <f t="shared" ref="P140" si="340">SUM(D134:D140)</f>
        <v>469231</v>
      </c>
      <c r="Q140" s="16"/>
      <c r="R140" s="60">
        <f t="shared" ref="R140" si="341">+(P140-P133)/P133</f>
        <v>-2.0958696033183385E-2</v>
      </c>
      <c r="S140" s="16"/>
      <c r="T140" s="41"/>
      <c r="U140" s="10">
        <f t="shared" ref="U140:U145" si="342">+U139+1</f>
        <v>32</v>
      </c>
      <c r="V140" s="34">
        <v>1245</v>
      </c>
      <c r="W140" s="33"/>
      <c r="X140" s="33"/>
      <c r="Y140" s="33"/>
      <c r="Z140" s="33">
        <f t="shared" ref="Z140" si="343">+Z139+V140</f>
        <v>151689</v>
      </c>
      <c r="AA140" s="33"/>
      <c r="AB140" s="46">
        <f t="shared" ref="AB140" si="344">+Z140/H140</f>
        <v>3.3722612840554729E-2</v>
      </c>
      <c r="AC140" s="33"/>
      <c r="AD140" s="33">
        <f t="shared" ref="AD140" si="345">+Z140/BV140</f>
        <v>1157.9312977099237</v>
      </c>
      <c r="AE140" s="50"/>
      <c r="AF140" s="33">
        <f t="shared" ref="AF140" si="346">SUM(V134:V140)</f>
        <v>6711</v>
      </c>
      <c r="AG140" s="33">
        <f>SUM(D111:D159)</f>
        <v>2227513</v>
      </c>
      <c r="AH140" s="232" t="e">
        <f t="shared" ref="AH140" si="347">+(AF140-AF133)/AF133</f>
        <v>#DIV/0!</v>
      </c>
      <c r="AI140" s="50"/>
      <c r="AJ140" s="10"/>
      <c r="AK140" s="23">
        <f t="shared" ref="AK140" si="348">+AO140-AO139</f>
        <v>49291</v>
      </c>
      <c r="AL140" s="24"/>
      <c r="AM140" s="24"/>
      <c r="AN140" s="24">
        <v>178263</v>
      </c>
      <c r="AO140" s="24">
        <v>2185894</v>
      </c>
      <c r="AP140" s="24"/>
      <c r="AQ140" s="505">
        <f t="shared" ref="AQ140" si="349">+AK140/AO139</f>
        <v>2.3069798179633744E-2</v>
      </c>
      <c r="AR140" s="25"/>
      <c r="AS140" s="25"/>
      <c r="AT140" s="24"/>
      <c r="AU140" s="342">
        <f t="shared" ref="AU140" si="350">+AO140/H140</f>
        <v>0.48595519169149731</v>
      </c>
      <c r="AV140" s="342"/>
      <c r="AW140" s="24">
        <f t="shared" ref="AW140" si="351">+AO140/BV140</f>
        <v>16686.213740458013</v>
      </c>
      <c r="AX140" s="352"/>
      <c r="AY140" s="10"/>
      <c r="AZ140" s="66">
        <f t="shared" ref="AZ140" si="352">+BB140-BB139</f>
        <v>787180</v>
      </c>
      <c r="BA140" s="67"/>
      <c r="BB140" s="67">
        <v>55805416</v>
      </c>
      <c r="BC140" s="67"/>
      <c r="BD140" s="67">
        <f t="shared" ref="BD140" si="353">+D140</f>
        <v>64729</v>
      </c>
      <c r="BE140" s="67"/>
      <c r="BF140" s="157">
        <f t="shared" ref="BF140" si="354">+BD140/AZ140</f>
        <v>8.2228969231941867E-2</v>
      </c>
      <c r="BG140" s="67"/>
      <c r="BH140" s="184"/>
      <c r="BI140" s="67"/>
      <c r="BJ140" s="67">
        <f t="shared" ref="BJ140" si="355">SUM(AZ134:AZ140)</f>
        <v>5891863</v>
      </c>
      <c r="BK140" s="67"/>
      <c r="BL140" s="157">
        <f t="shared" ref="BL140" si="356">+P140/BJ140</f>
        <v>7.9640514383990266E-2</v>
      </c>
      <c r="BM140" s="66">
        <f t="shared" ref="BM140" si="357">+BB140/BV140</f>
        <v>425995.54198473284</v>
      </c>
      <c r="BN140" s="67"/>
      <c r="BO140" s="67">
        <f t="shared" ref="BO140" si="358">+BO139+BD140</f>
        <v>4218519</v>
      </c>
      <c r="BP140" s="67"/>
      <c r="BQ140" s="479">
        <f t="shared" ref="BQ140" si="359">+BO140/BB140</f>
        <v>7.5593361762593084E-2</v>
      </c>
      <c r="BR140" s="67"/>
      <c r="BS140" s="86"/>
      <c r="BT140" s="184"/>
      <c r="BU140" s="1"/>
      <c r="BV140" s="61">
        <f t="shared" si="53"/>
        <v>131</v>
      </c>
    </row>
    <row r="141" spans="2:74" x14ac:dyDescent="0.3">
      <c r="B141" s="172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60">+H140+D141</f>
        <v>4565060</v>
      </c>
      <c r="I141" s="16"/>
      <c r="J141" s="480">
        <f t="shared" ref="J141" si="361">+D141/H140</f>
        <v>1.4877486000321466E-2</v>
      </c>
      <c r="K141" s="16"/>
      <c r="L141" s="16"/>
      <c r="M141" s="16"/>
      <c r="N141" s="16">
        <f t="shared" ref="N141" si="362">+H141/BV141</f>
        <v>34583.78787878788</v>
      </c>
      <c r="O141" s="41"/>
      <c r="P141" s="17">
        <f t="shared" ref="P141" si="363">SUM(D135:D141)</f>
        <v>464185</v>
      </c>
      <c r="Q141" s="16"/>
      <c r="R141" s="60">
        <f t="shared" ref="R141" si="364">+(P141-P134)/P134</f>
        <v>-3.1410280486939682E-2</v>
      </c>
      <c r="S141" s="16"/>
      <c r="T141" s="41"/>
      <c r="U141" s="10">
        <f t="shared" si="342"/>
        <v>33</v>
      </c>
      <c r="V141" s="34">
        <v>1485</v>
      </c>
      <c r="W141" s="33"/>
      <c r="X141" s="33"/>
      <c r="Y141" s="33"/>
      <c r="Z141" s="33">
        <f t="shared" ref="Z141" si="365">+Z140+V141</f>
        <v>153174</v>
      </c>
      <c r="AA141" s="33"/>
      <c r="AB141" s="46">
        <f t="shared" ref="AB141" si="366">+Z141/H141</f>
        <v>3.3553556798815352E-2</v>
      </c>
      <c r="AC141" s="33"/>
      <c r="AD141" s="33">
        <f t="shared" ref="AD141" si="367">+Z141/BV141</f>
        <v>1160.409090909091</v>
      </c>
      <c r="AE141" s="50"/>
      <c r="AF141" s="33">
        <f t="shared" ref="AF141" si="368">SUM(V135:V141)</f>
        <v>6991</v>
      </c>
      <c r="AG141" s="33">
        <f>SUM(D112:D160)</f>
        <v>2182779</v>
      </c>
      <c r="AH141" s="232" t="e">
        <f t="shared" ref="AH141" si="369">+(AF141-AF134)/AF134</f>
        <v>#DIV/0!</v>
      </c>
      <c r="AI141" s="50"/>
      <c r="AJ141" s="10"/>
      <c r="AK141" s="23">
        <f t="shared" ref="AK141" si="370">+AO141-AO140</f>
        <v>59150</v>
      </c>
      <c r="AL141" s="24"/>
      <c r="AM141" s="24"/>
      <c r="AN141" s="24">
        <v>178263</v>
      </c>
      <c r="AO141" s="24">
        <v>2245044</v>
      </c>
      <c r="AP141" s="24"/>
      <c r="AQ141" s="505">
        <f t="shared" ref="AQ141" si="371">+AK141/AO140</f>
        <v>2.7059866580904656E-2</v>
      </c>
      <c r="AR141" s="25"/>
      <c r="AS141" s="25"/>
      <c r="AT141" s="24"/>
      <c r="AU141" s="342">
        <f t="shared" ref="AU141" si="372">+AO141/H141</f>
        <v>0.49178849785106876</v>
      </c>
      <c r="AV141" s="342"/>
      <c r="AW141" s="24">
        <f t="shared" ref="AW141" si="373">+AO141/BV141</f>
        <v>17007.909090909092</v>
      </c>
      <c r="AX141" s="352"/>
      <c r="AY141" s="10"/>
      <c r="AZ141" s="66">
        <f t="shared" ref="AZ141" si="374">+BB141-BB140</f>
        <v>878963</v>
      </c>
      <c r="BA141" s="67"/>
      <c r="BB141" s="67">
        <v>56684379</v>
      </c>
      <c r="BC141" s="67"/>
      <c r="BD141" s="67">
        <f t="shared" ref="BD141" si="375">+D141</f>
        <v>66921</v>
      </c>
      <c r="BE141" s="67"/>
      <c r="BF141" s="157">
        <f t="shared" ref="BF141" si="376">+BD141/AZ141</f>
        <v>7.6136310629685205E-2</v>
      </c>
      <c r="BG141" s="67"/>
      <c r="BH141" s="184"/>
      <c r="BI141" s="67"/>
      <c r="BJ141" s="67">
        <f t="shared" ref="BJ141" si="377">SUM(AZ135:AZ141)</f>
        <v>5951509</v>
      </c>
      <c r="BK141" s="67"/>
      <c r="BL141" s="157">
        <f t="shared" ref="BL141" si="378">+P141/BJ141</f>
        <v>7.7994505259086397E-2</v>
      </c>
      <c r="BM141" s="66">
        <f t="shared" ref="BM141" si="379">+BB141/BV141</f>
        <v>429427.11363636365</v>
      </c>
      <c r="BN141" s="67"/>
      <c r="BO141" s="67">
        <f t="shared" ref="BO141" si="380">+BO140+BD141</f>
        <v>4285440</v>
      </c>
      <c r="BP141" s="67"/>
      <c r="BQ141" s="479">
        <f t="shared" ref="BQ141" si="381">+BO141/BB141</f>
        <v>7.5601780871587212E-2</v>
      </c>
      <c r="BR141" s="67"/>
      <c r="BS141" s="86"/>
      <c r="BT141" s="184"/>
      <c r="BU141" s="1"/>
      <c r="BV141" s="61">
        <f t="shared" si="53"/>
        <v>132</v>
      </c>
    </row>
    <row r="142" spans="2:74" x14ac:dyDescent="0.3">
      <c r="B142" s="172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82">+H141+D142</f>
        <v>4633629</v>
      </c>
      <c r="I142" s="16"/>
      <c r="J142" s="480">
        <f t="shared" ref="J142" si="383">+D142/H141</f>
        <v>1.5020394036442019E-2</v>
      </c>
      <c r="K142" s="16"/>
      <c r="L142" s="16"/>
      <c r="M142" s="16"/>
      <c r="N142" s="16">
        <f t="shared" ref="N142" si="384">+H142/BV142</f>
        <v>34839.315789473687</v>
      </c>
      <c r="O142" s="41"/>
      <c r="P142" s="17">
        <f t="shared" ref="P142" si="385">SUM(D136:D142)</f>
        <v>463311</v>
      </c>
      <c r="Q142" s="16"/>
      <c r="R142" s="60">
        <f t="shared" ref="R142" si="386">+(P142-P135)/P135</f>
        <v>-2.5209712745611654E-2</v>
      </c>
      <c r="S142" s="16"/>
      <c r="T142" s="41"/>
      <c r="U142" s="10">
        <f t="shared" si="342"/>
        <v>34</v>
      </c>
      <c r="V142" s="34">
        <v>1465</v>
      </c>
      <c r="W142" s="33"/>
      <c r="X142" s="33"/>
      <c r="Y142" s="33"/>
      <c r="Z142" s="33">
        <f t="shared" ref="Z142" si="387">+Z141+V142</f>
        <v>154639</v>
      </c>
      <c r="AA142" s="33"/>
      <c r="AB142" s="46">
        <f t="shared" ref="AB142" si="388">+Z142/H142</f>
        <v>3.3373194099052816E-2</v>
      </c>
      <c r="AC142" s="33"/>
      <c r="AD142" s="33">
        <f t="shared" ref="AD142" si="389">+Z142/BV142</f>
        <v>1162.6992481203008</v>
      </c>
      <c r="AE142" s="50"/>
      <c r="AF142" s="33">
        <f t="shared" ref="AF142" si="390">SUM(V136:V142)</f>
        <v>7290</v>
      </c>
      <c r="AG142" s="33">
        <f>SUM(D113:D161)</f>
        <v>2136737</v>
      </c>
      <c r="AH142" s="232" t="e">
        <f t="shared" ref="AH142" si="391">+(AF142-AF135)/AF135</f>
        <v>#DIV/0!</v>
      </c>
      <c r="AI142" s="50"/>
      <c r="AJ142" s="10"/>
      <c r="AK142" s="23">
        <f t="shared" ref="AK142" si="392">+AO142-AO141</f>
        <v>39921</v>
      </c>
      <c r="AL142" s="24"/>
      <c r="AM142" s="24"/>
      <c r="AN142" s="24">
        <v>178263</v>
      </c>
      <c r="AO142" s="24">
        <v>2284965</v>
      </c>
      <c r="AP142" s="24"/>
      <c r="AQ142" s="505">
        <f t="shared" ref="AQ142" si="393">+AK142/AO141</f>
        <v>1.7781834119954886E-2</v>
      </c>
      <c r="AR142" s="25"/>
      <c r="AS142" s="25"/>
      <c r="AT142" s="24"/>
      <c r="AU142" s="342">
        <f t="shared" ref="AU142" si="394">+AO142/H142</f>
        <v>0.49312644581601162</v>
      </c>
      <c r="AV142" s="342"/>
      <c r="AW142" s="24">
        <f t="shared" ref="AW142" si="395">+AO142/BV142</f>
        <v>17180.187969924813</v>
      </c>
      <c r="AX142" s="352"/>
      <c r="AY142" s="10"/>
      <c r="AZ142" s="66">
        <f t="shared" ref="AZ142" si="396">+BB142-BB141</f>
        <v>836765</v>
      </c>
      <c r="BA142" s="67"/>
      <c r="BB142" s="67">
        <v>57521144</v>
      </c>
      <c r="BC142" s="67"/>
      <c r="BD142" s="67">
        <f t="shared" ref="BD142" si="397">+D142</f>
        <v>68569</v>
      </c>
      <c r="BE142" s="67"/>
      <c r="BF142" s="157">
        <f t="shared" ref="BF142" si="398">+BD142/AZ142</f>
        <v>8.1945349052601382E-2</v>
      </c>
      <c r="BG142" s="67"/>
      <c r="BH142" s="184"/>
      <c r="BI142" s="67"/>
      <c r="BJ142" s="67">
        <f t="shared" ref="BJ142" si="399">SUM(AZ136:AZ142)</f>
        <v>5968969</v>
      </c>
      <c r="BK142" s="67"/>
      <c r="BL142" s="157">
        <f t="shared" ref="BL142" si="400">+P142/BJ142</f>
        <v>7.7619937379470386E-2</v>
      </c>
      <c r="BM142" s="66">
        <f t="shared" ref="BM142" si="401">+BB142/BV142</f>
        <v>432489.80451127817</v>
      </c>
      <c r="BN142" s="67"/>
      <c r="BO142" s="67">
        <f t="shared" ref="BO142" si="402">+BO141+BD142</f>
        <v>4354009</v>
      </c>
      <c r="BP142" s="67"/>
      <c r="BQ142" s="479">
        <f t="shared" ref="BQ142" si="403">+BO142/BB142</f>
        <v>7.5694061300310714E-2</v>
      </c>
      <c r="BR142" s="67"/>
      <c r="BS142" s="86"/>
      <c r="BT142" s="184"/>
      <c r="BU142" s="1"/>
      <c r="BV142" s="61">
        <f t="shared" si="53"/>
        <v>133</v>
      </c>
    </row>
    <row r="143" spans="2:74" x14ac:dyDescent="0.3">
      <c r="B143" s="172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404">+H142+D143</f>
        <v>4704712</v>
      </c>
      <c r="I143" s="16"/>
      <c r="J143" s="480">
        <f t="shared" ref="J143" si="405">+D143/H142</f>
        <v>1.534067574249039E-2</v>
      </c>
      <c r="K143" s="16"/>
      <c r="L143" s="16"/>
      <c r="M143" s="16"/>
      <c r="N143" s="16">
        <f t="shared" ref="N143" si="406">+H143/BV143</f>
        <v>35109.791044776117</v>
      </c>
      <c r="O143" s="41"/>
      <c r="P143" s="17">
        <f t="shared" ref="P143" si="407">SUM(D137:D143)</f>
        <v>456416</v>
      </c>
      <c r="Q143" s="16"/>
      <c r="R143" s="60">
        <f t="shared" ref="R143" si="408">+(P143-P136)/P136</f>
        <v>-4.5721788728036061E-2</v>
      </c>
      <c r="S143" s="16"/>
      <c r="T143" s="41"/>
      <c r="U143" s="10">
        <f t="shared" si="342"/>
        <v>35</v>
      </c>
      <c r="V143" s="34">
        <v>1462</v>
      </c>
      <c r="W143" s="33"/>
      <c r="X143" s="33"/>
      <c r="Y143" s="33"/>
      <c r="Z143" s="33">
        <f t="shared" ref="Z143" si="409">+Z142+V143</f>
        <v>156101</v>
      </c>
      <c r="AA143" s="33"/>
      <c r="AB143" s="46">
        <f t="shared" ref="AB143" si="410">+Z143/H143</f>
        <v>3.3179714294945151E-2</v>
      </c>
      <c r="AC143" s="33"/>
      <c r="AD143" s="33">
        <f t="shared" ref="AD143" si="411">+Z143/BV143</f>
        <v>1164.9328358208954</v>
      </c>
      <c r="AE143" s="50"/>
      <c r="AF143" s="542"/>
      <c r="AG143" s="33">
        <f>SUM(D114:D162)</f>
        <v>2085640</v>
      </c>
      <c r="AH143" s="232" t="e">
        <f>+(AF174-AF136)/AF136</f>
        <v>#DIV/0!</v>
      </c>
      <c r="AI143" s="50"/>
      <c r="AJ143" s="10"/>
      <c r="AK143" s="23">
        <f t="shared" ref="AK143" si="412">+AO143-AO142</f>
        <v>42607</v>
      </c>
      <c r="AL143" s="24"/>
      <c r="AM143" s="24"/>
      <c r="AN143" s="24">
        <v>178263</v>
      </c>
      <c r="AO143" s="24">
        <v>2327572</v>
      </c>
      <c r="AP143" s="24"/>
      <c r="AQ143" s="505">
        <f t="shared" ref="AQ143" si="413">+AK143/AO142</f>
        <v>1.8646675113185542E-2</v>
      </c>
      <c r="AR143" s="25"/>
      <c r="AS143" s="25"/>
      <c r="AT143" s="24"/>
      <c r="AU143" s="342">
        <f t="shared" ref="AU143" si="414">+AO143/H143</f>
        <v>0.49473208987075085</v>
      </c>
      <c r="AV143" s="342"/>
      <c r="AW143" s="24">
        <f t="shared" ref="AW143" si="415">+AO143/BV143</f>
        <v>17369.940298507463</v>
      </c>
      <c r="AX143" s="352"/>
      <c r="AY143" s="10"/>
      <c r="AZ143" s="66">
        <f t="shared" ref="AZ143" si="416">+BB143-BB142</f>
        <v>972569</v>
      </c>
      <c r="BA143" s="67"/>
      <c r="BB143" s="67">
        <v>58493713</v>
      </c>
      <c r="BC143" s="67"/>
      <c r="BD143" s="67">
        <f t="shared" ref="BD143" si="417">+D143</f>
        <v>71083</v>
      </c>
      <c r="BE143" s="67"/>
      <c r="BF143" s="157">
        <f t="shared" ref="BF143" si="418">+BD143/AZ143</f>
        <v>7.3087873456793295E-2</v>
      </c>
      <c r="BG143" s="67"/>
      <c r="BH143" s="184"/>
      <c r="BI143" s="67"/>
      <c r="BJ143" s="67">
        <f t="shared" ref="BJ143" si="419">SUM(AZ137:AZ143)</f>
        <v>5973287</v>
      </c>
      <c r="BK143" s="67"/>
      <c r="BL143" s="157">
        <f t="shared" ref="BL143" si="420">+P143/BJ143</f>
        <v>7.6409521256889212E-2</v>
      </c>
      <c r="BM143" s="66">
        <f t="shared" ref="BM143" si="421">+BB143/BV143</f>
        <v>436520.24626865675</v>
      </c>
      <c r="BN143" s="67"/>
      <c r="BO143" s="67">
        <f t="shared" ref="BO143" si="422">+BO142+BD143</f>
        <v>4425092</v>
      </c>
      <c r="BP143" s="67"/>
      <c r="BQ143" s="479">
        <f t="shared" ref="BQ143" si="423">+BO143/BB143</f>
        <v>7.5650728480853996E-2</v>
      </c>
      <c r="BR143" s="67"/>
      <c r="BS143" s="86"/>
      <c r="BT143" s="184"/>
      <c r="BU143" s="1"/>
      <c r="BV143" s="61">
        <f t="shared" si="53"/>
        <v>134</v>
      </c>
    </row>
    <row r="144" spans="2:74" x14ac:dyDescent="0.3">
      <c r="B144" s="172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24">+H143+D144</f>
        <v>4763253</v>
      </c>
      <c r="I144" s="16"/>
      <c r="J144" s="480">
        <f t="shared" ref="J144" si="425">+D144/H143</f>
        <v>1.2443057088297859E-2</v>
      </c>
      <c r="K144" s="16"/>
      <c r="L144" s="16"/>
      <c r="M144" s="16"/>
      <c r="N144" s="16">
        <f t="shared" ref="N144" si="426">+H144/BV144</f>
        <v>35283.355555555558</v>
      </c>
      <c r="O144" s="41"/>
      <c r="P144" s="17">
        <f t="shared" ref="P144" si="427">SUM(D138:D144)</f>
        <v>447544</v>
      </c>
      <c r="Q144" s="16"/>
      <c r="R144" s="60">
        <f t="shared" ref="R144" si="428">+(P144-P137)/P137</f>
        <v>-7.2328465004829631E-2</v>
      </c>
      <c r="S144" s="16"/>
      <c r="T144" s="41"/>
      <c r="U144" s="10">
        <f t="shared" si="342"/>
        <v>36</v>
      </c>
      <c r="V144" s="34">
        <v>1123</v>
      </c>
      <c r="W144" s="33"/>
      <c r="X144" s="33"/>
      <c r="Y144" s="33"/>
      <c r="Z144" s="33">
        <f t="shared" ref="Z144" si="429">+Z143+V144</f>
        <v>157224</v>
      </c>
      <c r="AA144" s="33"/>
      <c r="AB144" s="46">
        <f t="shared" ref="AB144" si="430">+Z144/H144</f>
        <v>3.3007694531447314E-2</v>
      </c>
      <c r="AC144" s="33"/>
      <c r="AD144" s="33">
        <f t="shared" ref="AD144" si="431">+Z144/BV144</f>
        <v>1164.6222222222223</v>
      </c>
      <c r="AE144" s="50"/>
      <c r="AF144" s="33">
        <f t="shared" ref="AF144" si="432">SUM(V138:V144)</f>
        <v>7826</v>
      </c>
      <c r="AG144" s="33">
        <f>SUM(D115:D163)</f>
        <v>2030665</v>
      </c>
      <c r="AH144" s="232" t="e">
        <f t="shared" ref="AH144" si="433">+(AF144-AF137)/AF137</f>
        <v>#DIV/0!</v>
      </c>
      <c r="AI144" s="50"/>
      <c r="AJ144" s="10"/>
      <c r="AK144" s="23">
        <f t="shared" ref="AK144" si="434">+AO144-AO143</f>
        <v>35331</v>
      </c>
      <c r="AL144" s="24"/>
      <c r="AM144" s="24"/>
      <c r="AN144" s="24">
        <v>178263</v>
      </c>
      <c r="AO144" s="24">
        <v>2362903</v>
      </c>
      <c r="AP144" s="24"/>
      <c r="AQ144" s="505">
        <f t="shared" ref="AQ144" si="435">+AK144/AO143</f>
        <v>1.5179337094620488E-2</v>
      </c>
      <c r="AR144" s="25"/>
      <c r="AS144" s="25"/>
      <c r="AT144" s="24"/>
      <c r="AU144" s="342">
        <f t="shared" ref="AU144" si="436">+AO144/H144</f>
        <v>0.49606917793365163</v>
      </c>
      <c r="AV144" s="342"/>
      <c r="AW144" s="24">
        <f t="shared" ref="AW144" si="437">+AO144/BV144</f>
        <v>17502.985185185185</v>
      </c>
      <c r="AX144" s="352"/>
      <c r="AY144" s="10"/>
      <c r="AZ144" s="66">
        <f t="shared" ref="AZ144" si="438">+BB144-BB143</f>
        <v>733196</v>
      </c>
      <c r="BA144" s="67"/>
      <c r="BB144" s="67">
        <v>59226909</v>
      </c>
      <c r="BC144" s="67"/>
      <c r="BD144" s="67">
        <f t="shared" ref="BD144" si="439">+D144</f>
        <v>58541</v>
      </c>
      <c r="BE144" s="67"/>
      <c r="BF144" s="157">
        <f t="shared" ref="BF144" si="440">+BD144/AZ144</f>
        <v>7.984358889028309E-2</v>
      </c>
      <c r="BG144" s="67"/>
      <c r="BH144" s="184"/>
      <c r="BI144" s="67"/>
      <c r="BJ144" s="67">
        <f t="shared" ref="BJ144" si="441">SUM(AZ138:AZ144)</f>
        <v>5874659</v>
      </c>
      <c r="BK144" s="67"/>
      <c r="BL144" s="157">
        <f t="shared" ref="BL144" si="442">+P144/BJ144</f>
        <v>7.6182123932640178E-2</v>
      </c>
      <c r="BM144" s="66">
        <f t="shared" ref="BM144" si="443">+BB144/BV144</f>
        <v>438717.84444444446</v>
      </c>
      <c r="BN144" s="67"/>
      <c r="BO144" s="67">
        <f t="shared" ref="BO144" si="444">+BO143+BD144</f>
        <v>4483633</v>
      </c>
      <c r="BP144" s="67"/>
      <c r="BQ144" s="479">
        <f t="shared" ref="BQ144" si="445">+BO144/BB144</f>
        <v>7.5702633747103024E-2</v>
      </c>
      <c r="BR144" s="67"/>
      <c r="BS144" s="86"/>
      <c r="BT144" s="184"/>
      <c r="BU144" s="1"/>
      <c r="BV144" s="61">
        <f t="shared" si="53"/>
        <v>135</v>
      </c>
    </row>
    <row r="145" spans="2:84" x14ac:dyDescent="0.3">
      <c r="B145" s="391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46">+H144+D145</f>
        <v>4812291</v>
      </c>
      <c r="I145" s="16"/>
      <c r="J145" s="480">
        <f t="shared" ref="J145" si="447">+D145/H144</f>
        <v>1.0295065158201758E-2</v>
      </c>
      <c r="K145" s="16"/>
      <c r="L145" s="16"/>
      <c r="M145" s="16"/>
      <c r="N145" s="16">
        <f t="shared" ref="N145" si="448">+H145/BV145</f>
        <v>35384.492647058825</v>
      </c>
      <c r="O145" s="41"/>
      <c r="P145" s="17">
        <f t="shared" ref="P145" si="449">SUM(D139:D145)</f>
        <v>440452</v>
      </c>
      <c r="Q145" s="16"/>
      <c r="R145" s="60">
        <f t="shared" ref="R145" si="450">+(P145-P138)/P138</f>
        <v>-6.9380441970973344E-2</v>
      </c>
      <c r="S145" s="16"/>
      <c r="T145" s="41"/>
      <c r="U145" s="10">
        <f t="shared" si="342"/>
        <v>37</v>
      </c>
      <c r="V145" s="34">
        <v>467</v>
      </c>
      <c r="W145" s="33"/>
      <c r="X145" s="33"/>
      <c r="Y145" s="33"/>
      <c r="Z145" s="33">
        <f t="shared" ref="Z145" si="451">+Z144+V145</f>
        <v>157691</v>
      </c>
      <c r="AA145" s="33"/>
      <c r="AB145" s="46">
        <f t="shared" ref="AB145" si="452">+Z145/H145</f>
        <v>3.276838412307153E-2</v>
      </c>
      <c r="AC145" s="33"/>
      <c r="AD145" s="33">
        <f t="shared" ref="AD145" si="453">+Z145/BV145</f>
        <v>1159.4926470588234</v>
      </c>
      <c r="AE145" s="50"/>
      <c r="AF145" s="33">
        <f t="shared" ref="AF145" si="454">SUM(V139:V145)</f>
        <v>7843</v>
      </c>
      <c r="AG145" s="33">
        <f>SUM(D116:D164)</f>
        <v>2972574</v>
      </c>
      <c r="AH145" s="232">
        <f t="shared" ref="AH145" si="455">+(AF145-AF138)/AF138</f>
        <v>0.1919452887537994</v>
      </c>
      <c r="AI145" s="50"/>
      <c r="AJ145" s="10"/>
      <c r="AK145" s="23">
        <f t="shared" ref="AK145" si="456">+AO145-AO144</f>
        <v>17314</v>
      </c>
      <c r="AL145" s="24"/>
      <c r="AM145" s="24"/>
      <c r="AN145" s="24">
        <v>178263</v>
      </c>
      <c r="AO145" s="24">
        <v>2380217</v>
      </c>
      <c r="AP145" s="24"/>
      <c r="AQ145" s="505">
        <f t="shared" ref="AQ145" si="457">+AK145/AO144</f>
        <v>7.327427321392372E-3</v>
      </c>
      <c r="AR145" s="25"/>
      <c r="AS145" s="25"/>
      <c r="AT145" s="24"/>
      <c r="AU145" s="342">
        <f t="shared" ref="AU145" si="458">+AO145/H145</f>
        <v>0.4946120257482351</v>
      </c>
      <c r="AV145" s="342"/>
      <c r="AW145" s="24">
        <f t="shared" ref="AW145" si="459">+AO145/BV145</f>
        <v>17501.595588235294</v>
      </c>
      <c r="AX145" s="352"/>
      <c r="AY145" s="10"/>
      <c r="AZ145" s="66">
        <f t="shared" ref="AZ145" si="460">+BB145-BB144</f>
        <v>698375</v>
      </c>
      <c r="BA145" s="67"/>
      <c r="BB145" s="67">
        <v>59925284</v>
      </c>
      <c r="BC145" s="67"/>
      <c r="BD145" s="67">
        <f t="shared" ref="BD145" si="461">+D145</f>
        <v>49038</v>
      </c>
      <c r="BE145" s="67"/>
      <c r="BF145" s="157">
        <f t="shared" ref="BF145" si="462">+BD145/AZ145</f>
        <v>7.0217290137819938E-2</v>
      </c>
      <c r="BG145" s="67"/>
      <c r="BH145" s="184"/>
      <c r="BI145" s="67"/>
      <c r="BJ145" s="67">
        <f t="shared" ref="BJ145" si="463">SUM(AZ139:AZ145)</f>
        <v>5705709</v>
      </c>
      <c r="BK145" s="67"/>
      <c r="BL145" s="157">
        <f t="shared" ref="BL145" si="464">+P145/BJ145</f>
        <v>7.7194963851118237E-2</v>
      </c>
      <c r="BM145" s="66">
        <f t="shared" ref="BM145" si="465">+BB145/BV145</f>
        <v>440627.0882352941</v>
      </c>
      <c r="BN145" s="67"/>
      <c r="BO145" s="67">
        <f t="shared" ref="BO145" si="466">+BO144+BD145</f>
        <v>4532671</v>
      </c>
      <c r="BP145" s="67"/>
      <c r="BQ145" s="479">
        <f t="shared" ref="BQ145" si="467">+BO145/BB145</f>
        <v>7.5638707027237448E-2</v>
      </c>
      <c r="BR145" s="67"/>
      <c r="BS145" s="86"/>
      <c r="BT145" s="184"/>
      <c r="BU145" s="1"/>
      <c r="BV145" s="61">
        <f t="shared" si="53"/>
        <v>136</v>
      </c>
    </row>
    <row r="146" spans="2:84" x14ac:dyDescent="0.3">
      <c r="B146" s="172">
        <f t="shared" si="52"/>
        <v>44046</v>
      </c>
      <c r="C146" s="61"/>
      <c r="D146" s="17"/>
      <c r="E146" s="16"/>
      <c r="F146" s="16"/>
      <c r="G146" s="16"/>
      <c r="H146" s="16"/>
      <c r="I146" s="16"/>
      <c r="J146" s="480"/>
      <c r="K146" s="16"/>
      <c r="L146" s="16"/>
      <c r="M146" s="16"/>
      <c r="N146" s="16"/>
      <c r="O146" s="41"/>
      <c r="P146" s="17"/>
      <c r="Q146" s="16"/>
      <c r="R146" s="60"/>
      <c r="S146" s="16"/>
      <c r="T146" s="41"/>
      <c r="U146" s="10"/>
      <c r="V146" s="34"/>
      <c r="W146" s="33"/>
      <c r="X146" s="33"/>
      <c r="Y146" s="33"/>
      <c r="Z146" s="33"/>
      <c r="AA146" s="33"/>
      <c r="AB146" s="46"/>
      <c r="AC146" s="33"/>
      <c r="AD146" s="33"/>
      <c r="AE146" s="50"/>
      <c r="AF146" s="33"/>
      <c r="AG146" s="33"/>
      <c r="AH146" s="232"/>
      <c r="AI146" s="50"/>
      <c r="AJ146" s="10"/>
      <c r="AK146" s="23"/>
      <c r="AL146" s="24"/>
      <c r="AM146" s="24"/>
      <c r="AN146" s="24"/>
      <c r="AO146" s="24"/>
      <c r="AP146" s="24"/>
      <c r="AQ146" s="505"/>
      <c r="AR146" s="25"/>
      <c r="AS146" s="25"/>
      <c r="AT146" s="24"/>
      <c r="AU146" s="342"/>
      <c r="AV146" s="342"/>
      <c r="AW146" s="24"/>
      <c r="AX146" s="352"/>
      <c r="AY146" s="10"/>
      <c r="AZ146" s="66"/>
      <c r="BA146" s="67"/>
      <c r="BB146" s="67"/>
      <c r="BC146" s="67"/>
      <c r="BD146" s="67"/>
      <c r="BE146" s="67"/>
      <c r="BF146" s="157"/>
      <c r="BG146" s="67"/>
      <c r="BH146" s="184"/>
      <c r="BI146" s="67"/>
      <c r="BJ146" s="67"/>
      <c r="BK146" s="67"/>
      <c r="BL146" s="157"/>
      <c r="BM146" s="66"/>
      <c r="BN146" s="67"/>
      <c r="BO146" s="67"/>
      <c r="BP146" s="67"/>
      <c r="BQ146" s="479"/>
      <c r="BR146" s="67"/>
      <c r="BS146" s="86"/>
      <c r="BT146" s="184"/>
      <c r="BU146" s="1"/>
      <c r="BV146" s="61">
        <f t="shared" si="53"/>
        <v>137</v>
      </c>
    </row>
    <row r="147" spans="2:84" x14ac:dyDescent="0.3">
      <c r="B147" s="172">
        <f t="shared" si="52"/>
        <v>44047</v>
      </c>
      <c r="C147" s="61"/>
      <c r="D147" s="17"/>
      <c r="E147" s="16"/>
      <c r="F147" s="16"/>
      <c r="G147" s="16"/>
      <c r="H147" s="16"/>
      <c r="I147" s="16"/>
      <c r="J147" s="480"/>
      <c r="K147" s="16"/>
      <c r="L147" s="16"/>
      <c r="M147" s="16"/>
      <c r="N147" s="16"/>
      <c r="O147" s="41"/>
      <c r="P147" s="17"/>
      <c r="Q147" s="16"/>
      <c r="R147" s="60"/>
      <c r="S147" s="16"/>
      <c r="T147" s="41"/>
      <c r="U147" s="10"/>
      <c r="V147" s="34"/>
      <c r="W147" s="33"/>
      <c r="X147" s="33"/>
      <c r="Y147" s="33"/>
      <c r="Z147" s="33"/>
      <c r="AA147" s="33"/>
      <c r="AB147" s="46"/>
      <c r="AC147" s="33"/>
      <c r="AD147" s="33"/>
      <c r="AE147" s="50"/>
      <c r="AF147" s="33"/>
      <c r="AG147" s="33"/>
      <c r="AH147" s="232"/>
      <c r="AI147" s="50"/>
      <c r="AJ147" s="10"/>
      <c r="AK147" s="23"/>
      <c r="AL147" s="24"/>
      <c r="AM147" s="24"/>
      <c r="AN147" s="24"/>
      <c r="AO147" s="24"/>
      <c r="AP147" s="24"/>
      <c r="AQ147" s="505"/>
      <c r="AR147" s="25"/>
      <c r="AS147" s="25"/>
      <c r="AT147" s="24"/>
      <c r="AU147" s="342"/>
      <c r="AV147" s="342"/>
      <c r="AW147" s="24"/>
      <c r="AX147" s="352"/>
      <c r="AY147" s="10"/>
      <c r="AZ147" s="66"/>
      <c r="BA147" s="67"/>
      <c r="BB147" s="67"/>
      <c r="BC147" s="67"/>
      <c r="BD147" s="67"/>
      <c r="BE147" s="67"/>
      <c r="BF147" s="157"/>
      <c r="BG147" s="67"/>
      <c r="BH147" s="184"/>
      <c r="BI147" s="67"/>
      <c r="BJ147" s="67"/>
      <c r="BK147" s="67"/>
      <c r="BL147" s="157"/>
      <c r="BM147" s="66"/>
      <c r="BN147" s="67"/>
      <c r="BO147" s="67"/>
      <c r="BP147" s="67"/>
      <c r="BQ147" s="479"/>
      <c r="BR147" s="67"/>
      <c r="BS147" s="86"/>
      <c r="BT147" s="184"/>
      <c r="BU147" s="1"/>
      <c r="BV147" s="61">
        <f t="shared" si="53"/>
        <v>138</v>
      </c>
    </row>
    <row r="148" spans="2:84" x14ac:dyDescent="0.3">
      <c r="B148" s="172">
        <f t="shared" si="52"/>
        <v>44048</v>
      </c>
      <c r="C148" s="61"/>
      <c r="D148" s="17"/>
      <c r="E148" s="16"/>
      <c r="F148" s="16"/>
      <c r="G148" s="16"/>
      <c r="H148" s="543"/>
      <c r="I148" s="16"/>
      <c r="J148" s="38"/>
      <c r="K148" s="16"/>
      <c r="L148" s="16"/>
      <c r="M148" s="16"/>
      <c r="N148" s="16"/>
      <c r="O148" s="41"/>
      <c r="P148" s="454"/>
      <c r="Q148" s="16"/>
      <c r="R148" s="60"/>
      <c r="S148" s="16"/>
      <c r="T148" s="41"/>
      <c r="U148" s="10"/>
      <c r="V148" s="34"/>
      <c r="W148" s="33"/>
      <c r="X148" s="33"/>
      <c r="Y148" s="33"/>
      <c r="Z148" s="542"/>
      <c r="AA148" s="33"/>
      <c r="AB148" s="46"/>
      <c r="AC148" s="33"/>
      <c r="AD148" s="33"/>
      <c r="AE148" s="50"/>
      <c r="AF148" s="542"/>
      <c r="AG148" s="33"/>
      <c r="AH148" s="232"/>
      <c r="AI148" s="50"/>
      <c r="AJ148" s="10"/>
      <c r="AK148" s="23"/>
      <c r="AL148" s="24"/>
      <c r="AM148" s="24"/>
      <c r="AN148" s="24"/>
      <c r="AO148" s="24"/>
      <c r="AP148" s="24"/>
      <c r="AQ148" s="25"/>
      <c r="AR148" s="25"/>
      <c r="AS148" s="25"/>
      <c r="AT148" s="24"/>
      <c r="AU148" s="342"/>
      <c r="AV148" s="342"/>
      <c r="AW148" s="24"/>
      <c r="AX148" s="352"/>
      <c r="AY148" s="10"/>
      <c r="AZ148" s="66"/>
      <c r="BA148" s="67"/>
      <c r="BB148" s="67"/>
      <c r="BC148" s="67"/>
      <c r="BD148" s="67"/>
      <c r="BE148" s="67"/>
      <c r="BF148" s="157"/>
      <c r="BG148" s="67"/>
      <c r="BH148" s="184"/>
      <c r="BI148" s="67"/>
      <c r="BJ148" s="67"/>
      <c r="BK148" s="67"/>
      <c r="BL148" s="157"/>
      <c r="BM148" s="66"/>
      <c r="BN148" s="67"/>
      <c r="BO148" s="67"/>
      <c r="BP148" s="67"/>
      <c r="BQ148" s="479"/>
      <c r="BR148" s="67"/>
      <c r="BS148" s="86"/>
      <c r="BT148" s="184"/>
      <c r="BU148" s="1"/>
      <c r="BV148" s="61">
        <f t="shared" si="53"/>
        <v>139</v>
      </c>
    </row>
    <row r="149" spans="2:84" x14ac:dyDescent="0.3">
      <c r="B149" s="172">
        <f t="shared" si="52"/>
        <v>44049</v>
      </c>
      <c r="D149" s="18"/>
      <c r="E149" s="19"/>
      <c r="F149" s="19"/>
      <c r="G149" s="19"/>
      <c r="H149" s="19"/>
      <c r="I149" s="19"/>
      <c r="J149" s="39"/>
      <c r="K149" s="19"/>
      <c r="L149" s="19"/>
      <c r="M149" s="19"/>
      <c r="N149" s="19"/>
      <c r="O149" s="43"/>
      <c r="P149" s="18"/>
      <c r="Q149" s="19"/>
      <c r="R149" s="19"/>
      <c r="S149" s="19"/>
      <c r="T149" s="43"/>
      <c r="U149" s="1"/>
      <c r="V149" s="35"/>
      <c r="W149" s="36"/>
      <c r="X149" s="36"/>
      <c r="Y149" s="36"/>
      <c r="Z149" s="36"/>
      <c r="AA149" s="36"/>
      <c r="AB149" s="47"/>
      <c r="AC149" s="36"/>
      <c r="AD149" s="36"/>
      <c r="AE149" s="51"/>
      <c r="AF149" s="36"/>
      <c r="AG149" s="36"/>
      <c r="AH149" s="36"/>
      <c r="AI149" s="51"/>
      <c r="AJ149" s="1"/>
      <c r="AK149" s="26"/>
      <c r="AL149" s="27"/>
      <c r="AM149" s="27"/>
      <c r="AN149" s="27"/>
      <c r="AO149" s="27"/>
      <c r="AP149" s="27"/>
      <c r="AQ149" s="27"/>
      <c r="AR149" s="27"/>
      <c r="AS149" s="27"/>
      <c r="AT149" s="27"/>
      <c r="AU149" s="344"/>
      <c r="AV149" s="344"/>
      <c r="AW149" s="27"/>
      <c r="AX149" s="351"/>
      <c r="AY149" s="1"/>
      <c r="AZ149" s="68"/>
      <c r="BA149" s="69"/>
      <c r="BB149" s="69"/>
      <c r="BC149" s="69"/>
      <c r="BD149" s="69"/>
      <c r="BE149" s="69"/>
      <c r="BF149" s="69"/>
      <c r="BG149" s="69"/>
      <c r="BH149" s="185"/>
      <c r="BI149" s="69"/>
      <c r="BJ149" s="69"/>
      <c r="BK149" s="69"/>
      <c r="BL149" s="69"/>
      <c r="BM149" s="68"/>
      <c r="BN149" s="69"/>
      <c r="BO149" s="69"/>
      <c r="BP149" s="69"/>
      <c r="BQ149" s="71"/>
      <c r="BR149" s="69"/>
      <c r="BS149" s="69"/>
      <c r="BT149" s="185"/>
      <c r="BU149" s="1"/>
      <c r="BV149" s="61">
        <f t="shared" si="53"/>
        <v>140</v>
      </c>
    </row>
    <row r="150" spans="2:84" x14ac:dyDescent="0.3">
      <c r="B150" s="56"/>
      <c r="D150" s="1"/>
      <c r="E150" s="1"/>
      <c r="F150" s="1"/>
      <c r="G150" s="1"/>
      <c r="H150" s="59"/>
      <c r="I150" s="1"/>
      <c r="J150" s="5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59"/>
      <c r="W150" s="1"/>
      <c r="X150" s="1"/>
      <c r="Y150" s="1"/>
      <c r="Z150" s="1"/>
      <c r="AA150" s="1"/>
      <c r="AB150" s="59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59"/>
      <c r="BC150" s="1"/>
      <c r="BD150" s="59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84" x14ac:dyDescent="0.3">
      <c r="B151" s="180" t="s">
        <v>82</v>
      </c>
      <c r="D151" s="56">
        <f>+D145</f>
        <v>49038</v>
      </c>
      <c r="E151" s="56">
        <f t="shared" ref="E151:G151" si="468">+E137</f>
        <v>0</v>
      </c>
      <c r="F151" s="56">
        <f t="shared" si="468"/>
        <v>0</v>
      </c>
      <c r="G151" s="56">
        <f t="shared" si="468"/>
        <v>0</v>
      </c>
      <c r="H151" s="56">
        <f t="shared" ref="H151:BO151" si="469">+H145</f>
        <v>4812291</v>
      </c>
      <c r="I151" s="56">
        <f t="shared" si="469"/>
        <v>0</v>
      </c>
      <c r="J151" s="56">
        <f t="shared" si="469"/>
        <v>1.0295065158201758E-2</v>
      </c>
      <c r="K151" s="56">
        <f t="shared" si="469"/>
        <v>0</v>
      </c>
      <c r="L151" s="56">
        <f t="shared" si="469"/>
        <v>0</v>
      </c>
      <c r="M151" s="56">
        <f t="shared" si="469"/>
        <v>0</v>
      </c>
      <c r="N151" s="56">
        <f t="shared" si="469"/>
        <v>35384.492647058825</v>
      </c>
      <c r="O151" s="56">
        <f t="shared" si="469"/>
        <v>0</v>
      </c>
      <c r="P151" s="56">
        <f t="shared" si="469"/>
        <v>440452</v>
      </c>
      <c r="Q151" s="56">
        <f t="shared" si="469"/>
        <v>0</v>
      </c>
      <c r="R151" s="56">
        <f t="shared" si="469"/>
        <v>-6.9380441970973344E-2</v>
      </c>
      <c r="S151" s="56">
        <f t="shared" si="469"/>
        <v>0</v>
      </c>
      <c r="T151" s="56">
        <f t="shared" si="469"/>
        <v>0</v>
      </c>
      <c r="U151" s="56">
        <f t="shared" si="469"/>
        <v>37</v>
      </c>
      <c r="V151" s="56">
        <f t="shared" si="469"/>
        <v>467</v>
      </c>
      <c r="W151" s="56">
        <f t="shared" si="469"/>
        <v>0</v>
      </c>
      <c r="X151" s="56">
        <f t="shared" si="469"/>
        <v>0</v>
      </c>
      <c r="Y151" s="56">
        <f t="shared" si="469"/>
        <v>0</v>
      </c>
      <c r="Z151" s="56">
        <f t="shared" si="469"/>
        <v>157691</v>
      </c>
      <c r="AA151" s="56">
        <f t="shared" si="469"/>
        <v>0</v>
      </c>
      <c r="AB151" s="56">
        <f t="shared" si="469"/>
        <v>3.276838412307153E-2</v>
      </c>
      <c r="AC151" s="56">
        <f t="shared" si="469"/>
        <v>0</v>
      </c>
      <c r="AD151" s="56">
        <f t="shared" si="469"/>
        <v>1159.4926470588234</v>
      </c>
      <c r="AE151" s="56">
        <f t="shared" si="469"/>
        <v>0</v>
      </c>
      <c r="AF151" s="56">
        <f t="shared" si="469"/>
        <v>7843</v>
      </c>
      <c r="AG151" s="56">
        <f t="shared" si="469"/>
        <v>2972574</v>
      </c>
      <c r="AH151" s="56">
        <f t="shared" si="469"/>
        <v>0.1919452887537994</v>
      </c>
      <c r="AI151" s="56">
        <f t="shared" si="469"/>
        <v>0</v>
      </c>
      <c r="AJ151" s="56">
        <f t="shared" si="469"/>
        <v>0</v>
      </c>
      <c r="AK151" s="56">
        <f t="shared" si="469"/>
        <v>17314</v>
      </c>
      <c r="AL151" s="56">
        <f t="shared" si="469"/>
        <v>0</v>
      </c>
      <c r="AM151" s="56">
        <f t="shared" si="469"/>
        <v>0</v>
      </c>
      <c r="AN151" s="56">
        <f t="shared" si="469"/>
        <v>178263</v>
      </c>
      <c r="AO151" s="56">
        <f t="shared" si="469"/>
        <v>2380217</v>
      </c>
      <c r="AP151" s="56">
        <f t="shared" si="469"/>
        <v>0</v>
      </c>
      <c r="AQ151" s="56">
        <f t="shared" si="469"/>
        <v>7.327427321392372E-3</v>
      </c>
      <c r="AR151" s="56">
        <f t="shared" si="469"/>
        <v>0</v>
      </c>
      <c r="AS151" s="56">
        <f t="shared" si="469"/>
        <v>0</v>
      </c>
      <c r="AT151" s="56">
        <f t="shared" si="469"/>
        <v>0</v>
      </c>
      <c r="AU151" s="56">
        <f t="shared" si="469"/>
        <v>0.4946120257482351</v>
      </c>
      <c r="AV151" s="56">
        <f t="shared" si="469"/>
        <v>0</v>
      </c>
      <c r="AW151" s="56">
        <f t="shared" si="469"/>
        <v>17501.595588235294</v>
      </c>
      <c r="AX151" s="56">
        <f t="shared" si="469"/>
        <v>0</v>
      </c>
      <c r="AY151" s="56">
        <f t="shared" si="469"/>
        <v>0</v>
      </c>
      <c r="AZ151" s="56">
        <f t="shared" si="469"/>
        <v>698375</v>
      </c>
      <c r="BA151" s="56">
        <f t="shared" si="469"/>
        <v>0</v>
      </c>
      <c r="BB151" s="56">
        <f t="shared" si="469"/>
        <v>59925284</v>
      </c>
      <c r="BC151" s="56">
        <f t="shared" si="469"/>
        <v>0</v>
      </c>
      <c r="BD151" s="56">
        <f t="shared" si="469"/>
        <v>49038</v>
      </c>
      <c r="BE151" s="56">
        <f t="shared" si="469"/>
        <v>0</v>
      </c>
      <c r="BF151" s="56">
        <f t="shared" si="469"/>
        <v>7.0217290137819938E-2</v>
      </c>
      <c r="BG151" s="56">
        <f t="shared" si="469"/>
        <v>0</v>
      </c>
      <c r="BH151" s="56">
        <f t="shared" si="469"/>
        <v>0</v>
      </c>
      <c r="BI151" s="56">
        <f t="shared" si="469"/>
        <v>0</v>
      </c>
      <c r="BJ151" s="56">
        <f t="shared" si="469"/>
        <v>5705709</v>
      </c>
      <c r="BK151" s="56">
        <f t="shared" si="469"/>
        <v>0</v>
      </c>
      <c r="BL151" s="56">
        <f t="shared" si="469"/>
        <v>7.7194963851118237E-2</v>
      </c>
      <c r="BM151" s="56">
        <f t="shared" si="469"/>
        <v>440627.0882352941</v>
      </c>
      <c r="BN151" s="56">
        <f t="shared" si="469"/>
        <v>0</v>
      </c>
      <c r="BO151" s="56">
        <f t="shared" si="469"/>
        <v>4532671</v>
      </c>
      <c r="BP151" s="10"/>
      <c r="BQ151" s="62"/>
      <c r="BR151" s="10"/>
      <c r="BS151" s="10"/>
      <c r="BT151" s="10"/>
      <c r="BU151" s="10"/>
      <c r="BV151" s="161"/>
      <c r="BW151" s="10"/>
      <c r="BX151" s="62"/>
      <c r="BY151" s="10"/>
      <c r="BZ151" s="161"/>
      <c r="CA151" s="61"/>
      <c r="CB151" s="61"/>
      <c r="CC151" s="61"/>
      <c r="CD151" s="61"/>
      <c r="CE151" s="61"/>
      <c r="CF151" s="158"/>
    </row>
    <row r="152" spans="2:84" x14ac:dyDescent="0.3">
      <c r="B152" t="s">
        <v>118</v>
      </c>
      <c r="D152" s="56">
        <f>+D144-D151</f>
        <v>9503</v>
      </c>
      <c r="E152" s="56">
        <f>+E137-E151</f>
        <v>0</v>
      </c>
      <c r="F152" s="56">
        <f>+F137-F151</f>
        <v>0</v>
      </c>
      <c r="G152" s="56">
        <f>+G137-G151</f>
        <v>0</v>
      </c>
      <c r="H152" s="56">
        <f t="shared" ref="H152:BO152" si="470">+H144-H151</f>
        <v>-49038</v>
      </c>
      <c r="I152" s="56">
        <f t="shared" si="470"/>
        <v>0</v>
      </c>
      <c r="J152" s="56">
        <f t="shared" si="470"/>
        <v>2.147991930096101E-3</v>
      </c>
      <c r="K152" s="56">
        <f t="shared" si="470"/>
        <v>0</v>
      </c>
      <c r="L152" s="56">
        <f t="shared" si="470"/>
        <v>0</v>
      </c>
      <c r="M152" s="56">
        <f t="shared" si="470"/>
        <v>0</v>
      </c>
      <c r="N152" s="56">
        <f t="shared" si="470"/>
        <v>-101.13709150326758</v>
      </c>
      <c r="O152" s="56">
        <f t="shared" si="470"/>
        <v>0</v>
      </c>
      <c r="P152" s="56">
        <f t="shared" si="470"/>
        <v>7092</v>
      </c>
      <c r="Q152" s="56">
        <f t="shared" si="470"/>
        <v>0</v>
      </c>
      <c r="R152" s="56">
        <f t="shared" si="470"/>
        <v>-2.9480230338562868E-3</v>
      </c>
      <c r="S152" s="56">
        <f t="shared" si="470"/>
        <v>0</v>
      </c>
      <c r="T152" s="56">
        <f t="shared" si="470"/>
        <v>0</v>
      </c>
      <c r="U152" s="56">
        <f t="shared" si="470"/>
        <v>-1</v>
      </c>
      <c r="V152" s="56">
        <f t="shared" si="470"/>
        <v>656</v>
      </c>
      <c r="W152" s="56">
        <f t="shared" si="470"/>
        <v>0</v>
      </c>
      <c r="X152" s="56">
        <f t="shared" si="470"/>
        <v>0</v>
      </c>
      <c r="Y152" s="56">
        <f t="shared" si="470"/>
        <v>0</v>
      </c>
      <c r="Z152" s="56">
        <f t="shared" si="470"/>
        <v>-467</v>
      </c>
      <c r="AA152" s="56">
        <f t="shared" si="470"/>
        <v>0</v>
      </c>
      <c r="AB152" s="56">
        <f t="shared" si="470"/>
        <v>2.393104083757841E-4</v>
      </c>
      <c r="AC152" s="56">
        <f t="shared" si="470"/>
        <v>0</v>
      </c>
      <c r="AD152" s="56">
        <f t="shared" si="470"/>
        <v>5.1295751633988402</v>
      </c>
      <c r="AE152" s="56">
        <f t="shared" si="470"/>
        <v>0</v>
      </c>
      <c r="AF152" s="56">
        <f t="shared" si="470"/>
        <v>-17</v>
      </c>
      <c r="AG152" s="56">
        <f t="shared" si="470"/>
        <v>-941909</v>
      </c>
      <c r="AH152" s="56" t="e">
        <f t="shared" si="470"/>
        <v>#DIV/0!</v>
      </c>
      <c r="AI152" s="56">
        <f t="shared" si="470"/>
        <v>0</v>
      </c>
      <c r="AJ152" s="56">
        <f t="shared" si="470"/>
        <v>0</v>
      </c>
      <c r="AK152" s="56">
        <f t="shared" si="470"/>
        <v>18017</v>
      </c>
      <c r="AL152" s="56">
        <f t="shared" si="470"/>
        <v>0</v>
      </c>
      <c r="AM152" s="56">
        <f t="shared" si="470"/>
        <v>0</v>
      </c>
      <c r="AN152" s="56">
        <f t="shared" si="470"/>
        <v>0</v>
      </c>
      <c r="AO152" s="56">
        <f t="shared" si="470"/>
        <v>-17314</v>
      </c>
      <c r="AP152" s="56">
        <f t="shared" si="470"/>
        <v>0</v>
      </c>
      <c r="AQ152" s="56">
        <f t="shared" si="470"/>
        <v>7.8519097732281159E-3</v>
      </c>
      <c r="AR152" s="56">
        <f t="shared" si="470"/>
        <v>0</v>
      </c>
      <c r="AS152" s="56">
        <f t="shared" si="470"/>
        <v>0</v>
      </c>
      <c r="AT152" s="56">
        <f t="shared" si="470"/>
        <v>0</v>
      </c>
      <c r="AU152" s="56">
        <f t="shared" si="470"/>
        <v>1.4571521854165326E-3</v>
      </c>
      <c r="AV152" s="56">
        <f t="shared" si="470"/>
        <v>0</v>
      </c>
      <c r="AW152" s="56">
        <f t="shared" si="470"/>
        <v>1.3895969498917111</v>
      </c>
      <c r="AX152" s="56">
        <f t="shared" si="470"/>
        <v>0</v>
      </c>
      <c r="AY152" s="56">
        <f t="shared" si="470"/>
        <v>0</v>
      </c>
      <c r="AZ152" s="56">
        <f t="shared" si="470"/>
        <v>34821</v>
      </c>
      <c r="BA152" s="56">
        <f t="shared" si="470"/>
        <v>0</v>
      </c>
      <c r="BB152" s="56">
        <f t="shared" si="470"/>
        <v>-698375</v>
      </c>
      <c r="BC152" s="56">
        <f t="shared" si="470"/>
        <v>0</v>
      </c>
      <c r="BD152" s="56">
        <f t="shared" si="470"/>
        <v>9503</v>
      </c>
      <c r="BE152" s="56">
        <f t="shared" si="470"/>
        <v>0</v>
      </c>
      <c r="BF152" s="56">
        <f t="shared" si="470"/>
        <v>9.6262987524631527E-3</v>
      </c>
      <c r="BG152" s="56">
        <f t="shared" si="470"/>
        <v>0</v>
      </c>
      <c r="BH152" s="56">
        <f t="shared" si="470"/>
        <v>0</v>
      </c>
      <c r="BI152" s="56">
        <f t="shared" si="470"/>
        <v>0</v>
      </c>
      <c r="BJ152" s="56">
        <f t="shared" si="470"/>
        <v>168950</v>
      </c>
      <c r="BK152" s="56">
        <f t="shared" si="470"/>
        <v>0</v>
      </c>
      <c r="BL152" s="56">
        <f t="shared" si="470"/>
        <v>-1.012839918478059E-3</v>
      </c>
      <c r="BM152" s="56">
        <f t="shared" si="470"/>
        <v>-1909.2437908496358</v>
      </c>
      <c r="BN152" s="56">
        <f t="shared" si="470"/>
        <v>0</v>
      </c>
      <c r="BO152" s="56">
        <f t="shared" si="470"/>
        <v>-49038</v>
      </c>
      <c r="BP152" s="10"/>
      <c r="BQ152" s="10"/>
      <c r="BR152" s="10"/>
      <c r="BS152" s="10"/>
      <c r="BT152" s="10"/>
      <c r="BU152" s="10"/>
      <c r="BV152" s="62"/>
      <c r="BW152" s="10"/>
      <c r="BX152" s="10"/>
      <c r="BY152" s="10"/>
      <c r="BZ152" s="62"/>
      <c r="CA152" s="61"/>
      <c r="CB152" s="61"/>
      <c r="CC152" s="61"/>
      <c r="CD152" s="61"/>
      <c r="CE152" s="61"/>
      <c r="CF152" s="117"/>
    </row>
    <row r="153" spans="2:84" x14ac:dyDescent="0.3">
      <c r="N153" s="59"/>
      <c r="Z153" s="56"/>
      <c r="AB153" s="59"/>
      <c r="AD153" s="274"/>
      <c r="AZ153" s="59"/>
      <c r="BF153" s="59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61"/>
      <c r="CB153" s="117"/>
      <c r="CC153" s="117"/>
      <c r="CD153" s="117"/>
      <c r="CE153" s="117"/>
    </row>
    <row r="154" spans="2:84" x14ac:dyDescent="0.3">
      <c r="D154" s="56"/>
      <c r="H154" s="1"/>
      <c r="J154" t="s">
        <v>157</v>
      </c>
      <c r="N154" s="59"/>
      <c r="V154" s="56"/>
      <c r="Z154" s="55"/>
      <c r="AZ154" s="59"/>
      <c r="BB154" s="56"/>
      <c r="BD154" s="59"/>
      <c r="BI154" s="61"/>
      <c r="BJ154" s="62">
        <f>+BJ152/BJ82</f>
        <v>5.7803942848169108E-2</v>
      </c>
      <c r="BK154" s="61"/>
      <c r="BL154" s="61"/>
      <c r="BM154" s="61"/>
      <c r="BN154" s="61"/>
      <c r="BO154" s="61"/>
      <c r="BP154" s="61"/>
      <c r="BQ154" s="61"/>
      <c r="BR154" s="10"/>
      <c r="BS154" s="10"/>
    </row>
    <row r="155" spans="2:84" x14ac:dyDescent="0.3">
      <c r="H155" s="56"/>
      <c r="V155" s="56"/>
      <c r="Z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BG155" s="108"/>
      <c r="BH155" s="108"/>
      <c r="BI155" s="108"/>
      <c r="BJ155" s="538">
        <f>+BJ54</f>
        <v>1726276</v>
      </c>
      <c r="BK155" s="108"/>
      <c r="BL155" s="108"/>
      <c r="BM155" s="108"/>
      <c r="BN155" s="108"/>
      <c r="BO155" s="108"/>
      <c r="BP155" s="108"/>
      <c r="BQ155" s="90"/>
      <c r="BR155" s="1"/>
      <c r="BS155" s="1"/>
    </row>
    <row r="156" spans="2:84" x14ac:dyDescent="0.3">
      <c r="D156" s="1"/>
      <c r="E156" s="123" t="s">
        <v>28</v>
      </c>
      <c r="F156" s="124"/>
      <c r="H156" s="124" t="s">
        <v>67</v>
      </c>
      <c r="I156" s="116"/>
      <c r="J156" s="116"/>
      <c r="K156" s="61"/>
      <c r="L156" s="10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BG156" s="108"/>
      <c r="BH156" s="108"/>
      <c r="BI156" s="108"/>
      <c r="BJ156" s="539"/>
      <c r="BK156" s="108"/>
      <c r="BL156" s="108"/>
      <c r="BM156" s="108"/>
      <c r="BN156" s="108"/>
      <c r="BO156" s="108"/>
      <c r="BP156" s="108"/>
      <c r="BQ156" s="90"/>
      <c r="BR156" s="1"/>
      <c r="BS156" s="1"/>
    </row>
    <row r="157" spans="2:84" x14ac:dyDescent="0.3">
      <c r="D157" s="1"/>
      <c r="E157" s="123" t="s">
        <v>40</v>
      </c>
      <c r="F157" s="124"/>
      <c r="H157" s="124" t="s">
        <v>42</v>
      </c>
      <c r="I157" s="10"/>
      <c r="J157" s="10"/>
      <c r="K157" s="61"/>
      <c r="L157" s="10"/>
      <c r="AC157" s="1"/>
      <c r="AD157" s="1"/>
      <c r="AE157" s="1"/>
      <c r="AF157" s="1"/>
      <c r="AG157" s="1"/>
      <c r="AH157" s="1"/>
      <c r="AI157" s="1"/>
      <c r="AJ157" s="1"/>
      <c r="AK157" s="1" t="s">
        <v>17</v>
      </c>
      <c r="AL157" s="1"/>
      <c r="AM157" s="1"/>
      <c r="AN157" s="1"/>
      <c r="BG157" s="109"/>
      <c r="BH157" s="109"/>
      <c r="BI157" s="109"/>
      <c r="BJ157" s="538">
        <f>+BJ151-BJ155</f>
        <v>3979433</v>
      </c>
      <c r="BK157" s="109"/>
      <c r="BL157" s="109"/>
      <c r="BM157" s="109"/>
      <c r="BN157" s="109"/>
      <c r="BO157" s="109"/>
      <c r="BP157" s="109"/>
      <c r="BQ157" s="90"/>
      <c r="BR157" s="1"/>
      <c r="BS157" s="1"/>
    </row>
    <row r="158" spans="2:84" x14ac:dyDescent="0.3">
      <c r="D158" s="1"/>
      <c r="E158" s="123" t="s">
        <v>47</v>
      </c>
      <c r="F158" s="124"/>
      <c r="H158" s="124" t="s">
        <v>57</v>
      </c>
      <c r="I158" s="10"/>
      <c r="J158" s="10"/>
      <c r="K158" s="61"/>
      <c r="L158" s="10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BG158" s="109"/>
      <c r="BH158" s="109"/>
      <c r="BI158" s="109"/>
      <c r="BJ158" s="538"/>
      <c r="BK158" s="109"/>
      <c r="BL158" s="109"/>
      <c r="BM158" s="109"/>
      <c r="BN158" s="109"/>
      <c r="BO158" s="109"/>
      <c r="BP158" s="109"/>
      <c r="BQ158" s="90"/>
      <c r="BR158" s="1"/>
      <c r="BS158" s="1"/>
    </row>
    <row r="159" spans="2:84" x14ac:dyDescent="0.3">
      <c r="D159" s="1"/>
      <c r="E159" s="123" t="s">
        <v>68</v>
      </c>
      <c r="F159" s="61"/>
      <c r="H159" s="93" t="s">
        <v>149</v>
      </c>
      <c r="I159" s="61"/>
      <c r="J159" s="61"/>
      <c r="K159" s="61"/>
      <c r="L159" s="6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BG159" s="109"/>
      <c r="BH159" s="109"/>
      <c r="BI159" s="109"/>
      <c r="BJ159" s="541">
        <f>+BJ157/BJ155</f>
        <v>2.3052124920928057</v>
      </c>
      <c r="BK159" s="109"/>
      <c r="BL159" s="109"/>
      <c r="BM159" s="109"/>
      <c r="BN159" s="109"/>
      <c r="BO159" s="109"/>
      <c r="BP159" s="109"/>
      <c r="BQ159" s="90"/>
      <c r="BR159" s="1"/>
      <c r="BS159" s="1"/>
    </row>
    <row r="160" spans="2:84" x14ac:dyDescent="0.3">
      <c r="E160" s="123" t="s">
        <v>150</v>
      </c>
      <c r="H160" s="93" t="s">
        <v>151</v>
      </c>
      <c r="AC160" s="1"/>
      <c r="AD160" s="1"/>
      <c r="AE160" s="1"/>
      <c r="AF160" s="1"/>
      <c r="AG160" s="1"/>
      <c r="AH160" s="1"/>
      <c r="BC160" s="90"/>
      <c r="BD160" s="90"/>
      <c r="BE160" s="90"/>
      <c r="BF160" s="90"/>
      <c r="BG160" s="90"/>
      <c r="BH160" s="90"/>
      <c r="BI160" s="90"/>
      <c r="BJ160" s="539">
        <f>+BL54</f>
        <v>0.11641359782560842</v>
      </c>
      <c r="BK160" s="90"/>
      <c r="BL160" s="90"/>
      <c r="BM160" s="90"/>
      <c r="BN160" s="90"/>
      <c r="BO160" s="90"/>
      <c r="BP160" s="90"/>
      <c r="BQ160" s="90"/>
      <c r="BR160" s="1"/>
      <c r="BS160" s="1"/>
    </row>
    <row r="161" spans="2:86" x14ac:dyDescent="0.3">
      <c r="AC161" s="1"/>
      <c r="AD161" s="1"/>
      <c r="AE161" s="1"/>
      <c r="AF161" s="1"/>
      <c r="AG161" s="1"/>
      <c r="AH161" s="1"/>
      <c r="BJ161" s="540"/>
    </row>
    <row r="162" spans="2:86" ht="15" thickBot="1" x14ac:dyDescent="0.35">
      <c r="D162" s="56"/>
      <c r="AC162" s="1"/>
      <c r="AD162" s="1"/>
      <c r="AE162" s="1"/>
      <c r="AF162" s="1"/>
      <c r="AG162" s="1"/>
      <c r="AH162" s="529"/>
      <c r="AI162" s="530"/>
      <c r="AJ162" s="530"/>
      <c r="AK162" s="530"/>
      <c r="AL162" s="530"/>
      <c r="AM162" s="530"/>
      <c r="AN162" s="530"/>
      <c r="AO162" s="530"/>
      <c r="AP162" s="530"/>
      <c r="AQ162" s="530"/>
      <c r="AR162" s="530"/>
      <c r="AS162" s="530"/>
      <c r="AT162" s="530"/>
      <c r="AU162" s="530"/>
      <c r="AV162" s="530"/>
      <c r="AW162" s="530"/>
      <c r="AY162" s="118"/>
      <c r="AZ162" s="118"/>
      <c r="BA162" s="118"/>
      <c r="BB162" s="118"/>
      <c r="BJ162" s="1">
        <f>+BJ157*BJ160</f>
        <v>463260.11283595441</v>
      </c>
    </row>
    <row r="163" spans="2:86" x14ac:dyDescent="0.3">
      <c r="D163" s="1">
        <v>4900</v>
      </c>
      <c r="J163" s="531">
        <f>+BQ125</f>
        <v>7.4075240343216359E-2</v>
      </c>
      <c r="U163" s="118"/>
      <c r="Z163" s="56"/>
      <c r="AC163" s="1"/>
      <c r="AD163" s="1"/>
      <c r="AE163" s="1"/>
      <c r="AF163" s="1"/>
      <c r="AG163" s="1"/>
      <c r="AH163" s="529"/>
      <c r="AI163" s="508"/>
      <c r="AJ163" s="509"/>
      <c r="AK163" s="509"/>
      <c r="AL163" s="509"/>
      <c r="AM163" s="509"/>
      <c r="AN163" s="509"/>
      <c r="AO163" s="509"/>
      <c r="AP163" s="509"/>
      <c r="AQ163" s="509"/>
      <c r="AR163" s="509"/>
      <c r="AS163" s="509"/>
      <c r="AT163" s="509"/>
      <c r="AU163" s="509"/>
      <c r="AV163" s="510"/>
      <c r="AW163" s="530"/>
      <c r="AY163" s="118"/>
      <c r="AZ163" s="118"/>
      <c r="BA163" s="118"/>
      <c r="BB163" s="118"/>
    </row>
    <row r="164" spans="2:86" x14ac:dyDescent="0.3">
      <c r="D164" s="1">
        <v>1000000</v>
      </c>
      <c r="J164" s="233">
        <f>+AB125</f>
        <v>3.9670638055519833E-2</v>
      </c>
      <c r="AC164" s="1"/>
      <c r="AD164" s="1"/>
      <c r="AE164" s="1"/>
      <c r="AF164" s="1"/>
      <c r="AG164" s="1"/>
      <c r="AH164" s="529"/>
      <c r="AI164" s="511"/>
      <c r="AJ164" s="575" t="s">
        <v>156</v>
      </c>
      <c r="AK164" s="575"/>
      <c r="AL164" s="575"/>
      <c r="AM164" s="575"/>
      <c r="AN164" s="575"/>
      <c r="AO164" s="575"/>
      <c r="AP164" s="575"/>
      <c r="AQ164" s="575"/>
      <c r="AR164" s="575"/>
      <c r="AS164" s="575"/>
      <c r="AT164" s="575"/>
      <c r="AU164" s="575"/>
      <c r="AV164" s="512"/>
      <c r="AW164" s="530"/>
      <c r="AY164" s="118"/>
      <c r="AZ164" s="118"/>
      <c r="BA164" s="118"/>
      <c r="BB164" s="118"/>
    </row>
    <row r="165" spans="2:86" ht="15.6" x14ac:dyDescent="0.3">
      <c r="J165" s="57">
        <f>+J163*J164</f>
        <v>2.938612048531377E-3</v>
      </c>
      <c r="AC165" s="1"/>
      <c r="AD165" s="1"/>
      <c r="AE165" s="1"/>
      <c r="AF165" s="1"/>
      <c r="AG165" s="1"/>
      <c r="AH165" s="529"/>
      <c r="AI165" s="511"/>
      <c r="AJ165" s="575" t="s">
        <v>155</v>
      </c>
      <c r="AK165" s="575"/>
      <c r="AL165" s="575"/>
      <c r="AM165" s="575"/>
      <c r="AN165" s="517"/>
      <c r="AO165" s="518" t="s">
        <v>20</v>
      </c>
      <c r="AP165" s="517"/>
      <c r="AQ165" s="518" t="s">
        <v>4</v>
      </c>
      <c r="AR165" s="519"/>
      <c r="AS165" s="519"/>
      <c r="AT165" s="519"/>
      <c r="AU165" s="523" t="s">
        <v>10</v>
      </c>
      <c r="AV165" s="512"/>
      <c r="AW165" s="530"/>
      <c r="AY165" s="118"/>
      <c r="AZ165" s="118"/>
      <c r="BA165" s="118"/>
      <c r="BB165" s="118"/>
    </row>
    <row r="166" spans="2:86" ht="15.6" x14ac:dyDescent="0.3">
      <c r="AC166" s="1"/>
      <c r="AD166" s="1"/>
      <c r="AE166" s="1"/>
      <c r="AF166" s="1"/>
      <c r="AG166" s="1"/>
      <c r="AH166" s="529"/>
      <c r="AI166" s="511"/>
      <c r="AJ166" s="675" t="s">
        <v>152</v>
      </c>
      <c r="AK166" s="675"/>
      <c r="AL166" s="675"/>
      <c r="AM166" s="675"/>
      <c r="AN166" s="517"/>
      <c r="AO166" s="520">
        <f>+AG50</f>
        <v>898992</v>
      </c>
      <c r="AP166" s="521"/>
      <c r="AQ166" s="520">
        <f>+AG51</f>
        <v>55687</v>
      </c>
      <c r="AR166" s="522"/>
      <c r="AS166" s="522"/>
      <c r="AT166" s="522"/>
      <c r="AU166" s="536">
        <f>+AQ166/AO166</f>
        <v>6.194382152455194E-2</v>
      </c>
      <c r="AV166" s="512"/>
      <c r="AW166" s="530"/>
      <c r="AY166" s="118"/>
      <c r="AZ166" s="118"/>
      <c r="BA166" s="118"/>
      <c r="BB166" s="118"/>
    </row>
    <row r="167" spans="2:86" ht="15.6" x14ac:dyDescent="0.3">
      <c r="D167" s="278">
        <f>+D163/D164</f>
        <v>4.8999999999999998E-3</v>
      </c>
      <c r="AC167" s="1"/>
      <c r="AD167" s="1"/>
      <c r="AE167" s="1"/>
      <c r="AF167" s="1"/>
      <c r="AG167" s="1"/>
      <c r="AH167" s="529"/>
      <c r="AI167" s="511"/>
      <c r="AJ167" s="676" t="s">
        <v>153</v>
      </c>
      <c r="AK167" s="677"/>
      <c r="AL167" s="677"/>
      <c r="AM167" s="677"/>
      <c r="AN167" s="65"/>
      <c r="AO167" s="513">
        <f>+AF83</f>
        <v>742147</v>
      </c>
      <c r="AP167" s="65"/>
      <c r="AQ167" s="513">
        <f>+AF84</f>
        <v>42339</v>
      </c>
      <c r="AR167" s="65"/>
      <c r="AS167" s="65"/>
      <c r="AT167" s="65"/>
      <c r="AU167" s="534">
        <f>+AQ167/AO167</f>
        <v>5.7049344671608188E-2</v>
      </c>
      <c r="AV167" s="512"/>
      <c r="AW167" s="530"/>
      <c r="AY167" s="118"/>
      <c r="AZ167" s="118"/>
      <c r="BA167" s="118"/>
      <c r="BB167" s="118"/>
    </row>
    <row r="168" spans="2:86" ht="15.6" x14ac:dyDescent="0.3">
      <c r="AC168" s="1"/>
      <c r="AD168" s="1"/>
      <c r="AE168" s="1"/>
      <c r="AF168" s="1"/>
      <c r="AG168" s="1"/>
      <c r="AH168" s="529"/>
      <c r="AI168" s="511"/>
      <c r="AJ168" s="677" t="s">
        <v>154</v>
      </c>
      <c r="AK168" s="677"/>
      <c r="AL168" s="677"/>
      <c r="AM168" s="677"/>
      <c r="AN168" s="65"/>
      <c r="AO168" s="513">
        <f>+AG113</f>
        <v>869627</v>
      </c>
      <c r="AP168" s="65"/>
      <c r="AQ168" s="513">
        <f>+AG114</f>
        <v>21252</v>
      </c>
      <c r="AR168" s="65"/>
      <c r="AS168" s="65"/>
      <c r="AT168" s="65"/>
      <c r="AU168" s="534">
        <f>+AQ168/AO168</f>
        <v>2.4438063675575852E-2</v>
      </c>
      <c r="AV168" s="512"/>
      <c r="AW168" s="530"/>
      <c r="AY168" s="118"/>
      <c r="AZ168" s="118"/>
      <c r="BA168" s="118"/>
      <c r="BB168" s="118"/>
    </row>
    <row r="169" spans="2:86" ht="15.6" x14ac:dyDescent="0.3">
      <c r="D169" s="472">
        <v>32000</v>
      </c>
      <c r="AC169" s="1"/>
      <c r="AD169" s="1"/>
      <c r="AE169" s="1"/>
      <c r="AF169" s="1"/>
      <c r="AG169" s="1"/>
      <c r="AH169" s="529"/>
      <c r="AI169" s="511"/>
      <c r="AJ169" s="677" t="s">
        <v>158</v>
      </c>
      <c r="AK169" s="677"/>
      <c r="AL169" s="677"/>
      <c r="AM169" s="677"/>
      <c r="AN169" s="65"/>
      <c r="AO169" s="513">
        <f>+AF172</f>
        <v>1970617</v>
      </c>
      <c r="AP169" s="65"/>
      <c r="AQ169" s="513">
        <f>+AF174</f>
        <v>25901</v>
      </c>
      <c r="AR169" s="65"/>
      <c r="AS169" s="65"/>
      <c r="AT169" s="65"/>
      <c r="AU169" s="534">
        <f>+AQ169/AO169</f>
        <v>1.3143599187462607E-2</v>
      </c>
      <c r="AV169" s="512"/>
      <c r="AW169" s="530"/>
    </row>
    <row r="170" spans="2:86" ht="15" thickBot="1" x14ac:dyDescent="0.35">
      <c r="B170" s="471"/>
      <c r="D170" s="278"/>
      <c r="AC170" s="1"/>
      <c r="AD170" s="1"/>
      <c r="AE170" s="1"/>
      <c r="AF170" s="1"/>
      <c r="AG170" s="1"/>
      <c r="AH170" s="529"/>
      <c r="AI170" s="511"/>
      <c r="AJ170" s="524"/>
      <c r="AK170" s="524"/>
      <c r="AL170" s="524"/>
      <c r="AM170" s="524"/>
      <c r="AN170" s="525"/>
      <c r="AO170" s="526"/>
      <c r="AP170" s="525"/>
      <c r="AQ170" s="526"/>
      <c r="AR170" s="525"/>
      <c r="AS170" s="525"/>
      <c r="AT170" s="525"/>
      <c r="AU170" s="527"/>
      <c r="AV170" s="512"/>
      <c r="AW170" s="530"/>
    </row>
    <row r="171" spans="2:86" ht="15.6" x14ac:dyDescent="0.3">
      <c r="B171" s="471"/>
      <c r="D171" s="278"/>
      <c r="AC171" s="1"/>
      <c r="AD171" s="1"/>
      <c r="AE171" s="1"/>
      <c r="AF171" s="1"/>
      <c r="AG171" s="1"/>
      <c r="AH171" s="529"/>
      <c r="AI171" s="511"/>
      <c r="AJ171" s="675" t="s">
        <v>152</v>
      </c>
      <c r="AK171" s="675"/>
      <c r="AL171" s="675"/>
      <c r="AM171" s="675"/>
      <c r="AN171" s="65"/>
      <c r="AO171" s="513"/>
      <c r="AP171" s="65"/>
      <c r="AQ171" s="513">
        <f>+AQ166</f>
        <v>55687</v>
      </c>
      <c r="AR171" s="65"/>
      <c r="AS171" s="65"/>
      <c r="AT171" s="65"/>
      <c r="AU171" s="157"/>
      <c r="AV171" s="512"/>
      <c r="AW171" s="530"/>
    </row>
    <row r="172" spans="2:86" ht="15.6" x14ac:dyDescent="0.3">
      <c r="B172" s="471"/>
      <c r="D172" s="278"/>
      <c r="AC172" s="1"/>
      <c r="AD172" s="1"/>
      <c r="AE172" s="1"/>
      <c r="AF172" s="33">
        <f>SUM(D113:D143)</f>
        <v>1970617</v>
      </c>
      <c r="AG172" s="1"/>
      <c r="AH172" s="529"/>
      <c r="AI172" s="511"/>
      <c r="AJ172" s="677" t="s">
        <v>158</v>
      </c>
      <c r="AK172" s="677"/>
      <c r="AL172" s="677"/>
      <c r="AM172" s="64"/>
      <c r="AN172" s="65"/>
      <c r="AO172" s="513"/>
      <c r="AP172" s="65"/>
      <c r="AQ172" s="513">
        <f>+AQ169</f>
        <v>25901</v>
      </c>
      <c r="AR172" s="65"/>
      <c r="AS172" s="65"/>
      <c r="AT172" s="65"/>
      <c r="AU172" s="157"/>
      <c r="AV172" s="512"/>
      <c r="AW172" s="530"/>
    </row>
    <row r="173" spans="2:86" ht="15.6" x14ac:dyDescent="0.3">
      <c r="B173" s="471"/>
      <c r="D173" s="278"/>
      <c r="AC173" s="1"/>
      <c r="AD173" s="1"/>
      <c r="AE173" s="1"/>
      <c r="AF173" s="33">
        <f>SUM(V125:V138)</f>
        <v>12117</v>
      </c>
      <c r="AG173" s="1"/>
      <c r="AH173" s="529"/>
      <c r="AI173" s="511"/>
      <c r="AJ173" s="64"/>
      <c r="AK173" s="678" t="s">
        <v>3</v>
      </c>
      <c r="AL173" s="64"/>
      <c r="AM173" s="64"/>
      <c r="AN173" s="65"/>
      <c r="AO173" s="513"/>
      <c r="AP173" s="65"/>
      <c r="AQ173" s="513">
        <f>+AQ171-AQ172</f>
        <v>29786</v>
      </c>
      <c r="AR173" s="65"/>
      <c r="AS173" s="65"/>
      <c r="AT173" s="65"/>
      <c r="AU173" s="528">
        <f>+AQ173/AQ171</f>
        <v>0.53488246808052153</v>
      </c>
      <c r="AV173" s="512"/>
      <c r="AW173" s="530"/>
    </row>
    <row r="174" spans="2:86" ht="15" thickBot="1" x14ac:dyDescent="0.35">
      <c r="D174" s="471"/>
      <c r="AC174" s="1"/>
      <c r="AD174" s="1"/>
      <c r="AE174" s="1"/>
      <c r="AF174" s="33">
        <f>SUM(V113:V143)</f>
        <v>25901</v>
      </c>
      <c r="AG174" s="1"/>
      <c r="AH174" s="529"/>
      <c r="AI174" s="514"/>
      <c r="AJ174" s="515"/>
      <c r="AK174" s="515"/>
      <c r="AL174" s="515"/>
      <c r="AM174" s="515"/>
      <c r="AN174" s="515"/>
      <c r="AO174" s="515"/>
      <c r="AP174" s="515"/>
      <c r="AQ174" s="515"/>
      <c r="AR174" s="515"/>
      <c r="AS174" s="515"/>
      <c r="AT174" s="515"/>
      <c r="AU174" s="515"/>
      <c r="AV174" s="516"/>
      <c r="AW174" s="530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0"/>
      <c r="BN174" s="90"/>
      <c r="BO174" s="90"/>
      <c r="BP174" s="90"/>
      <c r="BQ174" s="90"/>
      <c r="BR174" s="1"/>
      <c r="BS174" s="1"/>
      <c r="BT174" s="1"/>
      <c r="BU174" s="1"/>
      <c r="BV174" s="90"/>
      <c r="BW174" s="90"/>
      <c r="BX174" s="90"/>
      <c r="BY174" s="90"/>
      <c r="BZ174" s="90"/>
      <c r="CA174" s="90"/>
      <c r="CB174" s="90"/>
      <c r="CC174" s="90"/>
      <c r="CD174" s="90"/>
      <c r="CE174" s="90"/>
      <c r="CF174" s="90"/>
      <c r="CG174" s="90"/>
      <c r="CH174" s="90"/>
    </row>
    <row r="175" spans="2:86" x14ac:dyDescent="0.3">
      <c r="AC175" s="10"/>
      <c r="AD175" s="10"/>
      <c r="AE175" s="10"/>
      <c r="AF175" s="10"/>
      <c r="AG175" s="10"/>
      <c r="AH175" s="529"/>
      <c r="AI175" s="530"/>
      <c r="AJ175" s="530"/>
      <c r="AK175" s="530"/>
      <c r="AL175" s="530"/>
      <c r="AM175" s="530"/>
      <c r="AN175" s="530"/>
      <c r="AO175" s="530"/>
      <c r="AP175" s="530"/>
      <c r="AQ175" s="530"/>
      <c r="AR175" s="530"/>
      <c r="AS175" s="530"/>
      <c r="AT175" s="530"/>
      <c r="AU175" s="530"/>
      <c r="AV175" s="530"/>
      <c r="AW175" s="530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89"/>
      <c r="BW175" s="89"/>
      <c r="BX175" s="89"/>
      <c r="BY175" s="89"/>
      <c r="BZ175" s="121"/>
      <c r="CA175" s="1"/>
      <c r="CB175" s="1"/>
      <c r="CC175" s="1"/>
      <c r="CD175" s="1"/>
      <c r="CE175" s="1"/>
      <c r="CF175" s="1"/>
      <c r="CG175" s="1"/>
      <c r="CH175" s="1"/>
    </row>
    <row r="176" spans="2:86" x14ac:dyDescent="0.3">
      <c r="D176">
        <v>10</v>
      </c>
      <c r="AC176" s="10"/>
      <c r="AD176" s="10"/>
      <c r="AE176" s="10"/>
      <c r="AF176" s="10"/>
      <c r="AG176" s="10"/>
      <c r="AH176" s="10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89"/>
      <c r="BW176" s="89"/>
      <c r="BX176" s="89"/>
      <c r="BY176" s="89"/>
      <c r="BZ176" s="89"/>
      <c r="CA176" s="1"/>
      <c r="CB176" s="1"/>
      <c r="CC176" s="1"/>
      <c r="CD176" s="1"/>
      <c r="CE176" s="1"/>
      <c r="CF176" s="1"/>
      <c r="CG176" s="1"/>
      <c r="CH176" s="1"/>
    </row>
    <row r="177" spans="4:84" x14ac:dyDescent="0.3">
      <c r="D177" s="1">
        <v>50000000</v>
      </c>
      <c r="AC177" s="10"/>
      <c r="AD177" s="10"/>
      <c r="AE177" s="10"/>
      <c r="AF177" s="10"/>
      <c r="AG177" s="10"/>
      <c r="AH177" s="10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89"/>
      <c r="BW177" s="89"/>
      <c r="BX177" s="89"/>
      <c r="BY177" s="89"/>
      <c r="BZ177" s="89"/>
      <c r="CA177" s="1"/>
      <c r="CB177" s="1"/>
      <c r="CC177" s="1"/>
      <c r="CD177" s="1"/>
      <c r="CE177" s="1"/>
      <c r="CF177" s="1"/>
    </row>
    <row r="178" spans="4:84" x14ac:dyDescent="0.3">
      <c r="D178" s="57">
        <f>+D177/D180</f>
        <v>0.15105740181268881</v>
      </c>
      <c r="AC178" s="10"/>
      <c r="AD178" s="10"/>
      <c r="AE178" s="10"/>
      <c r="AF178" s="10"/>
      <c r="AG178" s="10"/>
      <c r="AH178" s="10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89"/>
      <c r="BW178" s="89"/>
      <c r="BX178" s="89"/>
      <c r="BY178" s="89"/>
      <c r="BZ178" s="89"/>
      <c r="CA178" s="1"/>
      <c r="CB178" s="1"/>
      <c r="CC178" s="1"/>
      <c r="CD178" s="1"/>
      <c r="CE178" s="1"/>
      <c r="CF178" s="1"/>
    </row>
    <row r="179" spans="4:84" x14ac:dyDescent="0.3">
      <c r="AC179" s="10"/>
      <c r="AD179" s="10"/>
      <c r="AE179" s="10"/>
      <c r="AF179" s="10"/>
      <c r="AG179" s="10"/>
      <c r="AH179" s="10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89"/>
      <c r="BW179" s="89"/>
      <c r="BX179" s="122"/>
      <c r="BY179" s="89"/>
      <c r="BZ179" s="89"/>
    </row>
    <row r="180" spans="4:84" x14ac:dyDescent="0.3">
      <c r="D180" s="1">
        <v>331000000</v>
      </c>
      <c r="AC180" s="10"/>
      <c r="AD180" s="10"/>
      <c r="AE180" s="10"/>
      <c r="AF180" s="10"/>
      <c r="AG180" s="10"/>
      <c r="AH180" s="10"/>
      <c r="AI180" s="90"/>
      <c r="AJ180" s="90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90"/>
      <c r="BB180" s="90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89"/>
      <c r="BW180" s="89"/>
      <c r="BX180" s="89"/>
      <c r="BY180" s="89"/>
      <c r="BZ180" s="89"/>
    </row>
    <row r="181" spans="4:84" x14ac:dyDescent="0.3">
      <c r="AC181" s="10"/>
      <c r="AD181" s="10"/>
      <c r="AE181" s="10"/>
      <c r="AF181" s="10"/>
      <c r="AG181" s="10"/>
      <c r="AH181" s="10"/>
      <c r="AI181" s="90"/>
      <c r="AJ181" s="90"/>
      <c r="AK181" s="151"/>
      <c r="AL181" s="151"/>
      <c r="AM181" s="151"/>
      <c r="AN181" s="151"/>
      <c r="AO181" s="151"/>
      <c r="AP181" s="151"/>
      <c r="AQ181" s="151"/>
      <c r="AR181" s="90"/>
      <c r="AS181" s="90"/>
      <c r="AT181" s="90"/>
      <c r="AU181" s="110"/>
      <c r="AV181" s="110"/>
      <c r="AW181" s="110"/>
      <c r="AX181" s="110"/>
      <c r="AY181" s="90"/>
      <c r="AZ181" s="90"/>
      <c r="BA181" s="110"/>
      <c r="BB181" s="90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89"/>
      <c r="BW181" s="89"/>
      <c r="BX181" s="89"/>
      <c r="BY181" s="89"/>
      <c r="BZ181" s="89"/>
    </row>
    <row r="182" spans="4:84" x14ac:dyDescent="0.3">
      <c r="D182" s="469">
        <v>7.1999999999999995E-2</v>
      </c>
      <c r="AC182" s="10"/>
      <c r="AD182" s="10"/>
      <c r="AE182" s="10"/>
      <c r="AF182" s="10"/>
      <c r="AG182" s="10"/>
      <c r="AH182" s="10"/>
      <c r="AI182" s="90"/>
      <c r="AJ182" s="90"/>
      <c r="AK182" s="151"/>
      <c r="AL182" s="151"/>
      <c r="AM182" s="151"/>
      <c r="AN182" s="151"/>
      <c r="AO182" s="151"/>
      <c r="AP182" s="151"/>
      <c r="AQ182" s="151"/>
      <c r="AR182" s="151"/>
      <c r="AS182" s="110"/>
      <c r="AT182" s="90"/>
      <c r="AU182" s="110"/>
      <c r="AV182" s="110"/>
      <c r="AW182" s="110"/>
      <c r="AX182" s="110"/>
      <c r="AY182" s="90"/>
      <c r="AZ182" s="90"/>
      <c r="BA182" s="110"/>
      <c r="BB182" s="90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89"/>
      <c r="BW182" s="89"/>
      <c r="BX182" s="89"/>
      <c r="BY182" s="89"/>
      <c r="BZ182" s="89"/>
    </row>
    <row r="183" spans="4:84" x14ac:dyDescent="0.3">
      <c r="AC183" s="10"/>
      <c r="AD183" s="10"/>
      <c r="AE183" s="10"/>
      <c r="AF183" s="10"/>
      <c r="AG183" s="10"/>
      <c r="AH183" s="10"/>
      <c r="AI183" s="90"/>
      <c r="AJ183" s="90"/>
      <c r="AK183" s="90"/>
      <c r="AL183" s="90"/>
      <c r="AM183" s="152"/>
      <c r="AN183" s="152"/>
      <c r="AO183" s="152"/>
      <c r="AP183" s="152"/>
      <c r="AQ183" s="152"/>
      <c r="AR183" s="90"/>
      <c r="AS183" s="90"/>
      <c r="AT183" s="90"/>
      <c r="AU183" s="110"/>
      <c r="AV183" s="110"/>
      <c r="AW183" s="110"/>
      <c r="AX183" s="110"/>
      <c r="AY183" s="90"/>
      <c r="AZ183" s="90"/>
      <c r="BA183" s="110"/>
      <c r="BB183" s="90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89"/>
      <c r="BW183" s="89"/>
      <c r="BX183" s="89"/>
      <c r="BY183" s="89"/>
      <c r="BZ183" s="89"/>
    </row>
    <row r="184" spans="4:84" x14ac:dyDescent="0.3">
      <c r="D184" s="278">
        <v>4.2000000000000003E-2</v>
      </c>
      <c r="AC184" s="10"/>
      <c r="AD184" s="10"/>
      <c r="AE184" s="10"/>
      <c r="AF184" s="10"/>
      <c r="AG184" s="10"/>
      <c r="AH184" s="10"/>
      <c r="AI184" s="90"/>
      <c r="AJ184" s="90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10"/>
      <c r="AV184" s="110"/>
      <c r="AW184" s="110"/>
      <c r="AX184" s="110"/>
      <c r="AY184" s="90"/>
      <c r="AZ184" s="90"/>
      <c r="BA184" s="110"/>
      <c r="BB184" s="90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</row>
    <row r="185" spans="4:84" x14ac:dyDescent="0.3">
      <c r="D185" s="1">
        <f>+D180*D182*D184</f>
        <v>1000944.0000000001</v>
      </c>
      <c r="AC185" s="10"/>
      <c r="AD185" s="10"/>
      <c r="AE185" s="10"/>
      <c r="AF185" s="10"/>
      <c r="AG185" s="10"/>
      <c r="AH185" s="10"/>
      <c r="AI185" s="90"/>
      <c r="AJ185" s="90"/>
      <c r="AK185" s="90"/>
      <c r="AL185" s="90"/>
      <c r="AM185" s="152"/>
      <c r="AN185" s="152"/>
      <c r="AO185" s="152"/>
      <c r="AP185" s="152"/>
      <c r="AQ185" s="152"/>
      <c r="AR185" s="152"/>
      <c r="AS185" s="152"/>
      <c r="AT185" s="90"/>
      <c r="AU185" s="110"/>
      <c r="AV185" s="110"/>
      <c r="AW185" s="110"/>
      <c r="AX185" s="110"/>
      <c r="AY185" s="90"/>
      <c r="AZ185" s="90"/>
      <c r="BA185" s="110"/>
      <c r="BB185" s="90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</row>
    <row r="186" spans="4:84" x14ac:dyDescent="0.3">
      <c r="AC186" s="10"/>
      <c r="AD186" s="10"/>
      <c r="AE186" s="10"/>
      <c r="AF186" s="10"/>
      <c r="AG186" s="10"/>
      <c r="AH186" s="10"/>
      <c r="AI186" s="90"/>
      <c r="AJ186" s="90"/>
      <c r="AK186" s="90"/>
      <c r="AL186" s="90"/>
      <c r="AM186" s="152"/>
      <c r="AN186" s="152"/>
      <c r="AO186" s="152"/>
      <c r="AP186" s="152"/>
      <c r="AQ186" s="152"/>
      <c r="AR186" s="152"/>
      <c r="AS186" s="152"/>
      <c r="AT186" s="90"/>
      <c r="AU186" s="110"/>
      <c r="AV186" s="110"/>
      <c r="AW186" s="110"/>
      <c r="AX186" s="110"/>
      <c r="AY186" s="90"/>
      <c r="AZ186" s="90"/>
      <c r="BA186" s="110"/>
      <c r="BB186" s="90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</row>
    <row r="187" spans="4:84" x14ac:dyDescent="0.3">
      <c r="AC187" s="10"/>
      <c r="AD187" s="10"/>
      <c r="AE187" s="10"/>
      <c r="AF187" s="10"/>
      <c r="AG187" s="10"/>
      <c r="AH187" s="10"/>
      <c r="AI187" s="90"/>
      <c r="AJ187" s="90"/>
      <c r="AK187" s="90"/>
      <c r="AL187" s="90"/>
      <c r="AM187" s="152"/>
      <c r="AN187" s="152"/>
      <c r="AO187" s="152"/>
      <c r="AP187" s="152"/>
      <c r="AQ187" s="152"/>
      <c r="AR187" s="152"/>
      <c r="AS187" s="152"/>
      <c r="AT187" s="90"/>
      <c r="AU187" s="110"/>
      <c r="AV187" s="110"/>
      <c r="AW187" s="110"/>
      <c r="AX187" s="110"/>
      <c r="AY187" s="90"/>
      <c r="AZ187" s="90"/>
      <c r="BA187" s="110"/>
      <c r="BB187" s="90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</row>
    <row r="188" spans="4:84" x14ac:dyDescent="0.3">
      <c r="AC188" s="10"/>
      <c r="AD188" s="10"/>
      <c r="AE188" s="10"/>
      <c r="AF188" s="10"/>
      <c r="AG188" s="10"/>
      <c r="AH188" s="10"/>
      <c r="AI188" s="90"/>
      <c r="AJ188" s="90"/>
      <c r="AK188" s="90"/>
      <c r="AL188" s="90"/>
      <c r="AM188" s="152"/>
      <c r="AN188" s="152"/>
      <c r="AO188" s="152"/>
      <c r="AP188" s="152"/>
      <c r="AQ188" s="152"/>
      <c r="AR188" s="152"/>
      <c r="AS188" s="152"/>
      <c r="AT188" s="90"/>
      <c r="AU188" s="110"/>
      <c r="AV188" s="110"/>
      <c r="AW188" s="110"/>
      <c r="AX188" s="110"/>
      <c r="AY188" s="90"/>
      <c r="AZ188" s="90"/>
      <c r="BA188" s="110"/>
      <c r="BB188" s="90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</row>
    <row r="189" spans="4:84" x14ac:dyDescent="0.3">
      <c r="AC189" s="10"/>
      <c r="AD189" s="10"/>
      <c r="AE189" s="10"/>
      <c r="AF189" s="10"/>
      <c r="AG189" s="10"/>
      <c r="AH189" s="10"/>
      <c r="AI189" s="90"/>
      <c r="AJ189" s="90"/>
      <c r="AK189" s="90"/>
      <c r="AL189" s="90"/>
      <c r="AM189" s="152"/>
      <c r="AN189" s="152"/>
      <c r="AO189" s="152"/>
      <c r="AP189" s="152"/>
      <c r="AQ189" s="152"/>
      <c r="AR189" s="152"/>
      <c r="AS189" s="152"/>
      <c r="AT189" s="90"/>
      <c r="AU189" s="110"/>
      <c r="AV189" s="110"/>
      <c r="AW189" s="110"/>
      <c r="AX189" s="110"/>
      <c r="AY189" s="90"/>
      <c r="AZ189" s="90"/>
      <c r="BA189" s="110"/>
      <c r="BB189" s="90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</row>
    <row r="190" spans="4:84" x14ac:dyDescent="0.3">
      <c r="AC190" s="10"/>
      <c r="AD190" s="10"/>
      <c r="AE190" s="10"/>
      <c r="AF190" s="10"/>
      <c r="AG190" s="10"/>
      <c r="AH190" s="10"/>
      <c r="AI190" s="90"/>
      <c r="AJ190" s="90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90"/>
      <c r="AV190" s="90"/>
      <c r="AW190" s="90"/>
      <c r="AX190" s="90"/>
      <c r="AY190" s="90"/>
      <c r="AZ190" s="110"/>
      <c r="BA190" s="110"/>
      <c r="BB190" s="90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</row>
    <row r="191" spans="4:84" x14ac:dyDescent="0.3">
      <c r="AC191" s="10"/>
      <c r="AD191" s="10"/>
      <c r="AE191" s="10"/>
      <c r="AF191" s="10"/>
      <c r="AG191" s="10"/>
      <c r="AH191" s="10"/>
      <c r="AI191" s="90"/>
      <c r="AJ191" s="90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90"/>
      <c r="AZ191" s="90"/>
      <c r="BA191" s="110"/>
      <c r="BB191" s="90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</row>
    <row r="192" spans="4:84" x14ac:dyDescent="0.3">
      <c r="AI192" s="110"/>
      <c r="AJ192" s="110"/>
      <c r="AK192" s="110"/>
      <c r="AL192" s="110"/>
      <c r="AM192" s="110"/>
      <c r="AN192" s="110"/>
      <c r="AO192" s="110"/>
      <c r="AP192" s="110"/>
      <c r="AQ192" s="110"/>
      <c r="AR192" s="110"/>
      <c r="AS192" s="90"/>
      <c r="AT192" s="110"/>
      <c r="AU192" s="153"/>
      <c r="AV192" s="153"/>
      <c r="AW192" s="153"/>
      <c r="AX192" s="153"/>
      <c r="AY192" s="110"/>
      <c r="AZ192" s="110"/>
      <c r="BA192" s="110"/>
      <c r="BB192" s="110"/>
    </row>
    <row r="193" spans="2:54" x14ac:dyDescent="0.3">
      <c r="B193" s="125"/>
      <c r="D193" s="55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0"/>
      <c r="AU193" s="90"/>
      <c r="AV193" s="90"/>
      <c r="AW193" s="90"/>
      <c r="AX193" s="90"/>
      <c r="AY193" s="110"/>
      <c r="AZ193" s="154"/>
      <c r="BA193" s="110"/>
      <c r="BB193" s="110"/>
    </row>
    <row r="194" spans="2:54" x14ac:dyDescent="0.3">
      <c r="B194" s="1"/>
      <c r="D194" s="55"/>
      <c r="W194" s="61"/>
      <c r="X194" s="61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110"/>
      <c r="AV194" s="110"/>
      <c r="AW194" s="110"/>
      <c r="AX194" s="110"/>
      <c r="AY194" s="110"/>
      <c r="AZ194" s="110"/>
      <c r="BA194" s="110"/>
      <c r="BB194" s="110"/>
    </row>
    <row r="195" spans="2:54" x14ac:dyDescent="0.3">
      <c r="B195" s="1"/>
      <c r="D195" s="55"/>
      <c r="W195" s="61"/>
      <c r="X195" s="61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</row>
    <row r="196" spans="2:54" x14ac:dyDescent="0.3">
      <c r="B196" s="1"/>
      <c r="D196" s="55"/>
      <c r="W196" s="61"/>
      <c r="X196" s="61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</row>
    <row r="197" spans="2:54" x14ac:dyDescent="0.3">
      <c r="B197" s="1"/>
      <c r="D197" s="55"/>
      <c r="W197" s="61"/>
      <c r="X197" s="61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</row>
    <row r="198" spans="2:54" x14ac:dyDescent="0.3">
      <c r="B198" s="55"/>
      <c r="D198" s="55"/>
      <c r="W198" s="61"/>
      <c r="X198" s="61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</row>
    <row r="199" spans="2:54" x14ac:dyDescent="0.3">
      <c r="B199" s="57"/>
      <c r="D199" s="55"/>
      <c r="W199" s="61"/>
      <c r="X199" s="61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</row>
    <row r="200" spans="2:54" x14ac:dyDescent="0.3">
      <c r="B200" s="1"/>
      <c r="D200" s="55"/>
      <c r="W200" s="61"/>
      <c r="X200" s="61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</row>
    <row r="201" spans="2:54" x14ac:dyDescent="0.3">
      <c r="B201" s="1"/>
      <c r="D201" s="55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</row>
    <row r="202" spans="2:54" x14ac:dyDescent="0.3">
      <c r="B202" s="1"/>
      <c r="D202" s="55"/>
    </row>
    <row r="203" spans="2:54" x14ac:dyDescent="0.3">
      <c r="B203" s="1"/>
      <c r="D203" s="55"/>
    </row>
    <row r="204" spans="2:54" x14ac:dyDescent="0.3">
      <c r="B204" s="57" t="e">
        <f>+B203/B202</f>
        <v>#DIV/0!</v>
      </c>
      <c r="D204" s="55"/>
    </row>
    <row r="205" spans="2:54" x14ac:dyDescent="0.3">
      <c r="B205" s="1"/>
      <c r="D205" s="55"/>
    </row>
    <row r="206" spans="2:54" x14ac:dyDescent="0.3">
      <c r="B206" s="1"/>
      <c r="D206" s="55"/>
    </row>
    <row r="207" spans="2:54" x14ac:dyDescent="0.3">
      <c r="B207" s="1">
        <f>+B203*50</f>
        <v>0</v>
      </c>
      <c r="D207" s="55"/>
    </row>
    <row r="208" spans="2:54" x14ac:dyDescent="0.3">
      <c r="B208" s="1"/>
      <c r="D208" s="55"/>
    </row>
    <row r="209" spans="2:4" x14ac:dyDescent="0.3">
      <c r="B209" s="1"/>
      <c r="D209" s="55"/>
    </row>
    <row r="210" spans="2:4" x14ac:dyDescent="0.3">
      <c r="B210" s="1"/>
      <c r="D210" s="55"/>
    </row>
    <row r="211" spans="2:4" x14ac:dyDescent="0.3">
      <c r="B211" s="1"/>
      <c r="D211" s="55"/>
    </row>
    <row r="212" spans="2:4" x14ac:dyDescent="0.3">
      <c r="B212" s="1"/>
      <c r="D212" s="55"/>
    </row>
    <row r="213" spans="2:4" x14ac:dyDescent="0.3">
      <c r="B213" s="1"/>
      <c r="D213" s="55"/>
    </row>
    <row r="214" spans="2:4" x14ac:dyDescent="0.3">
      <c r="B214" s="1"/>
      <c r="D214" s="55"/>
    </row>
    <row r="215" spans="2:4" x14ac:dyDescent="0.3">
      <c r="B215" s="1"/>
      <c r="D215" s="55"/>
    </row>
    <row r="216" spans="2:4" x14ac:dyDescent="0.3">
      <c r="B216" s="1"/>
      <c r="D216" s="55"/>
    </row>
    <row r="217" spans="2:4" x14ac:dyDescent="0.3">
      <c r="B217" s="1"/>
    </row>
    <row r="218" spans="2:4" x14ac:dyDescent="0.3">
      <c r="B218" s="1"/>
    </row>
    <row r="219" spans="2:4" x14ac:dyDescent="0.3">
      <c r="B219" s="1"/>
    </row>
    <row r="220" spans="2:4" x14ac:dyDescent="0.3">
      <c r="B220" s="1"/>
    </row>
    <row r="221" spans="2:4" x14ac:dyDescent="0.3">
      <c r="B221" s="1"/>
    </row>
    <row r="222" spans="2:4" x14ac:dyDescent="0.3">
      <c r="B222" s="1"/>
    </row>
    <row r="223" spans="2:4" x14ac:dyDescent="0.3">
      <c r="B223" s="1"/>
    </row>
    <row r="224" spans="2:4" x14ac:dyDescent="0.3">
      <c r="B224" s="1"/>
    </row>
  </sheetData>
  <mergeCells count="27">
    <mergeCell ref="AJ171:AM171"/>
    <mergeCell ref="AJ172:AL172"/>
    <mergeCell ref="AJ165:AM165"/>
    <mergeCell ref="AJ164:AU164"/>
    <mergeCell ref="AJ166:AM166"/>
    <mergeCell ref="AJ167:AM167"/>
    <mergeCell ref="AJ168:AM168"/>
    <mergeCell ref="AJ169:AM169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65"/>
  <sheetViews>
    <sheetView topLeftCell="A118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76" t="s">
        <v>7</v>
      </c>
      <c r="F7" s="577"/>
      <c r="G7" s="581">
        <v>0.7</v>
      </c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</row>
    <row r="8" spans="3:40" x14ac:dyDescent="0.3">
      <c r="E8" s="578" t="s">
        <v>123</v>
      </c>
      <c r="F8" s="579"/>
      <c r="G8" s="579"/>
      <c r="H8" s="579"/>
      <c r="I8" s="579"/>
      <c r="J8" s="579"/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80"/>
    </row>
    <row r="9" spans="3:40" x14ac:dyDescent="0.3">
      <c r="E9" s="596" t="s">
        <v>37</v>
      </c>
      <c r="F9" s="597"/>
      <c r="G9" s="597"/>
      <c r="H9" s="597"/>
      <c r="I9" s="597"/>
      <c r="J9" s="597"/>
      <c r="K9" s="597"/>
      <c r="L9" s="597"/>
      <c r="M9" s="597"/>
      <c r="N9" s="597"/>
      <c r="O9" s="597"/>
      <c r="P9" s="598"/>
      <c r="Q9" s="594" t="s">
        <v>116</v>
      </c>
      <c r="R9" s="5"/>
      <c r="S9" s="591" t="s">
        <v>4</v>
      </c>
      <c r="T9" s="592"/>
      <c r="U9" s="593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95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88" t="s">
        <v>48</v>
      </c>
      <c r="AE14" s="589"/>
      <c r="AF14" s="590"/>
      <c r="AG14" s="207"/>
      <c r="AH14" s="586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87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+K153</f>
        <v>648458</v>
      </c>
      <c r="AG16" s="201"/>
      <c r="AH16" s="215">
        <f>+AJ31</f>
        <v>2006.0295286576365</v>
      </c>
      <c r="AI16" s="215"/>
      <c r="AJ16" s="216">
        <f>+S153</f>
        <v>52940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118458</v>
      </c>
      <c r="AG17" s="202"/>
      <c r="AH17" s="163">
        <v>1719</v>
      </c>
      <c r="AI17" s="215"/>
      <c r="AJ17" s="162">
        <v>8638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118033</v>
      </c>
      <c r="AG18" s="202"/>
      <c r="AH18" s="163">
        <v>922</v>
      </c>
      <c r="AI18" s="215"/>
      <c r="AJ18" s="162">
        <v>7223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884949</v>
      </c>
      <c r="AG19" s="202"/>
      <c r="AH19" s="202"/>
      <c r="AI19" s="202"/>
      <c r="AJ19" s="220">
        <f>SUM(AJ16:AJ18)</f>
        <v>68801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Table'!H151</f>
        <v>0.18389349272519057</v>
      </c>
      <c r="AG21" s="202"/>
      <c r="AH21" s="202"/>
      <c r="AI21" s="202"/>
      <c r="AJ21" s="222">
        <f>+AJ19/'Main Table'!Z151</f>
        <v>0.4363026425097184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88" t="s">
        <v>133</v>
      </c>
      <c r="AB25" s="589"/>
      <c r="AC25" s="589"/>
      <c r="AD25" s="589"/>
      <c r="AE25" s="589"/>
      <c r="AF25" s="589"/>
      <c r="AG25" s="589"/>
      <c r="AH25" s="589"/>
      <c r="AI25" s="589"/>
      <c r="AJ25" s="589"/>
      <c r="AK25" s="590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+E153</f>
        <v>416298</v>
      </c>
      <c r="AE27" s="169"/>
      <c r="AF27" s="200">
        <v>2140</v>
      </c>
      <c r="AG27" s="169"/>
      <c r="AH27" s="191">
        <f>+AD27/AD$31</f>
        <v>0.54282085652144429</v>
      </c>
      <c r="AI27" s="191"/>
      <c r="AJ27" s="169">
        <f>+AF27*AH27</f>
        <v>1161.6366329558907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+G153</f>
        <v>182350</v>
      </c>
      <c r="AE28" s="169"/>
      <c r="AF28" s="200">
        <v>2053</v>
      </c>
      <c r="AG28" s="169"/>
      <c r="AH28" s="191">
        <f>+AD28/AD$31</f>
        <v>0.23777049898554731</v>
      </c>
      <c r="AI28" s="191"/>
      <c r="AJ28" s="169">
        <f>+AF28*AH28</f>
        <v>488.14283441732863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+I153</f>
        <v>49810</v>
      </c>
      <c r="AE29" s="169"/>
      <c r="AF29" s="200">
        <v>1397</v>
      </c>
      <c r="AG29" s="169"/>
      <c r="AH29" s="191">
        <f>+AD29/AD$31</f>
        <v>6.4948442854236968E-2</v>
      </c>
      <c r="AI29" s="191"/>
      <c r="AJ29" s="169">
        <f>+AF29*AH29</f>
        <v>90.732974667369049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118458</v>
      </c>
      <c r="AE30" s="281"/>
      <c r="AF30" s="169">
        <f>+AH17</f>
        <v>1719</v>
      </c>
      <c r="AG30" s="281"/>
      <c r="AH30" s="191">
        <f>+AD30/AD$31</f>
        <v>0.15446020163877139</v>
      </c>
      <c r="AI30" s="281"/>
      <c r="AJ30" s="169">
        <f>+AF30*AH30</f>
        <v>265.51708661704799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766916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2006.0295286576365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83" t="s">
        <v>31</v>
      </c>
      <c r="AB36" s="584"/>
      <c r="AC36" s="584"/>
      <c r="AD36" s="584"/>
      <c r="AE36" s="584"/>
      <c r="AF36" s="584"/>
      <c r="AG36" s="584"/>
      <c r="AH36" s="584"/>
      <c r="AI36" s="585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Table'!Z151</f>
        <v>157691</v>
      </c>
      <c r="AJ49" s="56">
        <f>+AJ19</f>
        <v>68801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68801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88890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37333.799999999996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51556.200000000004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0.32694446734436339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51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51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:K127" si="21">SUM(E110:I110)</f>
        <v>608402</v>
      </c>
      <c r="L110" s="6"/>
      <c r="M110" s="475">
        <f t="shared" ref="M110:M127" si="22">+(K110-K109)/K109</f>
        <v>8.8671295999262988E-4</v>
      </c>
      <c r="N110" s="29"/>
      <c r="O110" s="29"/>
      <c r="P110" s="29"/>
      <c r="Q110" s="376">
        <f t="shared" ref="Q110:Q127" si="23">+K110-K109</f>
        <v>539</v>
      </c>
      <c r="R110" s="6"/>
      <c r="S110" s="7">
        <f>31368+14984+4311</f>
        <v>50663</v>
      </c>
      <c r="T110" s="6"/>
      <c r="U110" s="287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si="21"/>
        <v>610024</v>
      </c>
      <c r="L111" s="6"/>
      <c r="M111" s="482">
        <f t="shared" si="22"/>
        <v>2.6660004404982234E-3</v>
      </c>
      <c r="N111" s="29"/>
      <c r="O111" s="29"/>
      <c r="P111" s="29"/>
      <c r="Q111" s="376">
        <f t="shared" si="23"/>
        <v>1622</v>
      </c>
      <c r="R111" s="6"/>
      <c r="S111" s="7">
        <f>31397+14975+4316</f>
        <v>50688</v>
      </c>
      <c r="T111" s="6"/>
      <c r="U111" s="287">
        <f t="shared" si="24"/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si="21"/>
        <v>610703</v>
      </c>
      <c r="L112" s="6"/>
      <c r="M112" s="482">
        <f t="shared" si="22"/>
        <v>1.1130709611425124E-3</v>
      </c>
      <c r="N112" s="29"/>
      <c r="O112" s="29"/>
      <c r="P112" s="29"/>
      <c r="Q112" s="376">
        <f t="shared" si="23"/>
        <v>679</v>
      </c>
      <c r="R112" s="6"/>
      <c r="S112" s="7">
        <f>31403+14992+4320</f>
        <v>50715</v>
      </c>
      <c r="T112" s="6"/>
      <c r="U112" s="287">
        <f t="shared" si="24"/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si="21"/>
        <v>611345</v>
      </c>
      <c r="L113" s="6"/>
      <c r="M113" s="482">
        <f t="shared" si="22"/>
        <v>1.0512474967373667E-3</v>
      </c>
      <c r="N113" s="29"/>
      <c r="O113" s="29"/>
      <c r="P113" s="29"/>
      <c r="Q113" s="376">
        <f t="shared" si="23"/>
        <v>642</v>
      </c>
      <c r="R113" s="6"/>
      <c r="S113" s="7">
        <f>32032+15035+4322</f>
        <v>51389</v>
      </c>
      <c r="T113" s="6"/>
      <c r="U113" s="287">
        <f t="shared" si="24"/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si="21"/>
        <v>612579</v>
      </c>
      <c r="L114" s="6"/>
      <c r="M114" s="482">
        <f t="shared" si="22"/>
        <v>2.0185001921991675E-3</v>
      </c>
      <c r="N114" s="29"/>
      <c r="O114" s="29"/>
      <c r="P114" s="29"/>
      <c r="Q114" s="376">
        <f t="shared" si="23"/>
        <v>1234</v>
      </c>
      <c r="R114" s="6"/>
      <c r="S114" s="7">
        <f>32043+15078+4324</f>
        <v>51445</v>
      </c>
      <c r="T114" s="6"/>
      <c r="U114" s="287">
        <f t="shared" si="24"/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21"/>
        <v>613956</v>
      </c>
      <c r="L115" s="6"/>
      <c r="M115" s="482">
        <f t="shared" si="22"/>
        <v>2.2478733355208065E-3</v>
      </c>
      <c r="N115" s="29"/>
      <c r="O115" s="29"/>
      <c r="P115" s="29"/>
      <c r="Q115" s="376">
        <f t="shared" si="23"/>
        <v>1377</v>
      </c>
      <c r="R115" s="6"/>
      <c r="S115" s="7">
        <f>32064+15107+4328</f>
        <v>51499</v>
      </c>
      <c r="T115" s="6"/>
      <c r="U115" s="287">
        <f t="shared" si="24"/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si="21"/>
        <v>615331</v>
      </c>
      <c r="L116" s="6"/>
      <c r="M116" s="482">
        <f t="shared" si="22"/>
        <v>2.2395741714389956E-3</v>
      </c>
      <c r="N116" s="29"/>
      <c r="O116" s="29"/>
      <c r="P116" s="29"/>
      <c r="Q116" s="376">
        <f t="shared" si="23"/>
        <v>1375</v>
      </c>
      <c r="R116" s="6"/>
      <c r="S116" s="7">
        <f>32081+15164+4335</f>
        <v>51580</v>
      </c>
      <c r="T116" s="6"/>
      <c r="U116" s="287">
        <f t="shared" si="24"/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si="21"/>
        <v>615348</v>
      </c>
      <c r="L117" s="6"/>
      <c r="M117" s="482">
        <f t="shared" si="22"/>
        <v>2.7627407037838173E-5</v>
      </c>
      <c r="N117" s="29"/>
      <c r="O117" s="29"/>
      <c r="P117" s="29"/>
      <c r="Q117" s="376">
        <f t="shared" si="23"/>
        <v>17</v>
      </c>
      <c r="R117" s="6"/>
      <c r="S117" s="7">
        <f>32157+15189+4355</f>
        <v>51701</v>
      </c>
      <c r="T117" s="6"/>
      <c r="U117" s="287">
        <f t="shared" si="24"/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si="21"/>
        <v>617250</v>
      </c>
      <c r="L118" s="6"/>
      <c r="M118" s="482">
        <f t="shared" si="22"/>
        <v>3.0909339105676787E-3</v>
      </c>
      <c r="N118" s="29"/>
      <c r="O118" s="29"/>
      <c r="P118" s="29"/>
      <c r="Q118" s="376">
        <f t="shared" si="23"/>
        <v>1902</v>
      </c>
      <c r="R118" s="6"/>
      <c r="S118" s="7">
        <f>32189+15211+4335</f>
        <v>51735</v>
      </c>
      <c r="T118" s="6"/>
      <c r="U118" s="287">
        <f t="shared" si="24"/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si="21"/>
        <v>618236</v>
      </c>
      <c r="L119" s="6"/>
      <c r="M119" s="482">
        <f t="shared" si="22"/>
        <v>1.5974078574321588E-3</v>
      </c>
      <c r="N119" s="29"/>
      <c r="O119" s="29"/>
      <c r="P119" s="29"/>
      <c r="Q119" s="376">
        <f t="shared" si="23"/>
        <v>986</v>
      </c>
      <c r="R119" s="6"/>
      <c r="S119" s="7">
        <f>32219+15229+4388</f>
        <v>51836</v>
      </c>
      <c r="T119" s="6"/>
      <c r="U119" s="287">
        <f t="shared" si="24"/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si="21"/>
        <v>619148</v>
      </c>
      <c r="L120" s="6"/>
      <c r="M120" s="482">
        <f t="shared" si="22"/>
        <v>1.4751648237889738E-3</v>
      </c>
      <c r="N120" s="29"/>
      <c r="O120" s="29"/>
      <c r="P120" s="29"/>
      <c r="Q120" s="376">
        <f t="shared" si="23"/>
        <v>912</v>
      </c>
      <c r="R120" s="6"/>
      <c r="S120" s="7">
        <f>32243+15281+4338</f>
        <v>51862</v>
      </c>
      <c r="T120" s="6"/>
      <c r="U120" s="287">
        <f t="shared" si="24"/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si="21"/>
        <v>620056</v>
      </c>
      <c r="L121" s="6"/>
      <c r="M121" s="482">
        <f t="shared" si="22"/>
        <v>1.4665314270578278E-3</v>
      </c>
      <c r="N121" s="29"/>
      <c r="O121" s="29"/>
      <c r="P121" s="29"/>
      <c r="Q121" s="376">
        <f t="shared" si="23"/>
        <v>908</v>
      </c>
      <c r="R121" s="6"/>
      <c r="S121" s="7">
        <f>32251+15332+4343</f>
        <v>51926</v>
      </c>
      <c r="T121" s="6"/>
      <c r="U121" s="287">
        <f t="shared" si="24"/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si="21"/>
        <v>620956</v>
      </c>
      <c r="L122" s="6"/>
      <c r="M122" s="482">
        <f t="shared" si="22"/>
        <v>1.4514818016437224E-3</v>
      </c>
      <c r="N122" s="29"/>
      <c r="O122" s="29"/>
      <c r="P122" s="29"/>
      <c r="Q122" s="376">
        <f t="shared" si="23"/>
        <v>900</v>
      </c>
      <c r="R122" s="6"/>
      <c r="S122" s="7">
        <f>32283+15448+4348</f>
        <v>52079</v>
      </c>
      <c r="T122" s="6"/>
      <c r="U122" s="287">
        <f t="shared" si="24"/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si="21"/>
        <v>622214</v>
      </c>
      <c r="L123" s="6"/>
      <c r="M123" s="482">
        <f t="shared" si="22"/>
        <v>2.0259084379569566E-3</v>
      </c>
      <c r="N123" s="29"/>
      <c r="O123" s="29"/>
      <c r="P123" s="29"/>
      <c r="Q123" s="376">
        <f t="shared" si="23"/>
        <v>1258</v>
      </c>
      <c r="R123" s="6"/>
      <c r="S123" s="7">
        <f>32307+15479+4348</f>
        <v>52134</v>
      </c>
      <c r="T123" s="6"/>
      <c r="U123" s="287">
        <f t="shared" si="24"/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si="21"/>
        <v>623225</v>
      </c>
      <c r="L124" s="6"/>
      <c r="M124" s="482">
        <f t="shared" si="22"/>
        <v>1.6248428997097462E-3</v>
      </c>
      <c r="N124" s="29"/>
      <c r="O124" s="29"/>
      <c r="P124" s="29"/>
      <c r="Q124" s="376">
        <f t="shared" si="23"/>
        <v>1011</v>
      </c>
      <c r="R124" s="6"/>
      <c r="S124" s="7">
        <f>32343+15525+4348</f>
        <v>52216</v>
      </c>
      <c r="T124" s="6"/>
      <c r="U124" s="287">
        <f t="shared" si="24"/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si="21"/>
        <v>624141</v>
      </c>
      <c r="L125" s="6"/>
      <c r="M125" s="482">
        <f t="shared" si="22"/>
        <v>1.4697741586104536E-3</v>
      </c>
      <c r="N125" s="29"/>
      <c r="O125" s="29"/>
      <c r="P125" s="29"/>
      <c r="Q125" s="376">
        <f t="shared" si="23"/>
        <v>916</v>
      </c>
      <c r="R125" s="6"/>
      <c r="S125" s="7">
        <f>32350+15525+4348</f>
        <v>52223</v>
      </c>
      <c r="T125" s="6"/>
      <c r="U125" s="287">
        <f t="shared" si="24"/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>
        <v>402263</v>
      </c>
      <c r="F126" s="7"/>
      <c r="G126" s="7">
        <v>175522</v>
      </c>
      <c r="H126" s="7"/>
      <c r="I126" s="7">
        <v>47510</v>
      </c>
      <c r="J126" s="288"/>
      <c r="K126" s="7">
        <f t="shared" si="21"/>
        <v>625295</v>
      </c>
      <c r="L126" s="6"/>
      <c r="M126" s="482">
        <f t="shared" si="22"/>
        <v>1.8489411847643401E-3</v>
      </c>
      <c r="N126" s="29"/>
      <c r="O126" s="29"/>
      <c r="P126" s="29"/>
      <c r="Q126" s="376">
        <f t="shared" si="23"/>
        <v>1154</v>
      </c>
      <c r="R126" s="6"/>
      <c r="S126" s="7">
        <f>32395+15560+4371</f>
        <v>52326</v>
      </c>
      <c r="T126" s="6"/>
      <c r="U126" s="287">
        <f t="shared" si="24"/>
        <v>8.3682102047833426E-2</v>
      </c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>
        <v>403175</v>
      </c>
      <c r="F127" s="7"/>
      <c r="G127" s="7">
        <v>175915</v>
      </c>
      <c r="H127" s="7"/>
      <c r="I127" s="7">
        <v>47531</v>
      </c>
      <c r="J127" s="288"/>
      <c r="K127" s="7">
        <f t="shared" si="21"/>
        <v>626621</v>
      </c>
      <c r="L127" s="6"/>
      <c r="M127" s="482">
        <f t="shared" si="22"/>
        <v>2.1205990772355447E-3</v>
      </c>
      <c r="N127" s="29"/>
      <c r="O127" s="29"/>
      <c r="P127" s="29"/>
      <c r="Q127" s="376">
        <f t="shared" si="23"/>
        <v>1326</v>
      </c>
      <c r="R127" s="6"/>
      <c r="S127" s="7">
        <f>32408+15582+4374</f>
        <v>52364</v>
      </c>
      <c r="T127" s="6"/>
      <c r="U127" s="287">
        <f t="shared" si="24"/>
        <v>8.3565664093606815E-2</v>
      </c>
      <c r="W127">
        <f t="shared" si="20"/>
        <v>117</v>
      </c>
      <c r="Y127" s="56"/>
    </row>
    <row r="128" spans="3:25" x14ac:dyDescent="0.3">
      <c r="C128" s="171">
        <f t="shared" si="15"/>
        <v>44027</v>
      </c>
      <c r="E128" s="285">
        <v>403600</v>
      </c>
      <c r="F128" s="7"/>
      <c r="G128" s="7">
        <v>176110</v>
      </c>
      <c r="H128" s="7"/>
      <c r="I128" s="7">
        <v>47620</v>
      </c>
      <c r="J128" s="288"/>
      <c r="K128" s="7">
        <f t="shared" ref="K128" si="25">SUM(E128:I128)</f>
        <v>627330</v>
      </c>
      <c r="L128" s="6"/>
      <c r="M128" s="482">
        <f t="shared" ref="M128" si="26">+(K128-K127)/K127</f>
        <v>1.1314654312574906E-3</v>
      </c>
      <c r="N128" s="29"/>
      <c r="O128" s="29"/>
      <c r="P128" s="29"/>
      <c r="Q128" s="376">
        <f t="shared" ref="Q128" si="27">+K128-K127</f>
        <v>709</v>
      </c>
      <c r="R128" s="6"/>
      <c r="S128" s="7">
        <f>32427+15634+4380</f>
        <v>52441</v>
      </c>
      <c r="T128" s="6"/>
      <c r="U128" s="287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1">
        <f t="shared" si="15"/>
        <v>44028</v>
      </c>
      <c r="E129" s="285">
        <v>404775</v>
      </c>
      <c r="F129" s="7"/>
      <c r="G129" s="7">
        <v>176501</v>
      </c>
      <c r="H129" s="7"/>
      <c r="I129" s="7">
        <v>47750</v>
      </c>
      <c r="J129" s="288"/>
      <c r="K129" s="7">
        <f t="shared" ref="K129" si="29">SUM(E129:I129)</f>
        <v>629026</v>
      </c>
      <c r="L129" s="6"/>
      <c r="M129" s="482">
        <f t="shared" ref="M129" si="30">+(K129-K128)/K128</f>
        <v>2.7035212726953914E-3</v>
      </c>
      <c r="N129" s="29"/>
      <c r="O129" s="29"/>
      <c r="P129" s="29"/>
      <c r="Q129" s="376">
        <f t="shared" ref="Q129" si="31">+K129-K128</f>
        <v>1696</v>
      </c>
      <c r="R129" s="6"/>
      <c r="S129" s="7">
        <f>32446+15665+4389</f>
        <v>52500</v>
      </c>
      <c r="T129" s="6"/>
      <c r="U129" s="287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1">
        <f t="shared" si="15"/>
        <v>44029</v>
      </c>
      <c r="E130" s="285">
        <v>405551</v>
      </c>
      <c r="F130" s="7"/>
      <c r="G130" s="7">
        <v>176551</v>
      </c>
      <c r="H130" s="7"/>
      <c r="I130" s="7">
        <v>47893</v>
      </c>
      <c r="J130" s="288"/>
      <c r="K130" s="7">
        <f t="shared" ref="K130:K135" si="33">SUM(E130:I130)</f>
        <v>629995</v>
      </c>
      <c r="L130" s="6"/>
      <c r="M130" s="482">
        <f t="shared" ref="M130" si="34">+(K130-K129)/K129</f>
        <v>1.5404768642313673E-3</v>
      </c>
      <c r="N130" s="29"/>
      <c r="O130" s="29"/>
      <c r="P130" s="29"/>
      <c r="Q130" s="376">
        <f t="shared" ref="Q130" si="35">+K130-K129</f>
        <v>969</v>
      </c>
      <c r="R130" s="6"/>
      <c r="S130" s="7">
        <v>52728</v>
      </c>
      <c r="T130" s="6"/>
      <c r="U130" s="287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1">
        <f t="shared" si="15"/>
        <v>44030</v>
      </c>
      <c r="E131" s="285">
        <v>406750</v>
      </c>
      <c r="F131" s="7"/>
      <c r="G131" s="7">
        <v>176703</v>
      </c>
      <c r="H131" s="7"/>
      <c r="I131" s="7">
        <v>47929</v>
      </c>
      <c r="J131" s="288"/>
      <c r="K131" s="7">
        <f t="shared" si="33"/>
        <v>631382</v>
      </c>
      <c r="L131" s="6"/>
      <c r="M131" s="482">
        <f t="shared" ref="M131" si="37">+(K131-K130)/K130</f>
        <v>2.2016047746410685E-3</v>
      </c>
      <c r="N131" s="29"/>
      <c r="O131" s="29"/>
      <c r="P131" s="29"/>
      <c r="Q131" s="376">
        <f t="shared" ref="Q131" si="38">+K131-K130</f>
        <v>1387</v>
      </c>
      <c r="R131" s="6"/>
      <c r="S131" s="7">
        <v>53361</v>
      </c>
      <c r="T131" s="6"/>
      <c r="U131" s="287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1">
        <f t="shared" si="15"/>
        <v>44031</v>
      </c>
      <c r="E132" s="285">
        <v>406807</v>
      </c>
      <c r="F132" s="7"/>
      <c r="G132" s="7">
        <v>176783</v>
      </c>
      <c r="H132" s="7"/>
      <c r="I132" s="7">
        <v>47893</v>
      </c>
      <c r="J132" s="288"/>
      <c r="K132" s="7">
        <f t="shared" si="33"/>
        <v>631483</v>
      </c>
      <c r="L132" s="6"/>
      <c r="M132" s="482">
        <f t="shared" ref="M132" si="40">+(K132-K131)/K131</f>
        <v>1.599665495690406E-4</v>
      </c>
      <c r="N132" s="29"/>
      <c r="O132" s="29"/>
      <c r="P132" s="29"/>
      <c r="Q132" s="376">
        <f t="shared" ref="Q132" si="41">+K132-K131</f>
        <v>101</v>
      </c>
      <c r="R132" s="6"/>
      <c r="S132" s="7">
        <f>32463+16684+4396</f>
        <v>53543</v>
      </c>
      <c r="T132" s="6"/>
      <c r="U132" s="287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1">
        <f t="shared" si="15"/>
        <v>44032</v>
      </c>
      <c r="E133" s="285">
        <v>407326</v>
      </c>
      <c r="F133" s="7"/>
      <c r="G133" s="7">
        <v>176963</v>
      </c>
      <c r="H133" s="7"/>
      <c r="I133" s="7">
        <v>48055</v>
      </c>
      <c r="J133" s="288"/>
      <c r="K133" s="7">
        <f t="shared" si="33"/>
        <v>632344</v>
      </c>
      <c r="L133" s="6"/>
      <c r="M133" s="482">
        <f t="shared" ref="M133" si="43">+(K133-K132)/K132</f>
        <v>1.3634571318626154E-3</v>
      </c>
      <c r="N133" s="29"/>
      <c r="O133" s="29"/>
      <c r="P133" s="29"/>
      <c r="Q133" s="376">
        <f t="shared" ref="Q133" si="44">+K133-K132</f>
        <v>861</v>
      </c>
      <c r="R133" s="6"/>
      <c r="S133" s="7">
        <f>32506+15715+4406</f>
        <v>52627</v>
      </c>
      <c r="T133" s="6"/>
      <c r="U133" s="287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1">
        <f t="shared" si="15"/>
        <v>44033</v>
      </c>
      <c r="E134" s="285">
        <v>407941</v>
      </c>
      <c r="F134" s="7"/>
      <c r="G134" s="7">
        <v>177156</v>
      </c>
      <c r="H134" s="7"/>
      <c r="I134" s="7">
        <v>48096</v>
      </c>
      <c r="J134" s="288"/>
      <c r="K134" s="7">
        <f t="shared" si="33"/>
        <v>633193</v>
      </c>
      <c r="L134" s="6"/>
      <c r="M134" s="482">
        <f t="shared" ref="M134" si="46">+(K134-K133)/K133</f>
        <v>1.3426236352365169E-3</v>
      </c>
      <c r="N134" s="29"/>
      <c r="O134" s="29"/>
      <c r="P134" s="29"/>
      <c r="Q134" s="376">
        <f t="shared" ref="Q134" si="47">+K134-K133</f>
        <v>849</v>
      </c>
      <c r="R134" s="6"/>
      <c r="S134" s="7">
        <f>32520+15737+4406</f>
        <v>52663</v>
      </c>
      <c r="T134" s="6"/>
      <c r="U134" s="287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1">
        <f t="shared" si="15"/>
        <v>44034</v>
      </c>
      <c r="E135" s="285">
        <v>408886</v>
      </c>
      <c r="F135" s="7"/>
      <c r="G135" s="7">
        <v>177645</v>
      </c>
      <c r="H135" s="7"/>
      <c r="I135" s="7">
        <v>48223</v>
      </c>
      <c r="J135" s="288"/>
      <c r="K135" s="7">
        <f t="shared" si="33"/>
        <v>634754</v>
      </c>
      <c r="L135" s="6"/>
      <c r="M135" s="482">
        <f t="shared" ref="M135" si="49">+(K135-K134)/K134</f>
        <v>2.465283096938848E-3</v>
      </c>
      <c r="N135" s="29"/>
      <c r="O135" s="29"/>
      <c r="P135" s="29"/>
      <c r="Q135" s="376">
        <f t="shared" ref="Q135" si="50">+K135-K134</f>
        <v>1561</v>
      </c>
      <c r="R135" s="6"/>
      <c r="S135" s="7">
        <f>32526+15707+4406</f>
        <v>52639</v>
      </c>
      <c r="T135" s="6"/>
      <c r="U135" s="287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1">
        <f t="shared" si="15"/>
        <v>44035</v>
      </c>
      <c r="E136" s="285">
        <v>409697</v>
      </c>
      <c r="F136" s="7"/>
      <c r="G136" s="7">
        <v>177887</v>
      </c>
      <c r="H136" s="7"/>
      <c r="I136" s="7">
        <v>48232</v>
      </c>
      <c r="J136" s="288"/>
      <c r="K136" s="7">
        <f t="shared" ref="K136" si="52">SUM(E136:I136)</f>
        <v>635816</v>
      </c>
      <c r="L136" s="6"/>
      <c r="M136" s="482">
        <f t="shared" ref="M136" si="53">+(K136-K135)/K135</f>
        <v>1.6730891022348816E-3</v>
      </c>
      <c r="N136" s="29"/>
      <c r="O136" s="29"/>
      <c r="P136" s="29"/>
      <c r="Q136" s="376">
        <f t="shared" ref="Q136" si="54">+K136-K135</f>
        <v>1062</v>
      </c>
      <c r="R136" s="6"/>
      <c r="S136" s="7">
        <f>32594+15730+4410</f>
        <v>52734</v>
      </c>
      <c r="T136" s="6"/>
      <c r="U136" s="287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1">
        <f t="shared" si="15"/>
        <v>44036</v>
      </c>
      <c r="E137" s="285">
        <v>410450</v>
      </c>
      <c r="F137" s="7"/>
      <c r="G137" s="7">
        <v>178345</v>
      </c>
      <c r="H137" s="7"/>
      <c r="I137" s="7">
        <v>48776</v>
      </c>
      <c r="J137" s="288"/>
      <c r="K137" s="7">
        <v>637571</v>
      </c>
      <c r="L137" s="6"/>
      <c r="M137" s="482">
        <v>2.7602325201001548E-3</v>
      </c>
      <c r="N137" s="29"/>
      <c r="O137" s="29"/>
      <c r="P137" s="29"/>
      <c r="Q137" s="376">
        <v>1755</v>
      </c>
      <c r="R137" s="6"/>
      <c r="S137" s="7">
        <v>52774</v>
      </c>
      <c r="T137" s="6"/>
      <c r="U137" s="287">
        <v>8.2773526399412767E-2</v>
      </c>
      <c r="W137">
        <f t="shared" si="20"/>
        <v>127</v>
      </c>
      <c r="Y137" s="56"/>
    </row>
    <row r="138" spans="3:25" x14ac:dyDescent="0.3">
      <c r="C138" s="171">
        <f t="shared" si="15"/>
        <v>44037</v>
      </c>
      <c r="E138" s="285">
        <v>411200</v>
      </c>
      <c r="F138" s="7"/>
      <c r="G138" s="7">
        <v>178858</v>
      </c>
      <c r="H138" s="7"/>
      <c r="I138" s="7">
        <v>48776</v>
      </c>
      <c r="J138" s="288"/>
      <c r="K138" s="7">
        <f t="shared" ref="K138" si="56">SUM(E138:I138)</f>
        <v>638834</v>
      </c>
      <c r="L138" s="6"/>
      <c r="M138" s="482">
        <f t="shared" ref="M138" si="57">+(K138-K137)/K137</f>
        <v>1.9809558464861168E-3</v>
      </c>
      <c r="N138" s="29"/>
      <c r="O138" s="29"/>
      <c r="P138" s="29"/>
      <c r="Q138" s="376">
        <f t="shared" ref="Q138" si="58">+K138-K137</f>
        <v>1263</v>
      </c>
      <c r="R138" s="6"/>
      <c r="S138" s="7">
        <f>32608+15776+4413</f>
        <v>52797</v>
      </c>
      <c r="T138" s="6"/>
      <c r="U138" s="287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1">
        <f t="shared" si="15"/>
        <v>44038</v>
      </c>
      <c r="E139" s="285">
        <v>411736</v>
      </c>
      <c r="F139" s="7"/>
      <c r="G139" s="7">
        <v>179363</v>
      </c>
      <c r="H139" s="7"/>
      <c r="I139" s="7">
        <v>48776</v>
      </c>
      <c r="J139" s="288"/>
      <c r="K139" s="7">
        <f t="shared" ref="K139" si="60">SUM(E139:I139)</f>
        <v>639875</v>
      </c>
      <c r="L139" s="6"/>
      <c r="M139" s="482">
        <f t="shared" ref="M139" si="61">+(K139-K138)/K138</f>
        <v>1.6295313023414533E-3</v>
      </c>
      <c r="N139" s="29"/>
      <c r="O139" s="29"/>
      <c r="P139" s="29"/>
      <c r="Q139" s="376">
        <f t="shared" ref="Q139" si="62">+K139-K138</f>
        <v>1041</v>
      </c>
      <c r="R139" s="6"/>
      <c r="S139" s="7">
        <f>32630+15787+4413</f>
        <v>52830</v>
      </c>
      <c r="T139" s="6"/>
      <c r="U139" s="287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1">
        <f t="shared" si="15"/>
        <v>44039</v>
      </c>
      <c r="E140" s="285">
        <v>412344</v>
      </c>
      <c r="F140" s="7"/>
      <c r="G140" s="7">
        <v>179812</v>
      </c>
      <c r="H140" s="7"/>
      <c r="I140" s="7">
        <v>48983</v>
      </c>
      <c r="J140" s="288"/>
      <c r="K140" s="7">
        <f t="shared" ref="K140" si="64">SUM(E140:I140)</f>
        <v>641139</v>
      </c>
      <c r="L140" s="6"/>
      <c r="M140" s="482">
        <f t="shared" ref="M140" si="65">+(K140-K139)/K139</f>
        <v>1.9753858175424886E-3</v>
      </c>
      <c r="N140" s="29"/>
      <c r="O140" s="29"/>
      <c r="P140" s="29"/>
      <c r="Q140" s="376">
        <f t="shared" ref="Q140" si="66">+K140-K139</f>
        <v>1264</v>
      </c>
      <c r="R140" s="6"/>
      <c r="S140" s="7">
        <f>32645+15604+4418</f>
        <v>52667</v>
      </c>
      <c r="T140" s="6"/>
      <c r="U140" s="287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1">
        <f t="shared" si="15"/>
        <v>44040</v>
      </c>
      <c r="E141" s="285">
        <v>412878</v>
      </c>
      <c r="F141" s="7"/>
      <c r="G141" s="7">
        <v>180295</v>
      </c>
      <c r="H141" s="7"/>
      <c r="I141" s="7">
        <v>49077</v>
      </c>
      <c r="J141" s="288"/>
      <c r="K141" s="7">
        <f t="shared" ref="K141" si="68">SUM(E141:I141)</f>
        <v>642250</v>
      </c>
      <c r="L141" s="6"/>
      <c r="M141" s="482">
        <f t="shared" ref="M141" si="69">+(K141-K140)/K140</f>
        <v>1.7328535621760647E-3</v>
      </c>
      <c r="N141" s="29"/>
      <c r="O141" s="29"/>
      <c r="P141" s="29"/>
      <c r="Q141" s="376">
        <f t="shared" ref="Q141" si="70">+K141-K140</f>
        <v>1111</v>
      </c>
      <c r="R141" s="6"/>
      <c r="S141" s="7">
        <f>32653+15826+4423</f>
        <v>52902</v>
      </c>
      <c r="T141" s="6"/>
      <c r="U141" s="287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1">
        <f t="shared" si="15"/>
        <v>44041</v>
      </c>
      <c r="E142" s="285">
        <v>413593</v>
      </c>
      <c r="F142" s="7"/>
      <c r="G142" s="7">
        <v>180600</v>
      </c>
      <c r="H142" s="7"/>
      <c r="I142" s="7">
        <v>49540</v>
      </c>
      <c r="J142" s="288"/>
      <c r="K142" s="7">
        <f t="shared" ref="K142" si="72">SUM(E142:I142)</f>
        <v>643733</v>
      </c>
      <c r="L142" s="6"/>
      <c r="M142" s="482">
        <f t="shared" ref="M142" si="73">+(K142-K141)/K141</f>
        <v>2.3090696769170883E-3</v>
      </c>
      <c r="N142" s="29"/>
      <c r="O142" s="29"/>
      <c r="P142" s="29"/>
      <c r="Q142" s="376">
        <f t="shared" ref="Q142" si="74">+K142-K141</f>
        <v>1483</v>
      </c>
      <c r="R142" s="6"/>
      <c r="S142" s="7">
        <f>32658+15798+4425</f>
        <v>52881</v>
      </c>
      <c r="T142" s="6"/>
      <c r="U142" s="287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1">
        <f t="shared" si="15"/>
        <v>44042</v>
      </c>
      <c r="E143" s="285">
        <v>414370</v>
      </c>
      <c r="F143" s="7"/>
      <c r="G143" s="7">
        <v>180970</v>
      </c>
      <c r="H143" s="7"/>
      <c r="I143" s="7">
        <v>49670</v>
      </c>
      <c r="J143" s="288"/>
      <c r="K143" s="7">
        <f t="shared" ref="K143" si="76">SUM(E143:I143)</f>
        <v>645010</v>
      </c>
      <c r="L143" s="6"/>
      <c r="M143" s="482">
        <f t="shared" ref="M143" si="77">+(K143-K142)/K142</f>
        <v>1.9837417065771057E-3</v>
      </c>
      <c r="N143" s="29"/>
      <c r="O143" s="29"/>
      <c r="P143" s="29"/>
      <c r="Q143" s="376">
        <f t="shared" ref="Q143" si="78">+K143-K142</f>
        <v>1277</v>
      </c>
      <c r="R143" s="6"/>
      <c r="S143" s="7">
        <f>32683+15809+4431</f>
        <v>52923</v>
      </c>
      <c r="T143" s="6"/>
      <c r="U143" s="287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1">
        <f t="shared" si="15"/>
        <v>44043</v>
      </c>
      <c r="E144" s="285">
        <v>415014</v>
      </c>
      <c r="F144" s="7"/>
      <c r="G144" s="7">
        <v>181660</v>
      </c>
      <c r="H144" s="7"/>
      <c r="I144" s="7">
        <v>49810</v>
      </c>
      <c r="J144" s="288"/>
      <c r="K144" s="7">
        <f t="shared" ref="K144" si="80">SUM(E144:I144)</f>
        <v>646484</v>
      </c>
      <c r="L144" s="6"/>
      <c r="M144" s="482">
        <f t="shared" ref="M144" si="81">+(K144-K143)/K143</f>
        <v>2.285235887815693E-3</v>
      </c>
      <c r="N144" s="29"/>
      <c r="O144" s="29"/>
      <c r="P144" s="29"/>
      <c r="Q144" s="376">
        <f t="shared" ref="Q144" si="82">+K144-K143</f>
        <v>1474</v>
      </c>
      <c r="R144" s="6"/>
      <c r="S144" s="7">
        <f>32689+15819+4432</f>
        <v>52940</v>
      </c>
      <c r="T144" s="6"/>
      <c r="U144" s="287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1">
        <f t="shared" si="15"/>
        <v>44044</v>
      </c>
      <c r="E145" s="285">
        <v>415767</v>
      </c>
      <c r="F145" s="7"/>
      <c r="G145" s="7">
        <v>181754</v>
      </c>
      <c r="H145" s="7"/>
      <c r="I145" s="7">
        <v>49810</v>
      </c>
      <c r="J145" s="288"/>
      <c r="K145" s="7">
        <f t="shared" ref="K145" si="84">SUM(E145:I145)</f>
        <v>647331</v>
      </c>
      <c r="L145" s="6"/>
      <c r="M145" s="482">
        <f t="shared" ref="M145" si="85">+(K145-K144)/K144</f>
        <v>1.3101639019681849E-3</v>
      </c>
      <c r="N145" s="29"/>
      <c r="O145" s="29"/>
      <c r="P145" s="29"/>
      <c r="Q145" s="376">
        <f t="shared" ref="Q145" si="86">+K145-K144</f>
        <v>847</v>
      </c>
      <c r="R145" s="6"/>
      <c r="S145" s="7">
        <f>32689+15819+4432</f>
        <v>52940</v>
      </c>
      <c r="T145" s="6"/>
      <c r="U145" s="287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1">
        <f t="shared" si="15"/>
        <v>44045</v>
      </c>
      <c r="E146" s="285">
        <v>416298</v>
      </c>
      <c r="F146" s="7"/>
      <c r="G146" s="7">
        <v>182350</v>
      </c>
      <c r="H146" s="7"/>
      <c r="I146" s="7">
        <v>49810</v>
      </c>
      <c r="J146" s="288"/>
      <c r="K146" s="7">
        <f t="shared" ref="K146" si="88">SUM(E146:I146)</f>
        <v>648458</v>
      </c>
      <c r="L146" s="6"/>
      <c r="M146" s="482">
        <f t="shared" ref="M146" si="89">+(K146-K145)/K145</f>
        <v>1.7409949469436811E-3</v>
      </c>
      <c r="N146" s="29"/>
      <c r="O146" s="29"/>
      <c r="P146" s="29"/>
      <c r="Q146" s="376">
        <f t="shared" ref="Q146" si="90">+K146-K145</f>
        <v>1127</v>
      </c>
      <c r="R146" s="6"/>
      <c r="S146" s="7">
        <f>32689+15819+4432</f>
        <v>52940</v>
      </c>
      <c r="T146" s="6"/>
      <c r="U146" s="287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1">
        <f t="shared" si="15"/>
        <v>44046</v>
      </c>
      <c r="E147" s="285"/>
      <c r="F147" s="7"/>
      <c r="G147" s="7"/>
      <c r="H147" s="7"/>
      <c r="I147" s="7"/>
      <c r="J147" s="288"/>
      <c r="K147" s="7"/>
      <c r="L147" s="6"/>
      <c r="M147" s="482"/>
      <c r="N147" s="29"/>
      <c r="O147" s="29"/>
      <c r="P147" s="29"/>
      <c r="Q147" s="376"/>
      <c r="R147" s="6"/>
      <c r="S147" s="7"/>
      <c r="T147" s="6"/>
      <c r="U147" s="287"/>
      <c r="W147">
        <f t="shared" si="20"/>
        <v>137</v>
      </c>
      <c r="Y147" s="56"/>
    </row>
    <row r="148" spans="3:25" x14ac:dyDescent="0.3">
      <c r="C148" s="171">
        <f t="shared" si="15"/>
        <v>44047</v>
      </c>
      <c r="E148" s="285"/>
      <c r="F148" s="7"/>
      <c r="G148" s="7"/>
      <c r="H148" s="7"/>
      <c r="I148" s="7"/>
      <c r="J148" s="288"/>
      <c r="K148" s="7"/>
      <c r="L148" s="6"/>
      <c r="M148" s="482"/>
      <c r="N148" s="29"/>
      <c r="O148" s="29"/>
      <c r="P148" s="29"/>
      <c r="Q148" s="376"/>
      <c r="R148" s="6"/>
      <c r="S148" s="7"/>
      <c r="T148" s="6"/>
      <c r="U148" s="287"/>
      <c r="W148">
        <f t="shared" si="20"/>
        <v>138</v>
      </c>
      <c r="Y148" s="56"/>
    </row>
    <row r="149" spans="3:25" x14ac:dyDescent="0.3">
      <c r="C149" s="171">
        <f t="shared" si="15"/>
        <v>44048</v>
      </c>
      <c r="E149" s="285"/>
      <c r="F149" s="7"/>
      <c r="G149" s="7"/>
      <c r="H149" s="7"/>
      <c r="I149" s="7"/>
      <c r="J149" s="288"/>
      <c r="K149" s="7"/>
      <c r="L149" s="6"/>
      <c r="M149" s="482"/>
      <c r="N149" s="29"/>
      <c r="O149" s="29"/>
      <c r="P149" s="29"/>
      <c r="Q149" s="376"/>
      <c r="R149" s="6"/>
      <c r="S149" s="7"/>
      <c r="T149" s="6"/>
      <c r="U149" s="287"/>
      <c r="W149">
        <f t="shared" si="20"/>
        <v>139</v>
      </c>
      <c r="Y149" s="56"/>
    </row>
    <row r="150" spans="3:25" x14ac:dyDescent="0.3">
      <c r="C150" s="171">
        <f t="shared" si="15"/>
        <v>44049</v>
      </c>
      <c r="E150" s="285"/>
      <c r="F150" s="7"/>
      <c r="G150" s="7"/>
      <c r="H150" s="7"/>
      <c r="I150" s="7"/>
      <c r="J150" s="288"/>
      <c r="K150" s="7"/>
      <c r="L150" s="6"/>
      <c r="M150" s="475"/>
      <c r="N150" s="29"/>
      <c r="O150" s="29"/>
      <c r="P150" s="29"/>
      <c r="Q150" s="376"/>
      <c r="R150" s="6"/>
      <c r="S150" s="7"/>
      <c r="T150" s="6"/>
      <c r="U150" s="287"/>
      <c r="W150">
        <f t="shared" si="20"/>
        <v>140</v>
      </c>
      <c r="Y150" s="56"/>
    </row>
    <row r="151" spans="3:25" ht="15" thickBot="1" x14ac:dyDescent="0.35">
      <c r="C151" s="171">
        <f t="shared" si="15"/>
        <v>44050</v>
      </c>
      <c r="E151" s="289"/>
      <c r="F151" s="290"/>
      <c r="G151" s="290"/>
      <c r="H151" s="290"/>
      <c r="I151" s="290"/>
      <c r="J151" s="290"/>
      <c r="K151" s="290"/>
      <c r="L151" s="291"/>
      <c r="M151" s="292"/>
      <c r="N151" s="292"/>
      <c r="O151" s="292"/>
      <c r="P151" s="292"/>
      <c r="Q151" s="375"/>
      <c r="R151" s="291"/>
      <c r="S151" s="291"/>
      <c r="T151" s="291"/>
      <c r="U151" s="293"/>
      <c r="W151">
        <f t="shared" si="20"/>
        <v>141</v>
      </c>
      <c r="Y151" s="59"/>
    </row>
    <row r="152" spans="3:25" x14ac:dyDescent="0.3">
      <c r="E152" s="56"/>
      <c r="F152" s="1"/>
      <c r="G152" s="56"/>
      <c r="H152" s="56"/>
      <c r="I152" s="56"/>
      <c r="J152" s="1"/>
      <c r="K152" s="56"/>
      <c r="S152" s="56"/>
    </row>
    <row r="153" spans="3:25" x14ac:dyDescent="0.3">
      <c r="C153" s="180" t="s">
        <v>81</v>
      </c>
      <c r="E153" s="56">
        <f>+E146</f>
        <v>416298</v>
      </c>
      <c r="F153" s="56">
        <f>+F52</f>
        <v>0</v>
      </c>
      <c r="G153" s="56">
        <f t="shared" ref="G153:S153" si="92">+G146</f>
        <v>182350</v>
      </c>
      <c r="H153" s="56">
        <f t="shared" si="92"/>
        <v>0</v>
      </c>
      <c r="I153" s="56">
        <f t="shared" si="92"/>
        <v>49810</v>
      </c>
      <c r="J153" s="56">
        <f t="shared" si="92"/>
        <v>0</v>
      </c>
      <c r="K153" s="56">
        <f t="shared" si="92"/>
        <v>648458</v>
      </c>
      <c r="L153" s="56">
        <f t="shared" si="92"/>
        <v>0</v>
      </c>
      <c r="M153" s="56">
        <f t="shared" si="92"/>
        <v>1.7409949469436811E-3</v>
      </c>
      <c r="N153" s="56">
        <f t="shared" si="92"/>
        <v>0</v>
      </c>
      <c r="O153" s="56">
        <f t="shared" si="92"/>
        <v>0</v>
      </c>
      <c r="P153" s="56">
        <f t="shared" si="92"/>
        <v>0</v>
      </c>
      <c r="Q153" s="56">
        <f t="shared" si="92"/>
        <v>1127</v>
      </c>
      <c r="R153" s="56">
        <f t="shared" si="92"/>
        <v>0</v>
      </c>
      <c r="S153" s="56">
        <f t="shared" si="92"/>
        <v>52940</v>
      </c>
      <c r="T153" s="56">
        <f>+T60</f>
        <v>0</v>
      </c>
    </row>
    <row r="154" spans="3:25" x14ac:dyDescent="0.3">
      <c r="E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</row>
    <row r="155" spans="3:25" x14ac:dyDescent="0.3">
      <c r="E155" s="59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</row>
    <row r="156" spans="3:25" x14ac:dyDescent="0.3">
      <c r="C156" s="123"/>
      <c r="D156" s="124"/>
      <c r="E156" s="393"/>
      <c r="F156" s="10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  <row r="157" spans="3:25" x14ac:dyDescent="0.3">
      <c r="E157" s="56"/>
      <c r="K157" s="56"/>
      <c r="Q157" s="56"/>
    </row>
    <row r="158" spans="3:25" x14ac:dyDescent="0.3">
      <c r="Q158" s="56"/>
      <c r="S158" s="59"/>
    </row>
    <row r="161" spans="3:41" x14ac:dyDescent="0.3">
      <c r="AO161" s="1">
        <v>3797000</v>
      </c>
    </row>
    <row r="162" spans="3:41" x14ac:dyDescent="0.3">
      <c r="C162" s="1"/>
    </row>
    <row r="163" spans="3:41" x14ac:dyDescent="0.3">
      <c r="C163" s="1"/>
      <c r="AO163" s="1">
        <v>30000</v>
      </c>
    </row>
    <row r="164" spans="3:41" x14ac:dyDescent="0.3">
      <c r="C164" s="59"/>
    </row>
    <row r="165" spans="3:41" x14ac:dyDescent="0.3">
      <c r="AO165" s="278">
        <f>+AO163/AO161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34"/>
  <sheetViews>
    <sheetView topLeftCell="A67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52" t="s">
        <v>114</v>
      </c>
      <c r="U3" s="653"/>
      <c r="V3" s="653"/>
      <c r="W3" s="653"/>
      <c r="X3" s="653"/>
      <c r="Y3" s="653"/>
      <c r="Z3" s="653"/>
      <c r="AA3" s="653"/>
      <c r="AB3" s="653"/>
      <c r="AC3" s="653"/>
      <c r="AD3" s="654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0.1517030038291533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55" t="s">
        <v>104</v>
      </c>
      <c r="F15" s="655"/>
      <c r="G15" s="655"/>
      <c r="H15" s="655"/>
      <c r="I15" s="655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61" t="s">
        <v>46</v>
      </c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3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64" t="s">
        <v>75</v>
      </c>
      <c r="F19" s="664"/>
      <c r="G19" s="664"/>
      <c r="H19" s="664"/>
      <c r="I19" s="147" t="s">
        <v>74</v>
      </c>
      <c r="J19" s="148"/>
      <c r="K19" s="669" t="s">
        <v>72</v>
      </c>
      <c r="L19" s="669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Table'!$H$134</f>
        <v>4100875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Table'!Z151</f>
        <v>157691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18623</v>
      </c>
      <c r="J22" s="129"/>
      <c r="K22" s="140"/>
      <c r="L22" s="282">
        <v>18720</v>
      </c>
      <c r="M22" s="140"/>
      <c r="N22" s="160">
        <f>+(I22-L22)/I22</f>
        <v>-5.2086130054234013E-3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3924561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Table'!AO151</f>
        <v>2380217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65" t="s">
        <v>49</v>
      </c>
      <c r="E25" s="666"/>
      <c r="F25" s="666"/>
      <c r="G25" s="666"/>
      <c r="H25" s="666"/>
      <c r="I25" s="132">
        <f>+I23-I24</f>
        <v>1544344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2380217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65" t="s">
        <v>46</v>
      </c>
      <c r="E27" s="666"/>
      <c r="F27" s="666"/>
      <c r="G27" s="666"/>
      <c r="H27" s="666"/>
      <c r="I27" s="149">
        <f>+I25+I26</f>
        <v>3924561</v>
      </c>
      <c r="J27" s="129"/>
      <c r="K27" s="670">
        <v>3852964</v>
      </c>
      <c r="L27" s="670"/>
      <c r="M27" s="140"/>
      <c r="N27" s="150">
        <f>+I27-K27</f>
        <v>71597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67" t="s">
        <v>69</v>
      </c>
      <c r="F28" s="667"/>
      <c r="G28" s="667"/>
      <c r="H28" s="137"/>
      <c r="I28" s="275">
        <f>+I27/I32</f>
        <v>0.81552861204777516</v>
      </c>
      <c r="J28" s="140"/>
      <c r="K28" s="140"/>
      <c r="L28" s="140"/>
      <c r="M28" s="110"/>
      <c r="N28" s="507">
        <f>+N27/K27</f>
        <v>1.858231740550911E-2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46" t="s">
        <v>114</v>
      </c>
      <c r="F31" s="647"/>
      <c r="G31" s="647"/>
      <c r="H31" s="647"/>
      <c r="I31" s="647"/>
      <c r="J31" s="648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41">
        <f>+'Main Table'!H151</f>
        <v>4812291</v>
      </c>
      <c r="J32" s="641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42">
        <f>+I27</f>
        <v>3924561</v>
      </c>
      <c r="J34" s="643"/>
      <c r="K34" s="22"/>
      <c r="L34" s="25">
        <f>+I34/$I$32</f>
        <v>0.81552861204777516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49">
        <f>+I21</f>
        <v>157691</v>
      </c>
      <c r="J35" s="650"/>
      <c r="K35" s="22"/>
      <c r="L35" s="25">
        <f>+I35/$I$32</f>
        <v>3.276838412307153E-2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68" t="s">
        <v>114</v>
      </c>
      <c r="F36" s="668"/>
      <c r="G36" s="668"/>
      <c r="H36" s="276"/>
      <c r="I36" s="644">
        <f>+I32-I34-I35</f>
        <v>730039</v>
      </c>
      <c r="J36" s="645"/>
      <c r="K36" s="303"/>
      <c r="L36" s="277">
        <f>+I36/$I$32</f>
        <v>0.1517030038291533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56" t="s">
        <v>127</v>
      </c>
      <c r="E41" s="657"/>
      <c r="F41" s="657"/>
      <c r="G41" s="657"/>
      <c r="H41" s="657"/>
      <c r="I41" s="657"/>
      <c r="J41" s="657"/>
      <c r="K41" s="657"/>
      <c r="L41" s="657"/>
      <c r="M41" s="657"/>
      <c r="N41" s="657"/>
      <c r="O41" s="658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59" t="s">
        <v>75</v>
      </c>
      <c r="F42" s="659"/>
      <c r="G42" s="659"/>
      <c r="H42" s="659"/>
      <c r="I42" s="304" t="s">
        <v>74</v>
      </c>
      <c r="J42" s="305"/>
      <c r="K42" s="660" t="s">
        <v>37</v>
      </c>
      <c r="L42" s="660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Table'!AO169</f>
        <v>1970617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625" t="s">
        <v>49</v>
      </c>
      <c r="E48" s="626"/>
      <c r="F48" s="626"/>
      <c r="G48" s="626"/>
      <c r="H48" s="626"/>
      <c r="I48" s="313">
        <f>+I46-I47</f>
        <v>-1948445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1970617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625" t="s">
        <v>46</v>
      </c>
      <c r="E50" s="626"/>
      <c r="F50" s="626"/>
      <c r="G50" s="626"/>
      <c r="H50" s="626"/>
      <c r="I50" s="384">
        <f>+I48+I49</f>
        <v>22172</v>
      </c>
      <c r="J50" s="380"/>
      <c r="K50" s="627">
        <v>30167</v>
      </c>
      <c r="L50" s="627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628" t="s">
        <v>69</v>
      </c>
      <c r="F51" s="628"/>
      <c r="G51" s="628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102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629" t="s">
        <v>128</v>
      </c>
      <c r="F54" s="630"/>
      <c r="G54" s="630"/>
      <c r="H54" s="630"/>
      <c r="I54" s="630"/>
      <c r="J54" s="631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632">
        <f>+K50</f>
        <v>30167</v>
      </c>
      <c r="J55" s="632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633">
        <f>+I50</f>
        <v>22172</v>
      </c>
      <c r="J57" s="634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635">
        <f>+I44</f>
        <v>1836</v>
      </c>
      <c r="J58" s="636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37" t="s">
        <v>114</v>
      </c>
      <c r="F59" s="637"/>
      <c r="G59" s="637"/>
      <c r="H59" s="311"/>
      <c r="I59" s="638">
        <f>+I55-I57-I58</f>
        <v>6159</v>
      </c>
      <c r="J59" s="639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40">
        <f>+I45</f>
        <v>1397</v>
      </c>
      <c r="J60" s="640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38">
        <f>+I59-I60</f>
        <v>4762</v>
      </c>
      <c r="J61" s="638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629" t="s">
        <v>117</v>
      </c>
      <c r="F64" s="630"/>
      <c r="G64" s="630"/>
      <c r="H64" s="630"/>
      <c r="I64" s="630"/>
      <c r="J64" s="630"/>
      <c r="K64" s="630"/>
      <c r="L64" s="630"/>
      <c r="M64" s="631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:AA81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624">
        <v>11690000</v>
      </c>
      <c r="J65" s="624"/>
      <c r="K65" s="624"/>
      <c r="L65" s="624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si="5"/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si="5"/>
        <v>-18187</v>
      </c>
      <c r="AB66" s="6"/>
      <c r="AC66" s="302"/>
      <c r="AD66" s="295"/>
    </row>
    <row r="67" spans="4:30" x14ac:dyDescent="0.3">
      <c r="E67" s="366"/>
      <c r="F67" s="651" t="s">
        <v>108</v>
      </c>
      <c r="G67" s="651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si="5"/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si="5"/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si="5"/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si="5"/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si="5"/>
        <v>-23408</v>
      </c>
      <c r="AB71" s="6"/>
      <c r="AC71" s="302"/>
      <c r="AD71" s="295"/>
    </row>
    <row r="72" spans="4:30" ht="15" thickBot="1" x14ac:dyDescent="0.35">
      <c r="D72" s="599" t="s">
        <v>131</v>
      </c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1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si="5"/>
        <v>-8492</v>
      </c>
      <c r="AB72" s="6"/>
      <c r="AC72" s="302"/>
      <c r="AD72" s="295"/>
    </row>
    <row r="73" spans="4:30" ht="15" thickBot="1" x14ac:dyDescent="0.35">
      <c r="D73" s="398"/>
      <c r="E73" s="602" t="s">
        <v>75</v>
      </c>
      <c r="F73" s="602"/>
      <c r="G73" s="602"/>
      <c r="H73" s="602"/>
      <c r="I73" s="399" t="s">
        <v>74</v>
      </c>
      <c r="J73" s="400"/>
      <c r="K73" s="603" t="s">
        <v>37</v>
      </c>
      <c r="L73" s="603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si="5"/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si="5"/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si="5"/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si="5"/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si="5"/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Table'!AO202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si="5"/>
        <v>-17027</v>
      </c>
      <c r="AB78" s="6"/>
      <c r="AC78" s="302"/>
      <c r="AD78" s="295"/>
    </row>
    <row r="79" spans="4:30" x14ac:dyDescent="0.3">
      <c r="D79" s="604" t="s">
        <v>49</v>
      </c>
      <c r="E79" s="605"/>
      <c r="F79" s="605"/>
      <c r="G79" s="605"/>
      <c r="H79" s="605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v>699823</v>
      </c>
      <c r="X79" s="6"/>
      <c r="Y79" s="44">
        <v>0.20499999999999999</v>
      </c>
      <c r="Z79" s="6"/>
      <c r="AA79" s="298">
        <f t="shared" si="5"/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>
        <v>716467</v>
      </c>
      <c r="X80" s="6"/>
      <c r="Y80" s="44">
        <v>0.20599999999999999</v>
      </c>
      <c r="Z80" s="6"/>
      <c r="AA80" s="298">
        <f t="shared" si="5"/>
        <v>-16644</v>
      </c>
      <c r="AB80" s="6"/>
      <c r="AC80" s="302"/>
      <c r="AD80" s="295"/>
    </row>
    <row r="81" spans="3:30" ht="15" thickBot="1" x14ac:dyDescent="0.35">
      <c r="D81" s="604" t="s">
        <v>46</v>
      </c>
      <c r="E81" s="605"/>
      <c r="F81" s="605"/>
      <c r="G81" s="605"/>
      <c r="H81" s="605"/>
      <c r="I81" s="414">
        <f>+I79+I80</f>
        <v>36684</v>
      </c>
      <c r="J81" s="407"/>
      <c r="K81" s="607">
        <v>48675</v>
      </c>
      <c r="L81" s="607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>
        <v>720448</v>
      </c>
      <c r="X81" s="6"/>
      <c r="Y81" s="44">
        <v>0.20300000000000001</v>
      </c>
      <c r="Z81" s="6"/>
      <c r="AA81" s="298">
        <f t="shared" si="5"/>
        <v>-3981</v>
      </c>
      <c r="AB81" s="6"/>
      <c r="AC81" s="302"/>
      <c r="AD81" s="295"/>
    </row>
    <row r="82" spans="3:30" ht="15.6" thickTop="1" thickBot="1" x14ac:dyDescent="0.35">
      <c r="D82" s="416"/>
      <c r="E82" s="606" t="s">
        <v>69</v>
      </c>
      <c r="F82" s="606"/>
      <c r="G82" s="606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>
        <v>734229</v>
      </c>
      <c r="X82" s="6"/>
      <c r="Y82" s="44">
        <v>0.20300000000000001</v>
      </c>
      <c r="Z82" s="6"/>
      <c r="AA82" s="298">
        <f t="shared" ref="AA82" si="6">+W81-W82</f>
        <v>-13781</v>
      </c>
      <c r="AB82" s="6"/>
      <c r="AC82" s="302"/>
      <c r="AD82" s="295"/>
    </row>
    <row r="83" spans="3:30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>
        <v>761026</v>
      </c>
      <c r="X83" s="6"/>
      <c r="Y83" s="44">
        <v>0.20599999999999999</v>
      </c>
      <c r="Z83" s="6"/>
      <c r="AA83" s="298">
        <f t="shared" ref="AA83" si="7">+W82-W83</f>
        <v>-26797</v>
      </c>
      <c r="AB83" s="6"/>
      <c r="AC83" s="302"/>
      <c r="AD83" s="295"/>
    </row>
    <row r="84" spans="3:30" x14ac:dyDescent="0.3">
      <c r="C84" s="61"/>
      <c r="D84" s="90"/>
      <c r="E84" s="152"/>
      <c r="F84" s="152"/>
      <c r="G84" s="152"/>
      <c r="H84" s="152"/>
      <c r="I84" s="162"/>
      <c r="J84" s="532"/>
      <c r="K84" s="533"/>
      <c r="L84" s="533"/>
      <c r="M84" s="533"/>
      <c r="N84" s="533"/>
      <c r="O84" s="110"/>
      <c r="P84" s="61"/>
      <c r="T84" s="294"/>
      <c r="U84" s="296">
        <f t="shared" si="3"/>
        <v>44029</v>
      </c>
      <c r="V84" s="6"/>
      <c r="W84" s="297">
        <v>791691</v>
      </c>
      <c r="X84" s="6"/>
      <c r="Y84" s="44">
        <v>0.21</v>
      </c>
      <c r="Z84" s="6"/>
      <c r="AA84" s="298">
        <f t="shared" ref="AA84" si="8">+W83-W84</f>
        <v>-30665</v>
      </c>
      <c r="AB84" s="6"/>
      <c r="AC84" s="302"/>
      <c r="AD84" s="295"/>
    </row>
    <row r="85" spans="3:30" x14ac:dyDescent="0.3">
      <c r="C85" s="61"/>
      <c r="D85" s="90"/>
      <c r="E85" s="152"/>
      <c r="F85" s="152"/>
      <c r="G85" s="152"/>
      <c r="H85" s="152"/>
      <c r="I85" s="162"/>
      <c r="J85" s="532"/>
      <c r="K85" s="533"/>
      <c r="L85" s="533"/>
      <c r="M85" s="533"/>
      <c r="N85" s="533"/>
      <c r="O85" s="110"/>
      <c r="P85" s="61"/>
      <c r="T85" s="294"/>
      <c r="U85" s="296">
        <f t="shared" si="3"/>
        <v>44030</v>
      </c>
      <c r="V85" s="6"/>
      <c r="W85" s="297">
        <v>801338</v>
      </c>
      <c r="X85" s="6"/>
      <c r="Y85" s="44">
        <v>0.20899999999999999</v>
      </c>
      <c r="Z85" s="6"/>
      <c r="AA85" s="298">
        <f t="shared" ref="AA85" si="9">+W84-W85</f>
        <v>-9647</v>
      </c>
      <c r="AB85" s="6"/>
      <c r="AC85" s="302"/>
      <c r="AD85" s="295"/>
    </row>
    <row r="86" spans="3:30" x14ac:dyDescent="0.3">
      <c r="C86" s="61"/>
      <c r="D86" s="90"/>
      <c r="E86" s="152"/>
      <c r="F86" s="152"/>
      <c r="G86" s="152"/>
      <c r="H86" s="152"/>
      <c r="I86" s="162"/>
      <c r="J86" s="532"/>
      <c r="K86" s="533"/>
      <c r="L86" s="533"/>
      <c r="M86" s="533"/>
      <c r="N86" s="533"/>
      <c r="O86" s="110"/>
      <c r="P86" s="61"/>
      <c r="T86" s="294"/>
      <c r="U86" s="296">
        <f t="shared" si="3"/>
        <v>44031</v>
      </c>
      <c r="V86" s="6"/>
      <c r="W86" s="297">
        <v>811067</v>
      </c>
      <c r="X86" s="6"/>
      <c r="Y86" s="44">
        <v>0.20799999999999999</v>
      </c>
      <c r="Z86" s="6"/>
      <c r="AA86" s="298">
        <f t="shared" ref="AA86" si="10">+W85-W86</f>
        <v>-9729</v>
      </c>
      <c r="AB86" s="6"/>
      <c r="AC86" s="302"/>
      <c r="AD86" s="295"/>
    </row>
    <row r="87" spans="3:30" x14ac:dyDescent="0.3">
      <c r="C87" s="61"/>
      <c r="D87" s="90"/>
      <c r="E87" s="152"/>
      <c r="F87" s="152"/>
      <c r="G87" s="152"/>
      <c r="H87" s="152"/>
      <c r="I87" s="162"/>
      <c r="J87" s="532"/>
      <c r="K87" s="533"/>
      <c r="L87" s="533"/>
      <c r="M87" s="533"/>
      <c r="N87" s="533"/>
      <c r="O87" s="110"/>
      <c r="P87" s="61"/>
      <c r="T87" s="294"/>
      <c r="U87" s="296">
        <f t="shared" si="3"/>
        <v>44032</v>
      </c>
      <c r="V87" s="6"/>
      <c r="W87" s="297">
        <v>792871</v>
      </c>
      <c r="X87" s="6"/>
      <c r="Y87" s="44">
        <v>0.2</v>
      </c>
      <c r="Z87" s="6"/>
      <c r="AA87" s="298">
        <f t="shared" ref="AA87" si="11">+W86-W87</f>
        <v>18196</v>
      </c>
      <c r="AB87" s="6"/>
      <c r="AC87" s="302"/>
      <c r="AD87" s="295"/>
    </row>
    <row r="88" spans="3:30" x14ac:dyDescent="0.3">
      <c r="C88" s="61"/>
      <c r="D88" s="90"/>
      <c r="E88" s="152"/>
      <c r="F88" s="152"/>
      <c r="G88" s="152"/>
      <c r="H88" s="152"/>
      <c r="I88" s="162"/>
      <c r="J88" s="532"/>
      <c r="K88" s="533"/>
      <c r="L88" s="533"/>
      <c r="M88" s="533"/>
      <c r="N88" s="533"/>
      <c r="O88" s="110"/>
      <c r="P88" s="61"/>
      <c r="T88" s="294"/>
      <c r="U88" s="296">
        <f t="shared" si="3"/>
        <v>44033</v>
      </c>
      <c r="V88" s="6"/>
      <c r="W88" s="297">
        <v>747251</v>
      </c>
      <c r="X88" s="6"/>
      <c r="Y88" s="44">
        <v>0.185</v>
      </c>
      <c r="Z88" s="6"/>
      <c r="AA88" s="298">
        <f t="shared" ref="AA88" si="12">+W87-W88</f>
        <v>45620</v>
      </c>
      <c r="AB88" s="6"/>
      <c r="AC88" s="302"/>
      <c r="AD88" s="295"/>
    </row>
    <row r="89" spans="3:30" x14ac:dyDescent="0.3">
      <c r="C89" s="61"/>
      <c r="D89" s="90"/>
      <c r="E89" s="152"/>
      <c r="F89" s="152"/>
      <c r="G89" s="152"/>
      <c r="H89" s="152"/>
      <c r="I89" s="162"/>
      <c r="J89" s="532"/>
      <c r="K89" s="533"/>
      <c r="L89" s="533"/>
      <c r="M89" s="533"/>
      <c r="N89" s="533"/>
      <c r="O89" s="110"/>
      <c r="P89" s="61"/>
      <c r="T89" s="294"/>
      <c r="U89" s="296">
        <f t="shared" si="3"/>
        <v>44034</v>
      </c>
      <c r="V89" s="6"/>
      <c r="W89" s="297">
        <v>757520</v>
      </c>
      <c r="X89" s="6"/>
      <c r="Y89" s="44">
        <v>0.185</v>
      </c>
      <c r="Z89" s="6"/>
      <c r="AA89" s="298">
        <f t="shared" ref="AA89" si="13">+W88-W89</f>
        <v>-10269</v>
      </c>
      <c r="AB89" s="6"/>
      <c r="AC89" s="302"/>
      <c r="AD89" s="295"/>
    </row>
    <row r="90" spans="3:30" x14ac:dyDescent="0.3">
      <c r="C90" s="61"/>
      <c r="D90" s="90"/>
      <c r="E90" s="152"/>
      <c r="F90" s="152"/>
      <c r="G90" s="152"/>
      <c r="H90" s="152"/>
      <c r="I90" s="162"/>
      <c r="J90" s="532"/>
      <c r="K90" s="533"/>
      <c r="L90" s="533"/>
      <c r="M90" s="533"/>
      <c r="N90" s="533"/>
      <c r="O90" s="110"/>
      <c r="P90" s="61"/>
      <c r="T90" s="294"/>
      <c r="U90" s="296">
        <f t="shared" si="3"/>
        <v>44035</v>
      </c>
      <c r="V90" s="6"/>
      <c r="W90" s="297">
        <v>770711</v>
      </c>
      <c r="X90" s="6"/>
      <c r="Y90" s="44">
        <v>0.185</v>
      </c>
      <c r="Z90" s="6"/>
      <c r="AA90" s="298">
        <f t="shared" ref="AA90" si="14">+W89-W90</f>
        <v>-13191</v>
      </c>
      <c r="AB90" s="6"/>
      <c r="AC90" s="302"/>
      <c r="AD90" s="295"/>
    </row>
    <row r="91" spans="3:30" x14ac:dyDescent="0.3">
      <c r="C91" s="61"/>
      <c r="D91" s="90"/>
      <c r="E91" s="152"/>
      <c r="F91" s="152"/>
      <c r="G91" s="152"/>
      <c r="H91" s="152"/>
      <c r="I91" s="162"/>
      <c r="J91" s="532"/>
      <c r="K91" s="533"/>
      <c r="L91" s="533"/>
      <c r="M91" s="533"/>
      <c r="N91" s="533"/>
      <c r="O91" s="110"/>
      <c r="P91" s="61"/>
      <c r="T91" s="294"/>
      <c r="U91" s="296">
        <f t="shared" si="3"/>
        <v>44036</v>
      </c>
      <c r="V91" s="6"/>
      <c r="W91" s="297">
        <v>783144</v>
      </c>
      <c r="X91" s="6"/>
      <c r="Y91" s="44">
        <v>0.184</v>
      </c>
      <c r="Z91" s="6"/>
      <c r="AA91" s="298">
        <f t="shared" ref="AA91" si="15">+W90-W91</f>
        <v>-12433</v>
      </c>
      <c r="AB91" s="6"/>
      <c r="AC91" s="302"/>
      <c r="AD91" s="295"/>
    </row>
    <row r="92" spans="3:30" x14ac:dyDescent="0.3">
      <c r="O92" s="110"/>
      <c r="T92" s="294"/>
      <c r="U92" s="296">
        <f t="shared" si="3"/>
        <v>44037</v>
      </c>
      <c r="V92" s="6"/>
      <c r="W92" s="297">
        <v>784395</v>
      </c>
      <c r="X92" s="6"/>
      <c r="Y92" s="44">
        <v>0.182</v>
      </c>
      <c r="Z92" s="6"/>
      <c r="AA92" s="298">
        <f t="shared" ref="AA92" si="16">+W91-W92</f>
        <v>-1251</v>
      </c>
      <c r="AB92" s="6"/>
      <c r="AC92" s="302"/>
      <c r="AD92" s="295"/>
    </row>
    <row r="93" spans="3:30" x14ac:dyDescent="0.3">
      <c r="O93" s="110"/>
      <c r="T93" s="294"/>
      <c r="U93" s="296">
        <f t="shared" si="3"/>
        <v>44038</v>
      </c>
      <c r="V93" s="6"/>
      <c r="W93" s="297">
        <v>768522</v>
      </c>
      <c r="X93" s="6"/>
      <c r="Y93" s="44">
        <v>0.17599999999999999</v>
      </c>
      <c r="Z93" s="6"/>
      <c r="AA93" s="298">
        <f t="shared" ref="AA93" si="17">+W92-W93</f>
        <v>15873</v>
      </c>
      <c r="AB93" s="6"/>
      <c r="AC93" s="302"/>
      <c r="AD93" s="295"/>
    </row>
    <row r="94" spans="3:30" x14ac:dyDescent="0.3">
      <c r="O94" s="110"/>
      <c r="T94" s="294"/>
      <c r="U94" s="296">
        <f t="shared" si="3"/>
        <v>44039</v>
      </c>
      <c r="V94" s="6"/>
      <c r="W94" s="297">
        <v>757532</v>
      </c>
      <c r="X94" s="6"/>
      <c r="Y94" s="44">
        <v>0.17100000000000001</v>
      </c>
      <c r="Z94" s="6"/>
      <c r="AA94" s="298">
        <f t="shared" ref="AA94" si="18">+W93-W94</f>
        <v>10990</v>
      </c>
      <c r="AB94" s="6"/>
      <c r="AC94" s="302"/>
      <c r="AD94" s="295"/>
    </row>
    <row r="95" spans="3:30" x14ac:dyDescent="0.3">
      <c r="O95" s="110"/>
      <c r="T95" s="294"/>
      <c r="U95" s="296">
        <f t="shared" si="3"/>
        <v>44040</v>
      </c>
      <c r="V95" s="6"/>
      <c r="W95" s="297">
        <v>747119</v>
      </c>
      <c r="X95" s="6"/>
      <c r="Y95" s="44">
        <v>0.16600000000000001</v>
      </c>
      <c r="Z95" s="6"/>
      <c r="AA95" s="298">
        <f t="shared" ref="AA95" si="19">+W94-W95</f>
        <v>10413</v>
      </c>
      <c r="AB95" s="6"/>
      <c r="AC95" s="302"/>
      <c r="AD95" s="295"/>
    </row>
    <row r="96" spans="3:30" x14ac:dyDescent="0.3">
      <c r="O96" s="110"/>
      <c r="T96" s="294"/>
      <c r="U96" s="296">
        <f t="shared" si="3"/>
        <v>44041</v>
      </c>
      <c r="V96" s="6"/>
      <c r="W96" s="297">
        <v>750781</v>
      </c>
      <c r="X96" s="6"/>
      <c r="Y96" s="44">
        <v>0.16400000000000001</v>
      </c>
      <c r="Z96" s="6"/>
      <c r="AA96" s="298">
        <f t="shared" ref="AA96" si="20">+W95-W96</f>
        <v>-3662</v>
      </c>
      <c r="AB96" s="6"/>
      <c r="AC96" s="302"/>
      <c r="AD96" s="295"/>
    </row>
    <row r="97" spans="5:36" x14ac:dyDescent="0.3">
      <c r="O97" s="110"/>
      <c r="T97" s="294"/>
      <c r="U97" s="296">
        <f t="shared" si="3"/>
        <v>44042</v>
      </c>
      <c r="V97" s="6"/>
      <c r="W97" s="297">
        <v>753862</v>
      </c>
      <c r="X97" s="6"/>
      <c r="Y97" s="44">
        <v>0.16300000000000001</v>
      </c>
      <c r="Z97" s="6"/>
      <c r="AA97" s="298">
        <f t="shared" ref="AA97" si="21">+W96-W97</f>
        <v>-3081</v>
      </c>
      <c r="AB97" s="6"/>
      <c r="AC97" s="302"/>
      <c r="AD97" s="295"/>
    </row>
    <row r="98" spans="5:36" x14ac:dyDescent="0.3">
      <c r="O98" s="110"/>
      <c r="T98" s="294"/>
      <c r="U98" s="296">
        <f t="shared" si="3"/>
        <v>44043</v>
      </c>
      <c r="V98" s="6"/>
      <c r="W98" s="297">
        <v>761970</v>
      </c>
      <c r="X98" s="6"/>
      <c r="Y98" s="44">
        <v>0.16200000000000001</v>
      </c>
      <c r="Z98" s="6"/>
      <c r="AA98" s="298">
        <f t="shared" ref="AA98" si="22">+W97-W98</f>
        <v>-8108</v>
      </c>
      <c r="AB98" s="6"/>
      <c r="AC98" s="302"/>
      <c r="AD98" s="295"/>
    </row>
    <row r="99" spans="5:36" x14ac:dyDescent="0.3">
      <c r="O99" s="110"/>
      <c r="T99" s="294"/>
      <c r="U99" s="296">
        <f t="shared" si="3"/>
        <v>44044</v>
      </c>
      <c r="V99" s="6"/>
      <c r="W99" s="297">
        <v>753065</v>
      </c>
      <c r="X99" s="6"/>
      <c r="Y99" s="44">
        <v>0.158</v>
      </c>
      <c r="Z99" s="6"/>
      <c r="AA99" s="298">
        <f t="shared" ref="AA99" si="23">+W98-W99</f>
        <v>8905</v>
      </c>
      <c r="AB99" s="6"/>
      <c r="AC99" s="302"/>
      <c r="AD99" s="295"/>
    </row>
    <row r="100" spans="5:36" x14ac:dyDescent="0.3">
      <c r="O100" s="110"/>
      <c r="T100" s="294"/>
      <c r="U100" s="296">
        <f t="shared" si="3"/>
        <v>44045</v>
      </c>
      <c r="V100" s="6"/>
      <c r="W100" s="297">
        <f>+I$36</f>
        <v>730039</v>
      </c>
      <c r="X100" s="6"/>
      <c r="Y100" s="44">
        <f>+L$36</f>
        <v>0.1517030038291533</v>
      </c>
      <c r="Z100" s="6"/>
      <c r="AA100" s="298">
        <f t="shared" ref="AA100" si="24">+W99-W100</f>
        <v>23026</v>
      </c>
      <c r="AB100" s="6"/>
      <c r="AC100" s="302"/>
      <c r="AD100" s="295"/>
    </row>
    <row r="101" spans="5:36" x14ac:dyDescent="0.3">
      <c r="O101" s="110"/>
      <c r="T101" s="294"/>
      <c r="U101" s="296">
        <f t="shared" si="3"/>
        <v>44046</v>
      </c>
      <c r="V101" s="6"/>
      <c r="W101" s="297"/>
      <c r="X101" s="6"/>
      <c r="Y101" s="44"/>
      <c r="Z101" s="6"/>
      <c r="AA101" s="298"/>
      <c r="AB101" s="6"/>
      <c r="AC101" s="302"/>
      <c r="AD101" s="295"/>
    </row>
    <row r="102" spans="5:36" ht="15" thickBot="1" x14ac:dyDescent="0.35">
      <c r="O102" s="110"/>
      <c r="T102" s="299"/>
      <c r="U102" s="394">
        <f t="shared" si="3"/>
        <v>44047</v>
      </c>
      <c r="V102" s="291"/>
      <c r="W102" s="395"/>
      <c r="X102" s="291"/>
      <c r="Y102" s="300"/>
      <c r="Z102" s="291"/>
      <c r="AA102" s="396"/>
      <c r="AB102" s="291"/>
      <c r="AC102" s="397"/>
      <c r="AD102" s="301"/>
    </row>
    <row r="103" spans="5:36" x14ac:dyDescent="0.3">
      <c r="O103" s="110"/>
    </row>
    <row r="104" spans="5:36" x14ac:dyDescent="0.3">
      <c r="O104" s="110"/>
      <c r="P104" s="57">
        <f>+I122/I109</f>
        <v>4.5847474526762295E-4</v>
      </c>
      <c r="Q104" s="57"/>
      <c r="R104" s="57"/>
    </row>
    <row r="105" spans="5:36" x14ac:dyDescent="0.3">
      <c r="O105" s="110"/>
    </row>
    <row r="106" spans="5:36" ht="15" thickBot="1" x14ac:dyDescent="0.35">
      <c r="O106" s="110"/>
    </row>
    <row r="107" spans="5:36" ht="15.6" thickTop="1" thickBot="1" x14ac:dyDescent="0.35">
      <c r="Q107" s="485"/>
      <c r="R107" s="486"/>
      <c r="S107" s="486"/>
      <c r="T107" s="486"/>
      <c r="U107" s="486"/>
      <c r="V107" s="486"/>
      <c r="W107" s="486"/>
      <c r="X107" s="486"/>
      <c r="Y107" s="486"/>
      <c r="Z107" s="486"/>
      <c r="AA107" s="486"/>
      <c r="AB107" s="487"/>
    </row>
    <row r="108" spans="5:36" ht="15" thickBot="1" x14ac:dyDescent="0.35">
      <c r="E108" s="611" t="s">
        <v>119</v>
      </c>
      <c r="F108" s="612"/>
      <c r="G108" s="612"/>
      <c r="H108" s="612"/>
      <c r="I108" s="612"/>
      <c r="J108" s="612"/>
      <c r="K108" s="612"/>
      <c r="L108" s="612"/>
      <c r="M108" s="613"/>
      <c r="Q108" s="488"/>
      <c r="R108" s="6"/>
      <c r="S108" s="6"/>
      <c r="T108" s="6"/>
      <c r="U108" s="5" t="s">
        <v>146</v>
      </c>
      <c r="V108" s="5"/>
      <c r="W108" s="5"/>
      <c r="X108" s="5"/>
      <c r="Y108" s="5"/>
      <c r="Z108" s="5"/>
      <c r="AA108" s="5" t="s">
        <v>30</v>
      </c>
      <c r="AB108" s="489"/>
    </row>
    <row r="109" spans="5:36" x14ac:dyDescent="0.3">
      <c r="E109" s="439"/>
      <c r="F109" s="440" t="s">
        <v>120</v>
      </c>
      <c r="G109" s="440"/>
      <c r="H109" s="440"/>
      <c r="I109" s="614">
        <v>21477737</v>
      </c>
      <c r="J109" s="614"/>
      <c r="K109" s="614"/>
      <c r="L109" s="614"/>
      <c r="M109" s="441"/>
      <c r="Q109" s="488"/>
      <c r="R109" s="481" t="s">
        <v>148</v>
      </c>
      <c r="S109" s="6"/>
      <c r="T109" s="6"/>
      <c r="U109" s="481" t="s">
        <v>147</v>
      </c>
      <c r="V109" s="5"/>
      <c r="W109" s="481" t="s">
        <v>20</v>
      </c>
      <c r="X109" s="5"/>
      <c r="Y109" s="481" t="s">
        <v>4</v>
      </c>
      <c r="Z109" s="5"/>
      <c r="AA109" s="490" t="s">
        <v>145</v>
      </c>
      <c r="AB109" s="489"/>
    </row>
    <row r="110" spans="5:36" x14ac:dyDescent="0.3">
      <c r="E110" s="439"/>
      <c r="F110" s="440" t="s">
        <v>110</v>
      </c>
      <c r="G110" s="440"/>
      <c r="H110" s="440"/>
      <c r="I110" s="440"/>
      <c r="J110" s="440"/>
      <c r="K110" s="440"/>
      <c r="L110" s="442">
        <f>+I122/I109</f>
        <v>4.5847474526762295E-4</v>
      </c>
      <c r="M110" s="441"/>
      <c r="Q110" s="488"/>
      <c r="R110" s="6" t="s">
        <v>135</v>
      </c>
      <c r="S110" s="6"/>
      <c r="T110" s="6"/>
      <c r="U110" s="7">
        <v>2003</v>
      </c>
      <c r="V110" s="6"/>
      <c r="W110" s="7">
        <v>389666</v>
      </c>
      <c r="X110" s="6"/>
      <c r="Y110" s="7">
        <v>31257</v>
      </c>
      <c r="Z110" s="6"/>
      <c r="AA110" s="297">
        <f>+AJ110</f>
        <v>19500</v>
      </c>
      <c r="AB110" s="489"/>
      <c r="AJ110" s="1">
        <v>19500</v>
      </c>
    </row>
    <row r="111" spans="5:36" x14ac:dyDescent="0.3">
      <c r="E111" s="439"/>
      <c r="F111" s="615" t="s">
        <v>108</v>
      </c>
      <c r="G111" s="615"/>
      <c r="H111" s="440"/>
      <c r="I111" s="440"/>
      <c r="J111" s="440"/>
      <c r="K111" s="440"/>
      <c r="L111" s="443">
        <f>+I122/(I109/100000)</f>
        <v>45.847474526762298</v>
      </c>
      <c r="M111" s="441"/>
      <c r="Q111" s="488"/>
      <c r="R111" s="6" t="s">
        <v>136</v>
      </c>
      <c r="S111" s="6"/>
      <c r="T111" s="6"/>
      <c r="U111" s="7">
        <v>1913</v>
      </c>
      <c r="V111" s="6"/>
      <c r="W111" s="7">
        <v>169892</v>
      </c>
      <c r="X111" s="6"/>
      <c r="Y111" s="7">
        <v>13076</v>
      </c>
      <c r="Z111" s="6"/>
      <c r="AA111" s="297">
        <f t="shared" ref="AA111:AA119" si="25">+AJ111</f>
        <v>8900</v>
      </c>
      <c r="AB111" s="489"/>
      <c r="AJ111" s="1">
        <v>8900</v>
      </c>
    </row>
    <row r="112" spans="5:36" x14ac:dyDescent="0.3">
      <c r="E112" s="439"/>
      <c r="F112" s="444"/>
      <c r="G112" s="444"/>
      <c r="H112" s="440"/>
      <c r="I112" s="440"/>
      <c r="J112" s="440"/>
      <c r="K112" s="440"/>
      <c r="L112" s="443"/>
      <c r="M112" s="441"/>
      <c r="Q112" s="488"/>
      <c r="R112" s="6" t="s">
        <v>137</v>
      </c>
      <c r="S112" s="6"/>
      <c r="T112" s="6"/>
      <c r="U112" s="7">
        <v>1568</v>
      </c>
      <c r="V112" s="6"/>
      <c r="W112" s="7">
        <v>16606</v>
      </c>
      <c r="X112" s="6"/>
      <c r="Y112" s="7">
        <v>912</v>
      </c>
      <c r="Z112" s="6"/>
      <c r="AA112" s="297">
        <f t="shared" si="25"/>
        <v>1100</v>
      </c>
      <c r="AB112" s="489"/>
      <c r="AJ112" s="1">
        <v>1100</v>
      </c>
    </row>
    <row r="113" spans="4:36" x14ac:dyDescent="0.3">
      <c r="E113" s="439"/>
      <c r="F113" s="444" t="s">
        <v>121</v>
      </c>
      <c r="G113" s="444"/>
      <c r="H113" s="615" t="s">
        <v>122</v>
      </c>
      <c r="I113" s="615"/>
      <c r="J113" s="440"/>
      <c r="K113" s="440"/>
      <c r="L113" s="443"/>
      <c r="M113" s="441"/>
      <c r="Q113" s="488"/>
      <c r="R113" s="6" t="s">
        <v>58</v>
      </c>
      <c r="S113" s="6"/>
      <c r="T113" s="6"/>
      <c r="U113" s="7">
        <v>1561</v>
      </c>
      <c r="V113" s="6"/>
      <c r="W113" s="7">
        <v>107611</v>
      </c>
      <c r="X113" s="6"/>
      <c r="Y113" s="7">
        <v>7937</v>
      </c>
      <c r="Z113" s="6"/>
      <c r="AA113" s="297">
        <f t="shared" si="25"/>
        <v>7000</v>
      </c>
      <c r="AB113" s="489"/>
      <c r="AJ113" s="1">
        <v>7000</v>
      </c>
    </row>
    <row r="114" spans="4:36" ht="15" thickBot="1" x14ac:dyDescent="0.35">
      <c r="E114" s="445"/>
      <c r="F114" s="446"/>
      <c r="G114" s="446"/>
      <c r="H114" s="446"/>
      <c r="I114" s="446"/>
      <c r="J114" s="446"/>
      <c r="K114" s="446"/>
      <c r="L114" s="446"/>
      <c r="M114" s="447"/>
      <c r="Q114" s="488"/>
      <c r="R114" s="6" t="s">
        <v>142</v>
      </c>
      <c r="S114" s="6"/>
      <c r="T114" s="6"/>
      <c r="U114" s="7">
        <v>1435</v>
      </c>
      <c r="V114" s="6"/>
      <c r="W114" s="7">
        <v>10128</v>
      </c>
      <c r="X114" s="6"/>
      <c r="Y114" s="7">
        <v>541</v>
      </c>
      <c r="Z114" s="6"/>
      <c r="AA114" s="297">
        <f t="shared" si="25"/>
        <v>700</v>
      </c>
      <c r="AB114" s="489"/>
      <c r="AJ114" s="1">
        <v>700</v>
      </c>
    </row>
    <row r="115" spans="4:36" x14ac:dyDescent="0.3">
      <c r="Q115" s="488"/>
      <c r="R115" s="6" t="s">
        <v>138</v>
      </c>
      <c r="S115" s="6"/>
      <c r="T115" s="6"/>
      <c r="U115" s="7">
        <v>1288</v>
      </c>
      <c r="V115" s="6"/>
      <c r="W115" s="7">
        <v>45913</v>
      </c>
      <c r="X115" s="6"/>
      <c r="Y115" s="7">
        <v>4287</v>
      </c>
      <c r="Z115" s="6"/>
      <c r="AA115" s="297">
        <f t="shared" si="25"/>
        <v>3600</v>
      </c>
      <c r="AB115" s="489"/>
      <c r="AJ115" s="1">
        <v>3600</v>
      </c>
    </row>
    <row r="116" spans="4:36" ht="15" thickBot="1" x14ac:dyDescent="0.35">
      <c r="D116" s="90"/>
      <c r="E116" s="152"/>
      <c r="F116" s="152"/>
      <c r="G116" s="152"/>
      <c r="H116" s="152"/>
      <c r="I116" s="354"/>
      <c r="J116" s="90"/>
      <c r="K116" s="110"/>
      <c r="L116" s="110"/>
      <c r="M116" s="110"/>
      <c r="N116" s="110"/>
      <c r="Q116" s="488"/>
      <c r="R116" s="6" t="s">
        <v>143</v>
      </c>
      <c r="S116" s="6"/>
      <c r="T116" s="6"/>
      <c r="U116" s="7">
        <v>1129</v>
      </c>
      <c r="V116" s="6"/>
      <c r="W116" s="7">
        <v>52477</v>
      </c>
      <c r="X116" s="6"/>
      <c r="Y116" s="7">
        <v>3152</v>
      </c>
      <c r="Z116" s="6"/>
      <c r="AA116" s="297">
        <f t="shared" si="25"/>
        <v>4600</v>
      </c>
      <c r="AB116" s="489"/>
      <c r="AJ116" s="1">
        <v>4600</v>
      </c>
    </row>
    <row r="117" spans="4:36" ht="16.2" thickBot="1" x14ac:dyDescent="0.35">
      <c r="D117" s="425"/>
      <c r="E117" s="616" t="s">
        <v>132</v>
      </c>
      <c r="F117" s="617"/>
      <c r="G117" s="617"/>
      <c r="H117" s="617"/>
      <c r="I117" s="617"/>
      <c r="J117" s="618"/>
      <c r="K117" s="426"/>
      <c r="L117" s="438" t="s">
        <v>10</v>
      </c>
      <c r="M117" s="427"/>
      <c r="N117" s="110"/>
      <c r="Q117" s="488"/>
      <c r="R117" s="6" t="s">
        <v>139</v>
      </c>
      <c r="S117" s="6"/>
      <c r="T117" s="6"/>
      <c r="U117" s="7">
        <v>1118</v>
      </c>
      <c r="V117" s="6"/>
      <c r="W117" s="7">
        <v>10889</v>
      </c>
      <c r="X117" s="6"/>
      <c r="Y117" s="7">
        <v>505</v>
      </c>
      <c r="Z117" s="6"/>
      <c r="AA117" s="297">
        <f t="shared" si="25"/>
        <v>980</v>
      </c>
      <c r="AB117" s="489"/>
      <c r="AJ117" s="1">
        <v>980</v>
      </c>
    </row>
    <row r="118" spans="4:36" x14ac:dyDescent="0.3">
      <c r="D118" s="404"/>
      <c r="E118" s="428" t="s">
        <v>88</v>
      </c>
      <c r="F118" s="16"/>
      <c r="G118" s="16"/>
      <c r="H118" s="16"/>
      <c r="I118" s="619">
        <f>+K81</f>
        <v>48675</v>
      </c>
      <c r="J118" s="619"/>
      <c r="K118" s="16"/>
      <c r="L118" s="60">
        <f>+I118/$I$118</f>
        <v>1</v>
      </c>
      <c r="M118" s="429"/>
      <c r="N118" s="110"/>
      <c r="Q118" s="488"/>
      <c r="R118" s="6" t="s">
        <v>140</v>
      </c>
      <c r="S118" s="6"/>
      <c r="T118" s="6"/>
      <c r="U118" s="7">
        <v>1093</v>
      </c>
      <c r="V118" s="6"/>
      <c r="W118" s="7">
        <v>138546</v>
      </c>
      <c r="X118" s="6"/>
      <c r="Y118" s="7">
        <v>6770</v>
      </c>
      <c r="Z118" s="6"/>
      <c r="AA118" s="297">
        <f t="shared" si="25"/>
        <v>12700</v>
      </c>
      <c r="AB118" s="489"/>
      <c r="AJ118" s="1">
        <v>12700</v>
      </c>
    </row>
    <row r="119" spans="4:36" x14ac:dyDescent="0.3">
      <c r="D119" s="404"/>
      <c r="E119" s="428"/>
      <c r="F119" s="16"/>
      <c r="G119" s="16"/>
      <c r="H119" s="16"/>
      <c r="I119" s="16"/>
      <c r="J119" s="16"/>
      <c r="K119" s="16"/>
      <c r="L119" s="16"/>
      <c r="M119" s="429"/>
      <c r="N119" s="110"/>
      <c r="Q119" s="488"/>
      <c r="R119" s="6" t="s">
        <v>141</v>
      </c>
      <c r="S119" s="6"/>
      <c r="T119" s="6"/>
      <c r="U119" s="491">
        <v>1081</v>
      </c>
      <c r="V119" s="6"/>
      <c r="W119" s="491">
        <v>65337</v>
      </c>
      <c r="X119" s="6"/>
      <c r="Y119" s="491">
        <v>3108</v>
      </c>
      <c r="Z119" s="6"/>
      <c r="AA119" s="492">
        <f t="shared" si="25"/>
        <v>6100</v>
      </c>
      <c r="AB119" s="489"/>
      <c r="AJ119" s="483">
        <v>6100</v>
      </c>
    </row>
    <row r="120" spans="4:36" x14ac:dyDescent="0.3">
      <c r="D120" s="416"/>
      <c r="E120" s="15"/>
      <c r="F120" s="430" t="s">
        <v>113</v>
      </c>
      <c r="G120" s="430"/>
      <c r="H120" s="15"/>
      <c r="I120" s="620">
        <f>+I81</f>
        <v>36684</v>
      </c>
      <c r="J120" s="621"/>
      <c r="K120" s="15"/>
      <c r="L120" s="60">
        <f>+I120/$I$118</f>
        <v>0.75365177195685673</v>
      </c>
      <c r="M120" s="409"/>
      <c r="N120" s="110"/>
      <c r="Q120" s="488"/>
      <c r="R120" s="5" t="s">
        <v>33</v>
      </c>
      <c r="S120" s="6"/>
      <c r="T120" s="6"/>
      <c r="U120" s="297">
        <f>+W120/(AA120/100)</f>
        <v>1545.0521632402579</v>
      </c>
      <c r="V120" s="6"/>
      <c r="W120" s="297">
        <f>SUM(W110:W119)</f>
        <v>1007065</v>
      </c>
      <c r="X120" s="6"/>
      <c r="Y120" s="297">
        <f>SUM(Y110:Y119)</f>
        <v>71545</v>
      </c>
      <c r="Z120" s="6"/>
      <c r="AA120" s="297">
        <f>SUM(AA110:AA119)</f>
        <v>65180</v>
      </c>
      <c r="AB120" s="489"/>
      <c r="AJ120" s="56">
        <f>SUM(AJ110:AJ119)</f>
        <v>65180</v>
      </c>
    </row>
    <row r="121" spans="4:36" x14ac:dyDescent="0.3">
      <c r="D121" s="416"/>
      <c r="E121" s="15"/>
      <c r="F121" s="15" t="s">
        <v>89</v>
      </c>
      <c r="G121" s="15"/>
      <c r="H121" s="15"/>
      <c r="I121" s="622">
        <f>+I75</f>
        <v>2144</v>
      </c>
      <c r="J121" s="623"/>
      <c r="K121" s="15"/>
      <c r="L121" s="60">
        <f>+I121/$I$118</f>
        <v>4.4047252182845401E-2</v>
      </c>
      <c r="M121" s="409"/>
      <c r="N121" s="110"/>
      <c r="Q121" s="488"/>
      <c r="R121" s="5"/>
      <c r="S121" s="6"/>
      <c r="T121" s="6"/>
      <c r="U121" s="6"/>
      <c r="V121" s="6"/>
      <c r="W121" s="297"/>
      <c r="X121" s="6"/>
      <c r="Y121" s="297"/>
      <c r="Z121" s="6"/>
      <c r="AA121" s="6"/>
      <c r="AB121" s="489"/>
      <c r="AJ121" s="56"/>
    </row>
    <row r="122" spans="4:36" ht="15" thickBot="1" x14ac:dyDescent="0.35">
      <c r="D122" s="416"/>
      <c r="E122" s="608" t="s">
        <v>114</v>
      </c>
      <c r="F122" s="608"/>
      <c r="G122" s="608"/>
      <c r="H122" s="15"/>
      <c r="I122" s="609">
        <f>+I118-I120-I121</f>
        <v>9847</v>
      </c>
      <c r="J122" s="610"/>
      <c r="K122" s="431"/>
      <c r="L122" s="432">
        <f>+I122/$I$118</f>
        <v>0.20230097586029788</v>
      </c>
      <c r="M122" s="409"/>
      <c r="N122" s="110"/>
      <c r="Q122" s="488"/>
      <c r="R122" s="5" t="s">
        <v>59</v>
      </c>
      <c r="S122" s="6"/>
      <c r="T122" s="6"/>
      <c r="U122" s="7">
        <v>7441</v>
      </c>
      <c r="V122" s="6"/>
      <c r="W122" s="7">
        <f>+'Main Table'!H106</f>
        <v>2465403</v>
      </c>
      <c r="X122" s="6"/>
      <c r="Y122" s="7">
        <f>+'Main Table'!Z106</f>
        <v>126977</v>
      </c>
      <c r="Z122" s="6"/>
      <c r="AA122" s="297">
        <v>331000</v>
      </c>
      <c r="AB122" s="489"/>
      <c r="AJ122" s="56">
        <v>333000</v>
      </c>
    </row>
    <row r="123" spans="4:36" ht="15.6" thickTop="1" thickBot="1" x14ac:dyDescent="0.35">
      <c r="D123" s="416"/>
      <c r="E123" s="433"/>
      <c r="F123" s="433"/>
      <c r="G123" s="433"/>
      <c r="H123" s="15"/>
      <c r="I123" s="434"/>
      <c r="J123" s="433"/>
      <c r="K123" s="431"/>
      <c r="L123" s="435"/>
      <c r="M123" s="409"/>
      <c r="N123" s="110"/>
      <c r="Q123" s="488"/>
      <c r="R123" s="5" t="s">
        <v>144</v>
      </c>
      <c r="S123" s="6"/>
      <c r="T123" s="6"/>
      <c r="U123" s="493"/>
      <c r="V123" s="6"/>
      <c r="W123" s="494">
        <f>+W120/W122</f>
        <v>0.40847885720914595</v>
      </c>
      <c r="X123" s="6"/>
      <c r="Y123" s="494">
        <f>+Y120/Y122</f>
        <v>0.56344849854698098</v>
      </c>
      <c r="Z123" s="6"/>
      <c r="AA123" s="494">
        <f>+AA120/AA122</f>
        <v>0.19691842900302114</v>
      </c>
      <c r="AB123" s="489"/>
      <c r="AJ123" s="484">
        <f>+AJ120/AJ122</f>
        <v>0.19573573573573574</v>
      </c>
    </row>
    <row r="124" spans="4:36" ht="15.6" thickTop="1" thickBot="1" x14ac:dyDescent="0.35">
      <c r="D124" s="436"/>
      <c r="E124" s="437"/>
      <c r="F124" s="437"/>
      <c r="G124" s="437"/>
      <c r="H124" s="437"/>
      <c r="I124" s="437"/>
      <c r="J124" s="437"/>
      <c r="K124" s="437"/>
      <c r="L124" s="437"/>
      <c r="M124" s="424"/>
      <c r="N124" s="110"/>
      <c r="Q124" s="495"/>
      <c r="R124" s="496"/>
      <c r="S124" s="496"/>
      <c r="T124" s="496"/>
      <c r="U124" s="496"/>
      <c r="V124" s="496"/>
      <c r="W124" s="496"/>
      <c r="X124" s="496"/>
      <c r="Y124" s="496"/>
      <c r="Z124" s="496"/>
      <c r="AA124" s="496"/>
      <c r="AB124" s="497"/>
    </row>
    <row r="128" spans="4:36" x14ac:dyDescent="0.3">
      <c r="F128" s="1">
        <v>1248371</v>
      </c>
    </row>
    <row r="129" spans="6:23" x14ac:dyDescent="0.3">
      <c r="W129" s="1"/>
    </row>
    <row r="130" spans="6:23" x14ac:dyDescent="0.3">
      <c r="F130">
        <v>700</v>
      </c>
    </row>
    <row r="131" spans="6:23" x14ac:dyDescent="0.3">
      <c r="F131" s="87">
        <f>+F130/F128</f>
        <v>5.6073074430597954E-4</v>
      </c>
    </row>
    <row r="133" spans="6:23" x14ac:dyDescent="0.3">
      <c r="F133" s="1">
        <v>60000</v>
      </c>
    </row>
    <row r="134" spans="6:23" x14ac:dyDescent="0.3">
      <c r="F134">
        <f>+F131*F133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22:G122"/>
    <mergeCell ref="I122:J122"/>
    <mergeCell ref="E108:M108"/>
    <mergeCell ref="I109:L109"/>
    <mergeCell ref="F111:G111"/>
    <mergeCell ref="E117:J117"/>
    <mergeCell ref="I118:J118"/>
    <mergeCell ref="I120:J120"/>
    <mergeCell ref="I121:J121"/>
    <mergeCell ref="H113:I113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3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63" t="s">
        <v>5</v>
      </c>
      <c r="C1" s="563"/>
      <c r="D1" s="563"/>
    </row>
    <row r="2" spans="2:31" ht="15.6" x14ac:dyDescent="0.3">
      <c r="B2" s="563" t="s">
        <v>6</v>
      </c>
      <c r="C2" s="563"/>
      <c r="D2" s="563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72" t="s">
        <v>23</v>
      </c>
      <c r="E12" s="673"/>
      <c r="F12" s="673"/>
      <c r="G12" s="673"/>
      <c r="H12" s="673"/>
      <c r="I12" s="673"/>
      <c r="J12" s="673"/>
      <c r="K12" s="673"/>
      <c r="L12" s="673"/>
      <c r="M12" s="673"/>
      <c r="N12" s="673"/>
      <c r="O12" s="673"/>
      <c r="P12" s="673"/>
      <c r="Q12" s="673"/>
      <c r="R12" s="673"/>
      <c r="S12" s="673"/>
      <c r="T12" s="673"/>
      <c r="U12" s="674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v>0.01</v>
      </c>
      <c r="U14" s="230"/>
      <c r="V14" s="1"/>
      <c r="X14" s="234"/>
      <c r="Y14" s="671" t="s">
        <v>62</v>
      </c>
      <c r="Z14" s="671"/>
      <c r="AA14" s="671"/>
      <c r="AB14" s="671"/>
      <c r="AC14" s="671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2020-08-03T01:20:11Z</dcterms:modified>
</cp:coreProperties>
</file>