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8A271989-09E3-4572-B3BE-88AF734C7922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Table'!$A$1:$CI$156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47" i="2" l="1"/>
  <c r="BN155" i="1" l="1"/>
  <c r="BH155" i="1"/>
  <c r="BG155" i="1"/>
  <c r="BE155" i="1"/>
  <c r="AY155" i="1"/>
  <c r="AX155" i="1"/>
  <c r="AR155" i="1"/>
  <c r="AP155" i="1"/>
  <c r="AJ155" i="1"/>
  <c r="AI155" i="1"/>
  <c r="AA155" i="1"/>
  <c r="Y155" i="1"/>
  <c r="T155" i="1"/>
  <c r="S155" i="1"/>
  <c r="Q155" i="1"/>
  <c r="L155" i="1"/>
  <c r="K155" i="1"/>
  <c r="I155" i="1"/>
  <c r="BN154" i="1"/>
  <c r="BK154" i="1"/>
  <c r="BK155" i="1" s="1"/>
  <c r="BI154" i="1"/>
  <c r="BI155" i="1" s="1"/>
  <c r="BH154" i="1"/>
  <c r="BG154" i="1"/>
  <c r="BE154" i="1"/>
  <c r="BC154" i="1"/>
  <c r="BC155" i="1" s="1"/>
  <c r="BB154" i="1"/>
  <c r="BB155" i="1" s="1"/>
  <c r="BA154" i="1"/>
  <c r="BA155" i="1" s="1"/>
  <c r="AY154" i="1"/>
  <c r="AX154" i="1"/>
  <c r="AV154" i="1"/>
  <c r="AV155" i="1" s="1"/>
  <c r="AT154" i="1"/>
  <c r="AT155" i="1" s="1"/>
  <c r="AS154" i="1"/>
  <c r="AS155" i="1" s="1"/>
  <c r="AR154" i="1"/>
  <c r="AP154" i="1"/>
  <c r="AO154" i="1"/>
  <c r="AO155" i="1" s="1"/>
  <c r="AN154" i="1"/>
  <c r="AN155" i="1" s="1"/>
  <c r="AM154" i="1"/>
  <c r="AM155" i="1" s="1"/>
  <c r="AL154" i="1"/>
  <c r="AL155" i="1" s="1"/>
  <c r="AJ154" i="1"/>
  <c r="AI154" i="1"/>
  <c r="AE154" i="1"/>
  <c r="AE155" i="1" s="1"/>
  <c r="AC154" i="1"/>
  <c r="AC155" i="1" s="1"/>
  <c r="AA154" i="1"/>
  <c r="Y154" i="1"/>
  <c r="X154" i="1"/>
  <c r="X155" i="1" s="1"/>
  <c r="W154" i="1"/>
  <c r="W155" i="1" s="1"/>
  <c r="V154" i="1"/>
  <c r="V155" i="1" s="1"/>
  <c r="U154" i="1"/>
  <c r="U155" i="1" s="1"/>
  <c r="T154" i="1"/>
  <c r="S154" i="1"/>
  <c r="Q154" i="1"/>
  <c r="O154" i="1"/>
  <c r="O155" i="1" s="1"/>
  <c r="M154" i="1"/>
  <c r="M155" i="1" s="1"/>
  <c r="L154" i="1"/>
  <c r="K154" i="1"/>
  <c r="I154" i="1"/>
  <c r="D154" i="1"/>
  <c r="D155" i="1" s="1"/>
  <c r="BV146" i="1" l="1"/>
  <c r="AW146" i="1" s="1"/>
  <c r="AW154" i="1" s="1"/>
  <c r="AW155" i="1" s="1"/>
  <c r="BD146" i="1"/>
  <c r="AZ146" i="1"/>
  <c r="AK146" i="1"/>
  <c r="AF146" i="1"/>
  <c r="Z146" i="1"/>
  <c r="U146" i="1"/>
  <c r="P146" i="1"/>
  <c r="P154" i="1" s="1"/>
  <c r="P155" i="1" s="1"/>
  <c r="J146" i="1"/>
  <c r="J154" i="1" s="1"/>
  <c r="J155" i="1" s="1"/>
  <c r="H146" i="1"/>
  <c r="B146" i="1"/>
  <c r="B147" i="1" s="1"/>
  <c r="B148" i="1" s="1"/>
  <c r="B149" i="1" s="1"/>
  <c r="B150" i="1" s="1"/>
  <c r="B151" i="1" s="1"/>
  <c r="B152" i="1" s="1"/>
  <c r="S153" i="2"/>
  <c r="R153" i="2"/>
  <c r="P153" i="2"/>
  <c r="O153" i="2"/>
  <c r="N153" i="2"/>
  <c r="L153" i="2"/>
  <c r="J153" i="2"/>
  <c r="I153" i="2"/>
  <c r="H153" i="2"/>
  <c r="G153" i="2"/>
  <c r="E153" i="2"/>
  <c r="W147" i="2"/>
  <c r="K147" i="2"/>
  <c r="Q147" i="2" s="1"/>
  <c r="Q153" i="2" s="1"/>
  <c r="U101" i="3"/>
  <c r="U102" i="3" s="1"/>
  <c r="U103" i="3" s="1"/>
  <c r="U104" i="3" s="1"/>
  <c r="U105" i="3" s="1"/>
  <c r="U106" i="3" s="1"/>
  <c r="U107" i="3" s="1"/>
  <c r="U108" i="3" s="1"/>
  <c r="K153" i="2" l="1"/>
  <c r="R146" i="1"/>
  <c r="R154" i="1" s="1"/>
  <c r="R155" i="1" s="1"/>
  <c r="BJ146" i="1"/>
  <c r="AZ154" i="1"/>
  <c r="AZ155" i="1" s="1"/>
  <c r="AQ146" i="1"/>
  <c r="AQ154" i="1" s="1"/>
  <c r="AQ155" i="1" s="1"/>
  <c r="AK154" i="1"/>
  <c r="AK155" i="1" s="1"/>
  <c r="AB146" i="1"/>
  <c r="AB154" i="1" s="1"/>
  <c r="AB155" i="1" s="1"/>
  <c r="Z154" i="1"/>
  <c r="Z155" i="1" s="1"/>
  <c r="AH146" i="1"/>
  <c r="AH154" i="1" s="1"/>
  <c r="AH155" i="1" s="1"/>
  <c r="AF154" i="1"/>
  <c r="AF155" i="1" s="1"/>
  <c r="AU146" i="1"/>
  <c r="AU154" i="1" s="1"/>
  <c r="AU155" i="1" s="1"/>
  <c r="H154" i="1"/>
  <c r="H155" i="1" s="1"/>
  <c r="BO146" i="1"/>
  <c r="BD154" i="1"/>
  <c r="BD155" i="1" s="1"/>
  <c r="AD146" i="1"/>
  <c r="AD154" i="1" s="1"/>
  <c r="AD155" i="1" s="1"/>
  <c r="BF146" i="1"/>
  <c r="BF154" i="1" s="1"/>
  <c r="BF155" i="1" s="1"/>
  <c r="BM146" i="1"/>
  <c r="BM154" i="1" s="1"/>
  <c r="BM155" i="1" s="1"/>
  <c r="N146" i="1"/>
  <c r="N154" i="1" s="1"/>
  <c r="N155" i="1" s="1"/>
  <c r="BV147" i="1"/>
  <c r="BV148" i="1" s="1"/>
  <c r="BV149" i="1" s="1"/>
  <c r="BV150" i="1" s="1"/>
  <c r="U147" i="2"/>
  <c r="M147" i="2"/>
  <c r="M153" i="2" s="1"/>
  <c r="AG146" i="1"/>
  <c r="AG154" i="1" s="1"/>
  <c r="BD145" i="1"/>
  <c r="AZ145" i="1"/>
  <c r="AK145" i="1"/>
  <c r="AQ145" i="1" s="1"/>
  <c r="AF145" i="1"/>
  <c r="P145" i="1"/>
  <c r="S146" i="2"/>
  <c r="K146" i="2"/>
  <c r="Q146" i="2" s="1"/>
  <c r="BD144" i="1"/>
  <c r="AZ144" i="1"/>
  <c r="AK144" i="1"/>
  <c r="AF144" i="1"/>
  <c r="P144" i="1"/>
  <c r="W145" i="2"/>
  <c r="W146" i="2" s="1"/>
  <c r="W148" i="2" s="1"/>
  <c r="W149" i="2" s="1"/>
  <c r="W150" i="2" s="1"/>
  <c r="W151" i="2" s="1"/>
  <c r="S145" i="2"/>
  <c r="K145" i="2"/>
  <c r="M145" i="2" s="1"/>
  <c r="C145" i="2"/>
  <c r="C146" i="2" s="1"/>
  <c r="C147" i="2" s="1"/>
  <c r="C148" i="2" s="1"/>
  <c r="C149" i="2" s="1"/>
  <c r="C150" i="2" s="1"/>
  <c r="C151" i="2" s="1"/>
  <c r="BD143" i="1"/>
  <c r="AZ143" i="1"/>
  <c r="AK143" i="1"/>
  <c r="AQ143" i="1" s="1"/>
  <c r="P143" i="1"/>
  <c r="S144" i="2"/>
  <c r="K144" i="2"/>
  <c r="BL146" i="1" l="1"/>
  <c r="BL154" i="1" s="1"/>
  <c r="BL155" i="1" s="1"/>
  <c r="BJ154" i="1"/>
  <c r="BJ155" i="1" s="1"/>
  <c r="BQ146" i="1"/>
  <c r="BO154" i="1"/>
  <c r="BO155" i="1" s="1"/>
  <c r="BF145" i="1"/>
  <c r="U146" i="2"/>
  <c r="M146" i="2"/>
  <c r="BF144" i="1"/>
  <c r="AQ144" i="1"/>
  <c r="AH144" i="1"/>
  <c r="Q145" i="2"/>
  <c r="U145" i="2"/>
  <c r="BF143" i="1"/>
  <c r="U144" i="2"/>
  <c r="M144" i="2"/>
  <c r="BD142" i="1"/>
  <c r="AZ142" i="1"/>
  <c r="AK142" i="1"/>
  <c r="AQ142" i="1" s="1"/>
  <c r="AF142" i="1"/>
  <c r="AH142" i="1" s="1"/>
  <c r="P142" i="1"/>
  <c r="S143" i="2"/>
  <c r="K143" i="2"/>
  <c r="BD141" i="1"/>
  <c r="AZ141" i="1"/>
  <c r="AK141" i="1"/>
  <c r="AQ141" i="1" s="1"/>
  <c r="AF141" i="1"/>
  <c r="AH141" i="1" s="1"/>
  <c r="P141" i="1"/>
  <c r="S142" i="2"/>
  <c r="K142" i="2"/>
  <c r="BF141" i="1" l="1"/>
  <c r="Q143" i="2"/>
  <c r="Q144" i="2"/>
  <c r="BF142" i="1"/>
  <c r="U143" i="2"/>
  <c r="M143" i="2"/>
  <c r="U142" i="2"/>
  <c r="S141" i="2"/>
  <c r="BD140" i="1" l="1"/>
  <c r="AZ140" i="1"/>
  <c r="AK140" i="1"/>
  <c r="AF140" i="1"/>
  <c r="AH140" i="1" s="1"/>
  <c r="P140" i="1"/>
  <c r="K141" i="2"/>
  <c r="S140" i="2"/>
  <c r="V114" i="1"/>
  <c r="AF177" i="1" s="1"/>
  <c r="AH143" i="1" l="1"/>
  <c r="AQ172" i="1"/>
  <c r="M142" i="2"/>
  <c r="Q142" i="2"/>
  <c r="AQ140" i="1"/>
  <c r="BF140" i="1"/>
  <c r="U141" i="2"/>
  <c r="BD139" i="1" l="1"/>
  <c r="AZ139" i="1"/>
  <c r="BJ145" i="1" s="1"/>
  <c r="AK139" i="1"/>
  <c r="AF139" i="1"/>
  <c r="P139" i="1"/>
  <c r="K140" i="2"/>
  <c r="BL145" i="1" l="1"/>
  <c r="Q141" i="2"/>
  <c r="M141" i="2"/>
  <c r="AQ139" i="1"/>
  <c r="AH139" i="1"/>
  <c r="BF139" i="1"/>
  <c r="U140" i="2"/>
  <c r="S139" i="2" l="1"/>
  <c r="AF176" i="1" l="1"/>
  <c r="U110" i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G154" i="1" l="1"/>
  <c r="G155" i="1" s="1"/>
  <c r="F154" i="1"/>
  <c r="F155" i="1" s="1"/>
  <c r="E154" i="1"/>
  <c r="E155" i="1" s="1"/>
  <c r="BD138" i="1"/>
  <c r="AZ138" i="1"/>
  <c r="BJ144" i="1" s="1"/>
  <c r="AK138" i="1"/>
  <c r="AF138" i="1"/>
  <c r="AH145" i="1" s="1"/>
  <c r="P138" i="1"/>
  <c r="R145" i="1" s="1"/>
  <c r="K139" i="2"/>
  <c r="BD137" i="1"/>
  <c r="AZ137" i="1"/>
  <c r="AK137" i="1"/>
  <c r="AQ137" i="1" s="1"/>
  <c r="P137" i="1"/>
  <c r="R144" i="1" s="1"/>
  <c r="BL144" i="1" l="1"/>
  <c r="BJ143" i="1"/>
  <c r="BL143" i="1" s="1"/>
  <c r="Q140" i="2"/>
  <c r="M140" i="2"/>
  <c r="AQ138" i="1"/>
  <c r="BF138" i="1"/>
  <c r="U139" i="2"/>
  <c r="BF137" i="1"/>
  <c r="S138" i="2" l="1"/>
  <c r="U138" i="2" s="1"/>
  <c r="K138" i="2"/>
  <c r="BD136" i="1"/>
  <c r="AZ136" i="1"/>
  <c r="BJ142" i="1" s="1"/>
  <c r="BL142" i="1" s="1"/>
  <c r="AK136" i="1"/>
  <c r="AQ136" i="1" s="1"/>
  <c r="P136" i="1"/>
  <c r="R143" i="1" s="1"/>
  <c r="Q138" i="2" l="1"/>
  <c r="M139" i="2"/>
  <c r="Q139" i="2"/>
  <c r="M138" i="2"/>
  <c r="BF136" i="1"/>
  <c r="BD135" i="1"/>
  <c r="AZ135" i="1"/>
  <c r="BJ141" i="1" s="1"/>
  <c r="BL141" i="1" s="1"/>
  <c r="AK135" i="1"/>
  <c r="AQ135" i="1" s="1"/>
  <c r="P135" i="1"/>
  <c r="R142" i="1" s="1"/>
  <c r="S136" i="2"/>
  <c r="K136" i="2"/>
  <c r="BF135" i="1" l="1"/>
  <c r="U136" i="2"/>
  <c r="S135" i="2"/>
  <c r="BD134" i="1" l="1"/>
  <c r="AZ134" i="1"/>
  <c r="BJ140" i="1" s="1"/>
  <c r="BL140" i="1" s="1"/>
  <c r="AK134" i="1"/>
  <c r="AQ134" i="1" s="1"/>
  <c r="P134" i="1"/>
  <c r="R141" i="1" s="1"/>
  <c r="K135" i="2"/>
  <c r="S134" i="2"/>
  <c r="BD133" i="1"/>
  <c r="AZ133" i="1"/>
  <c r="AK133" i="1"/>
  <c r="AQ133" i="1" s="1"/>
  <c r="P133" i="1"/>
  <c r="R140" i="1" s="1"/>
  <c r="K134" i="2"/>
  <c r="Q135" i="2" l="1"/>
  <c r="M136" i="2"/>
  <c r="Q136" i="2"/>
  <c r="BJ139" i="1"/>
  <c r="BF134" i="1"/>
  <c r="U135" i="2"/>
  <c r="M135" i="2"/>
  <c r="BF133" i="1"/>
  <c r="U134" i="2"/>
  <c r="D181" i="1"/>
  <c r="S133" i="2"/>
  <c r="BL139" i="1" l="1"/>
  <c r="V24" i="1"/>
  <c r="V25" i="1"/>
  <c r="BD132" i="1"/>
  <c r="AZ132" i="1"/>
  <c r="BJ138" i="1" s="1"/>
  <c r="AK132" i="1"/>
  <c r="AQ132" i="1" s="1"/>
  <c r="P132" i="1"/>
  <c r="R139" i="1" s="1"/>
  <c r="K133" i="2"/>
  <c r="M134" i="2" l="1"/>
  <c r="Q134" i="2"/>
  <c r="BL138" i="1"/>
  <c r="BF132" i="1"/>
  <c r="U133" i="2"/>
  <c r="AQ175" i="1" l="1"/>
  <c r="S132" i="2"/>
  <c r="K132" i="2"/>
  <c r="BD131" i="1"/>
  <c r="AZ131" i="1"/>
  <c r="AK131" i="1"/>
  <c r="AQ131" i="1" s="1"/>
  <c r="AF131" i="1"/>
  <c r="AH138" i="1" s="1"/>
  <c r="P131" i="1"/>
  <c r="R138" i="1" s="1"/>
  <c r="BD130" i="1"/>
  <c r="AZ130" i="1"/>
  <c r="AK130" i="1"/>
  <c r="AQ130" i="1" s="1"/>
  <c r="P130" i="1"/>
  <c r="K131" i="2"/>
  <c r="Q131" i="2" s="1"/>
  <c r="K130" i="2"/>
  <c r="U130" i="2" s="1"/>
  <c r="S129" i="2"/>
  <c r="R137" i="1" l="1"/>
  <c r="Q133" i="2"/>
  <c r="M133" i="2"/>
  <c r="U132" i="2"/>
  <c r="U131" i="2"/>
  <c r="M132" i="2"/>
  <c r="M131" i="2"/>
  <c r="Q132" i="2"/>
  <c r="BF131" i="1"/>
  <c r="BF130" i="1"/>
  <c r="BD129" i="1" l="1"/>
  <c r="AZ129" i="1"/>
  <c r="AK129" i="1"/>
  <c r="AQ129" i="1" s="1"/>
  <c r="P129" i="1"/>
  <c r="K129" i="2"/>
  <c r="R136" i="1" l="1"/>
  <c r="Q130" i="2"/>
  <c r="M130" i="2"/>
  <c r="BF129" i="1"/>
  <c r="U129" i="2"/>
  <c r="BD128" i="1"/>
  <c r="AZ128" i="1"/>
  <c r="AK128" i="1"/>
  <c r="AQ128" i="1" s="1"/>
  <c r="P128" i="1"/>
  <c r="R135" i="1" s="1"/>
  <c r="S128" i="2"/>
  <c r="BF128" i="1" l="1"/>
  <c r="BD127" i="1" l="1"/>
  <c r="AZ127" i="1"/>
  <c r="AK127" i="1"/>
  <c r="AQ127" i="1" s="1"/>
  <c r="P127" i="1"/>
  <c r="R134" i="1" s="1"/>
  <c r="K128" i="2"/>
  <c r="Q128" i="2" l="1"/>
  <c r="Q129" i="2"/>
  <c r="M129" i="2"/>
  <c r="BF127" i="1"/>
  <c r="U128" i="2"/>
  <c r="S127" i="2"/>
  <c r="BD126" i="1"/>
  <c r="AZ126" i="1"/>
  <c r="AK126" i="1"/>
  <c r="AQ126" i="1" s="1"/>
  <c r="P126" i="1"/>
  <c r="R133" i="1" s="1"/>
  <c r="K127" i="2"/>
  <c r="M128" i="2" s="1"/>
  <c r="S126" i="2"/>
  <c r="BF126" i="1" l="1"/>
  <c r="U127" i="2"/>
  <c r="BD125" i="1" l="1"/>
  <c r="AZ125" i="1"/>
  <c r="BJ131" i="1" s="1"/>
  <c r="BL131" i="1" s="1"/>
  <c r="AK125" i="1"/>
  <c r="AQ125" i="1" s="1"/>
  <c r="P125" i="1"/>
  <c r="R132" i="1" s="1"/>
  <c r="K126" i="2"/>
  <c r="M127" i="2" l="1"/>
  <c r="Q127" i="2"/>
  <c r="BF125" i="1"/>
  <c r="U126" i="2"/>
  <c r="S125" i="2" l="1"/>
  <c r="AG114" i="1"/>
  <c r="AQ171" i="1" s="1"/>
  <c r="AG113" i="1"/>
  <c r="AO171" i="1" s="1"/>
  <c r="BD124" i="1"/>
  <c r="AZ124" i="1"/>
  <c r="AK124" i="1"/>
  <c r="AF124" i="1"/>
  <c r="AH131" i="1" s="1"/>
  <c r="K125" i="2"/>
  <c r="S124" i="2"/>
  <c r="AU171" i="1" l="1"/>
  <c r="AG115" i="1"/>
  <c r="Q126" i="2"/>
  <c r="M126" i="2"/>
  <c r="BF124" i="1"/>
  <c r="AQ124" i="1"/>
  <c r="U125" i="2"/>
  <c r="BD123" i="1" l="1"/>
  <c r="AZ123" i="1"/>
  <c r="AK123" i="1"/>
  <c r="AQ123" i="1" s="1"/>
  <c r="K124" i="2"/>
  <c r="M125" i="2" l="1"/>
  <c r="Q125" i="2"/>
  <c r="BF123" i="1"/>
  <c r="U124" i="2"/>
  <c r="S123" i="2"/>
  <c r="BD122" i="1" l="1"/>
  <c r="AZ122" i="1"/>
  <c r="AK122" i="1"/>
  <c r="AQ122" i="1" s="1"/>
  <c r="K123" i="2"/>
  <c r="M124" i="2" l="1"/>
  <c r="Q124" i="2"/>
  <c r="BF122" i="1"/>
  <c r="U123" i="2"/>
  <c r="M123" i="2"/>
  <c r="S122" i="2"/>
  <c r="D188" i="1"/>
  <c r="BD121" i="1"/>
  <c r="AZ121" i="1"/>
  <c r="AK121" i="1"/>
  <c r="AQ121" i="1" s="1"/>
  <c r="K122" i="2"/>
  <c r="Q123" i="2" l="1"/>
  <c r="BF121" i="1"/>
  <c r="U122" i="2"/>
  <c r="E121" i="2" l="1"/>
  <c r="S121" i="2"/>
  <c r="BD120" i="1" l="1"/>
  <c r="AZ120" i="1"/>
  <c r="AK120" i="1"/>
  <c r="AQ120" i="1" s="1"/>
  <c r="K121" i="2"/>
  <c r="M122" i="2" l="1"/>
  <c r="Q122" i="2"/>
  <c r="BF120" i="1"/>
  <c r="U121" i="2"/>
  <c r="D118" i="1" l="1"/>
  <c r="D116" i="1"/>
  <c r="AG145" i="1" s="1"/>
  <c r="AG155" i="1" s="1"/>
  <c r="D115" i="1"/>
  <c r="AG144" i="1" s="1"/>
  <c r="D114" i="1"/>
  <c r="AF175" i="1" s="1"/>
  <c r="AO172" i="1" s="1"/>
  <c r="AG139" i="1" l="1"/>
  <c r="AG143" i="1"/>
  <c r="AG142" i="1"/>
  <c r="AG141" i="1"/>
  <c r="AG140" i="1"/>
  <c r="AG138" i="1"/>
  <c r="AG131" i="1"/>
  <c r="P124" i="1"/>
  <c r="R131" i="1" s="1"/>
  <c r="P123" i="1"/>
  <c r="R130" i="1" s="1"/>
  <c r="AG124" i="1"/>
  <c r="P120" i="1"/>
  <c r="P121" i="1"/>
  <c r="P122" i="1"/>
  <c r="R129" i="1" s="1"/>
  <c r="S120" i="2"/>
  <c r="AU172" i="1" l="1"/>
  <c r="R127" i="1"/>
  <c r="R128" i="1"/>
  <c r="BD119" i="1"/>
  <c r="AZ119" i="1"/>
  <c r="AK119" i="1"/>
  <c r="AQ119" i="1" s="1"/>
  <c r="P119" i="1"/>
  <c r="R126" i="1" s="1"/>
  <c r="K120" i="2"/>
  <c r="Q121" i="2" l="1"/>
  <c r="M121" i="2"/>
  <c r="BF119" i="1"/>
  <c r="U120" i="2"/>
  <c r="S119" i="2"/>
  <c r="BD118" i="1" l="1"/>
  <c r="AZ118" i="1"/>
  <c r="AK118" i="1"/>
  <c r="AQ118" i="1" s="1"/>
  <c r="P118" i="1"/>
  <c r="R125" i="1" s="1"/>
  <c r="K119" i="2"/>
  <c r="Q120" i="2" l="1"/>
  <c r="M120" i="2"/>
  <c r="BJ124" i="1"/>
  <c r="BL124" i="1" s="1"/>
  <c r="BF118" i="1"/>
  <c r="U119" i="2"/>
  <c r="S118" i="2" l="1"/>
  <c r="K118" i="2"/>
  <c r="BD117" i="1"/>
  <c r="AZ117" i="1"/>
  <c r="AK117" i="1"/>
  <c r="AQ117" i="1" s="1"/>
  <c r="AF117" i="1"/>
  <c r="P117" i="1"/>
  <c r="R124" i="1" s="1"/>
  <c r="Q119" i="2" l="1"/>
  <c r="M119" i="2"/>
  <c r="AH124" i="1"/>
  <c r="U118" i="2"/>
  <c r="M118" i="2"/>
  <c r="BF117" i="1"/>
  <c r="BD116" i="1"/>
  <c r="AZ116" i="1"/>
  <c r="AK116" i="1"/>
  <c r="AQ116" i="1" s="1"/>
  <c r="S117" i="2"/>
  <c r="K117" i="2"/>
  <c r="S116" i="2"/>
  <c r="K116" i="2"/>
  <c r="BD115" i="1"/>
  <c r="AZ115" i="1"/>
  <c r="AK115" i="1"/>
  <c r="AQ115" i="1" s="1"/>
  <c r="S115" i="2"/>
  <c r="Q117" i="2" l="1"/>
  <c r="Q118" i="2"/>
  <c r="BF116" i="1"/>
  <c r="U117" i="2"/>
  <c r="M117" i="2"/>
  <c r="U116" i="2"/>
  <c r="BF115" i="1"/>
  <c r="BD114" i="1" l="1"/>
  <c r="AZ114" i="1"/>
  <c r="AK114" i="1"/>
  <c r="AQ114" i="1" s="1"/>
  <c r="K115" i="2"/>
  <c r="S114" i="2"/>
  <c r="Q116" i="2" l="1"/>
  <c r="M116" i="2"/>
  <c r="U115" i="2"/>
  <c r="BF114" i="1"/>
  <c r="BD113" i="1" l="1"/>
  <c r="AZ113" i="1"/>
  <c r="AK113" i="1"/>
  <c r="K114" i="2"/>
  <c r="M115" i="2" l="1"/>
  <c r="Q115" i="2"/>
  <c r="AQ113" i="1"/>
  <c r="BF113" i="1"/>
  <c r="U114" i="2"/>
  <c r="S113" i="2" l="1"/>
  <c r="BD112" i="1"/>
  <c r="AZ112" i="1"/>
  <c r="AK112" i="1"/>
  <c r="K113" i="2"/>
  <c r="M114" i="2" l="1"/>
  <c r="Q114" i="2"/>
  <c r="AQ112" i="1"/>
  <c r="BF112" i="1"/>
  <c r="U113" i="2"/>
  <c r="AG82" i="1"/>
  <c r="AG81" i="1"/>
  <c r="AG80" i="1"/>
  <c r="AG79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S112" i="2" l="1"/>
  <c r="BD111" i="1" l="1"/>
  <c r="K112" i="2"/>
  <c r="Q113" i="2" l="1"/>
  <c r="M113" i="2"/>
  <c r="U112" i="2"/>
  <c r="S111" i="2"/>
  <c r="AO110" i="1"/>
  <c r="BB110" i="1"/>
  <c r="K111" i="2"/>
  <c r="Q112" i="2" s="1"/>
  <c r="BD110" i="1"/>
  <c r="AF110" i="1"/>
  <c r="AH117" i="1" s="1"/>
  <c r="P110" i="1"/>
  <c r="R117" i="1" s="1"/>
  <c r="BD109" i="1"/>
  <c r="AZ109" i="1"/>
  <c r="AK109" i="1"/>
  <c r="AQ109" i="1" s="1"/>
  <c r="S110" i="2"/>
  <c r="K110" i="2"/>
  <c r="S109" i="2"/>
  <c r="Q111" i="2" l="1"/>
  <c r="M112" i="2"/>
  <c r="AZ111" i="1"/>
  <c r="BJ117" i="1" s="1"/>
  <c r="BL117" i="1" s="1"/>
  <c r="AK110" i="1"/>
  <c r="AQ110" i="1" s="1"/>
  <c r="AK111" i="1"/>
  <c r="AZ110" i="1"/>
  <c r="U111" i="2"/>
  <c r="M111" i="2"/>
  <c r="BF109" i="1"/>
  <c r="U110" i="2"/>
  <c r="K109" i="2"/>
  <c r="BD108" i="1"/>
  <c r="AZ108" i="1"/>
  <c r="AK108" i="1"/>
  <c r="AQ108" i="1" s="1"/>
  <c r="Q110" i="2" l="1"/>
  <c r="M110" i="2"/>
  <c r="AQ111" i="1"/>
  <c r="BF111" i="1"/>
  <c r="BF110" i="1"/>
  <c r="U109" i="2"/>
  <c r="BF108" i="1"/>
  <c r="S108" i="2" l="1"/>
  <c r="BD107" i="1" l="1"/>
  <c r="AK107" i="1"/>
  <c r="AQ107" i="1" s="1"/>
  <c r="K108" i="2"/>
  <c r="AA61" i="3"/>
  <c r="BB106" i="1"/>
  <c r="AZ107" i="1" s="1"/>
  <c r="AA126" i="3"/>
  <c r="AA125" i="3"/>
  <c r="AA124" i="3"/>
  <c r="AA123" i="3"/>
  <c r="AA122" i="3"/>
  <c r="AA121" i="3"/>
  <c r="AA120" i="3"/>
  <c r="AA119" i="3"/>
  <c r="AA118" i="3"/>
  <c r="AA117" i="3"/>
  <c r="AJ127" i="3"/>
  <c r="AJ130" i="3" s="1"/>
  <c r="Y127" i="3"/>
  <c r="W127" i="3"/>
  <c r="S107" i="2"/>
  <c r="AA127" i="3" l="1"/>
  <c r="AA130" i="3" s="1"/>
  <c r="U127" i="3"/>
  <c r="Q109" i="2"/>
  <c r="M109" i="2"/>
  <c r="BF107" i="1"/>
  <c r="U108" i="2"/>
  <c r="M108" i="2"/>
  <c r="BD106" i="1"/>
  <c r="AZ106" i="1"/>
  <c r="AK106" i="1"/>
  <c r="AQ106" i="1" s="1"/>
  <c r="K107" i="2"/>
  <c r="Q108" i="2" s="1"/>
  <c r="BF106" i="1" l="1"/>
  <c r="U107" i="2"/>
  <c r="S106" i="2" l="1"/>
  <c r="BD105" i="1"/>
  <c r="AZ105" i="1"/>
  <c r="AK105" i="1"/>
  <c r="AQ105" i="1" s="1"/>
  <c r="K106" i="2"/>
  <c r="S105" i="2"/>
  <c r="Q107" i="2" l="1"/>
  <c r="M107" i="2"/>
  <c r="BF105" i="1"/>
  <c r="U106" i="2"/>
  <c r="BD104" i="1" l="1"/>
  <c r="AZ104" i="1"/>
  <c r="BJ110" i="1" s="1"/>
  <c r="BL110" i="1" s="1"/>
  <c r="AK104" i="1"/>
  <c r="AQ104" i="1" s="1"/>
  <c r="K105" i="2"/>
  <c r="Q106" i="2" l="1"/>
  <c r="M106" i="2"/>
  <c r="BF104" i="1"/>
  <c r="U105" i="2"/>
  <c r="S104" i="2"/>
  <c r="K104" i="2"/>
  <c r="M105" i="2" s="1"/>
  <c r="BD103" i="1"/>
  <c r="AZ103" i="1"/>
  <c r="AK103" i="1"/>
  <c r="AQ103" i="1" s="1"/>
  <c r="AF103" i="1"/>
  <c r="P103" i="1"/>
  <c r="R110" i="1" s="1"/>
  <c r="S103" i="2"/>
  <c r="Q105" i="2" l="1"/>
  <c r="AH110" i="1"/>
  <c r="U104" i="2"/>
  <c r="BF103" i="1"/>
  <c r="BD102" i="1"/>
  <c r="AZ102" i="1"/>
  <c r="AK102" i="1"/>
  <c r="AQ102" i="1" s="1"/>
  <c r="K103" i="2"/>
  <c r="Q104" i="2" s="1"/>
  <c r="S102" i="2"/>
  <c r="BD101" i="1"/>
  <c r="AZ101" i="1"/>
  <c r="AK101" i="1"/>
  <c r="AQ101" i="1" s="1"/>
  <c r="S101" i="2"/>
  <c r="K102" i="2"/>
  <c r="M104" i="2" l="1"/>
  <c r="Q103" i="2"/>
  <c r="BF102" i="1"/>
  <c r="U103" i="2"/>
  <c r="M103" i="2"/>
  <c r="BF101" i="1"/>
  <c r="U102" i="2"/>
  <c r="BD100" i="1" l="1"/>
  <c r="AZ100" i="1"/>
  <c r="AK100" i="1"/>
  <c r="K101" i="2"/>
  <c r="S100" i="2"/>
  <c r="Q102" i="2" l="1"/>
  <c r="M102" i="2"/>
  <c r="AQ100" i="1"/>
  <c r="BF100" i="1"/>
  <c r="U101" i="2"/>
  <c r="BD99" i="1"/>
  <c r="AZ99" i="1"/>
  <c r="AK99" i="1"/>
  <c r="AQ99" i="1" s="1"/>
  <c r="K100" i="2"/>
  <c r="Q101" i="2" l="1"/>
  <c r="M101" i="2"/>
  <c r="BF99" i="1"/>
  <c r="U100" i="2"/>
  <c r="S99" i="2" l="1"/>
  <c r="BD98" i="1"/>
  <c r="AZ98" i="1"/>
  <c r="AK98" i="1"/>
  <c r="AQ98" i="1" s="1"/>
  <c r="K99" i="2"/>
  <c r="M100" i="2" l="1"/>
  <c r="Q100" i="2"/>
  <c r="BF98" i="1"/>
  <c r="U99" i="2"/>
  <c r="S98" i="2"/>
  <c r="BD97" i="1" l="1"/>
  <c r="AZ97" i="1"/>
  <c r="AK97" i="1"/>
  <c r="AQ97" i="1" s="1"/>
  <c r="K98" i="2"/>
  <c r="Q99" i="2" l="1"/>
  <c r="M99" i="2"/>
  <c r="BJ103" i="1"/>
  <c r="BL103" i="1" s="1"/>
  <c r="BF97" i="1"/>
  <c r="U98" i="2"/>
  <c r="P96" i="1" l="1"/>
  <c r="BD96" i="1"/>
  <c r="AZ96" i="1"/>
  <c r="AK96" i="1"/>
  <c r="AQ96" i="1" s="1"/>
  <c r="AF96" i="1"/>
  <c r="S97" i="2"/>
  <c r="K97" i="2"/>
  <c r="S96" i="2"/>
  <c r="K96" i="2"/>
  <c r="AH103" i="1" l="1"/>
  <c r="R103" i="1"/>
  <c r="Q97" i="2"/>
  <c r="Q98" i="2"/>
  <c r="M98" i="2"/>
  <c r="BF96" i="1"/>
  <c r="U97" i="2"/>
  <c r="M97" i="2"/>
  <c r="U96" i="2"/>
  <c r="BD95" i="1" l="1"/>
  <c r="AZ95" i="1"/>
  <c r="AK95" i="1"/>
  <c r="AQ95" i="1" s="1"/>
  <c r="S95" i="2"/>
  <c r="BF95" i="1" l="1"/>
  <c r="BD94" i="1"/>
  <c r="AZ94" i="1"/>
  <c r="AK94" i="1"/>
  <c r="AQ94" i="1" s="1"/>
  <c r="K95" i="2"/>
  <c r="Q96" i="2" l="1"/>
  <c r="M96" i="2"/>
  <c r="BF94" i="1"/>
  <c r="U95" i="2"/>
  <c r="S94" i="2" l="1"/>
  <c r="BD93" i="1" l="1"/>
  <c r="AZ93" i="1"/>
  <c r="AK93" i="1"/>
  <c r="AQ93" i="1" s="1"/>
  <c r="K94" i="2"/>
  <c r="M95" i="2" l="1"/>
  <c r="Q95" i="2"/>
  <c r="BF93" i="1"/>
  <c r="U94" i="2"/>
  <c r="S93" i="2"/>
  <c r="K93" i="2"/>
  <c r="BD92" i="1"/>
  <c r="AZ92" i="1"/>
  <c r="AK92" i="1"/>
  <c r="AQ92" i="1" s="1"/>
  <c r="M94" i="2" l="1"/>
  <c r="Q94" i="2"/>
  <c r="U93" i="2"/>
  <c r="BF92" i="1"/>
  <c r="S92" i="2" l="1"/>
  <c r="BD91" i="1" l="1"/>
  <c r="AZ91" i="1"/>
  <c r="AK91" i="1"/>
  <c r="AQ91" i="1" s="1"/>
  <c r="K92" i="2"/>
  <c r="M93" i="2" l="1"/>
  <c r="Q93" i="2"/>
  <c r="BF91" i="1"/>
  <c r="U92" i="2"/>
  <c r="S91" i="2"/>
  <c r="BD90" i="1" l="1"/>
  <c r="AZ90" i="1"/>
  <c r="BJ96" i="1" s="1"/>
  <c r="BL96" i="1" s="1"/>
  <c r="AK90" i="1"/>
  <c r="AQ90" i="1" s="1"/>
  <c r="K91" i="2"/>
  <c r="Q92" i="2" l="1"/>
  <c r="M92" i="2"/>
  <c r="BF90" i="1"/>
  <c r="U91" i="2"/>
  <c r="S89" i="2"/>
  <c r="S90" i="2"/>
  <c r="K90" i="2"/>
  <c r="M91" i="2" s="1"/>
  <c r="AF75" i="1"/>
  <c r="AF68" i="1"/>
  <c r="AF61" i="1"/>
  <c r="AF47" i="1"/>
  <c r="AF40" i="1"/>
  <c r="P82" i="1"/>
  <c r="P75" i="1"/>
  <c r="P61" i="1"/>
  <c r="P54" i="1"/>
  <c r="R54" i="1" s="1"/>
  <c r="P47" i="1"/>
  <c r="P48" i="1" s="1"/>
  <c r="P40" i="1"/>
  <c r="P33" i="1"/>
  <c r="BD89" i="1"/>
  <c r="AZ89" i="1"/>
  <c r="AK89" i="1"/>
  <c r="AQ89" i="1" s="1"/>
  <c r="AF89" i="1"/>
  <c r="AH96" i="1" s="1"/>
  <c r="P89" i="1"/>
  <c r="R82" i="1" l="1"/>
  <c r="R89" i="1"/>
  <c r="R96" i="1"/>
  <c r="R40" i="1"/>
  <c r="AH68" i="1"/>
  <c r="R61" i="1"/>
  <c r="AH47" i="1"/>
  <c r="R47" i="1"/>
  <c r="AH75" i="1"/>
  <c r="Q91" i="2"/>
  <c r="U90" i="2"/>
  <c r="BF89" i="1"/>
  <c r="BD88" i="1"/>
  <c r="AZ88" i="1"/>
  <c r="AK88" i="1"/>
  <c r="AQ88" i="1" s="1"/>
  <c r="K89" i="2"/>
  <c r="Q90" i="2" l="1"/>
  <c r="M90" i="2"/>
  <c r="BF88" i="1"/>
  <c r="U89" i="2"/>
  <c r="S88" i="2"/>
  <c r="BD87" i="1" l="1"/>
  <c r="AZ87" i="1"/>
  <c r="AK87" i="1"/>
  <c r="AQ87" i="1" s="1"/>
  <c r="K88" i="2"/>
  <c r="Q89" i="2" l="1"/>
  <c r="M89" i="2"/>
  <c r="BF87" i="1"/>
  <c r="U88" i="2"/>
  <c r="S87" i="2"/>
  <c r="K87" i="2"/>
  <c r="Q88" i="2" s="1"/>
  <c r="BD86" i="1"/>
  <c r="AZ86" i="1"/>
  <c r="AK86" i="1"/>
  <c r="AQ86" i="1" s="1"/>
  <c r="U87" i="2" l="1"/>
  <c r="M88" i="2"/>
  <c r="BF86" i="1"/>
  <c r="S86" i="2"/>
  <c r="BD85" i="1" l="1"/>
  <c r="AZ85" i="1"/>
  <c r="AK85" i="1"/>
  <c r="AQ85" i="1" s="1"/>
  <c r="K86" i="2"/>
  <c r="Q87" i="2" l="1"/>
  <c r="M87" i="2"/>
  <c r="BF85" i="1"/>
  <c r="U86" i="2"/>
  <c r="S85" i="2"/>
  <c r="K85" i="2" l="1"/>
  <c r="BD84" i="1"/>
  <c r="AZ84" i="1"/>
  <c r="AK84" i="1"/>
  <c r="AQ84" i="1" s="1"/>
  <c r="Q86" i="2" l="1"/>
  <c r="M86" i="2"/>
  <c r="U85" i="2"/>
  <c r="BF84" i="1"/>
  <c r="BD83" i="1" l="1"/>
  <c r="AZ83" i="1"/>
  <c r="BJ89" i="1" s="1"/>
  <c r="BL89" i="1" s="1"/>
  <c r="AK83" i="1"/>
  <c r="AQ83" i="1" s="1"/>
  <c r="S84" i="2"/>
  <c r="K84" i="2"/>
  <c r="F138" i="3"/>
  <c r="F141" i="3" s="1"/>
  <c r="S83" i="2"/>
  <c r="Q85" i="2" l="1"/>
  <c r="M85" i="2"/>
  <c r="BF83" i="1"/>
  <c r="U84" i="2"/>
  <c r="V78" i="1" l="1"/>
  <c r="K83" i="2"/>
  <c r="BD82" i="1"/>
  <c r="AZ82" i="1"/>
  <c r="AK82" i="1"/>
  <c r="S82" i="2"/>
  <c r="K82" i="2"/>
  <c r="BD81" i="1"/>
  <c r="AZ81" i="1"/>
  <c r="AK81" i="1"/>
  <c r="AF82" i="1" l="1"/>
  <c r="AG78" i="1"/>
  <c r="AF84" i="1" s="1"/>
  <c r="AH82" i="1"/>
  <c r="AH89" i="1"/>
  <c r="U83" i="2"/>
  <c r="Q84" i="2"/>
  <c r="M84" i="2"/>
  <c r="AQ82" i="1"/>
  <c r="BF82" i="1"/>
  <c r="M83" i="2"/>
  <c r="Q83" i="2"/>
  <c r="U82" i="2"/>
  <c r="AQ81" i="1"/>
  <c r="BF81" i="1"/>
  <c r="AK80" i="1"/>
  <c r="AQ80" i="1" s="1"/>
  <c r="S81" i="2"/>
  <c r="K81" i="2"/>
  <c r="M82" i="2" s="1"/>
  <c r="BD80" i="1"/>
  <c r="AZ80" i="1"/>
  <c r="AQ170" i="1" l="1"/>
  <c r="U81" i="2"/>
  <c r="Q82" i="2"/>
  <c r="BF80" i="1"/>
  <c r="S80" i="2"/>
  <c r="K80" i="2"/>
  <c r="BD79" i="1"/>
  <c r="AZ79" i="1"/>
  <c r="AK79" i="1"/>
  <c r="U80" i="2" l="1"/>
  <c r="Q81" i="2"/>
  <c r="M81" i="2"/>
  <c r="AQ79" i="1"/>
  <c r="BF79" i="1"/>
  <c r="S79" i="2"/>
  <c r="K79" i="2" l="1"/>
  <c r="BD78" i="1"/>
  <c r="AZ78" i="1"/>
  <c r="AK78" i="1"/>
  <c r="AQ78" i="1" s="1"/>
  <c r="M80" i="2" l="1"/>
  <c r="Q80" i="2"/>
  <c r="U79" i="2"/>
  <c r="BF78" i="1"/>
  <c r="S78" i="2" l="1"/>
  <c r="BD77" i="1"/>
  <c r="AZ77" i="1"/>
  <c r="AK77" i="1"/>
  <c r="AQ77" i="1" s="1"/>
  <c r="K78" i="2"/>
  <c r="Q79" i="2" l="1"/>
  <c r="M79" i="2"/>
  <c r="BF77" i="1"/>
  <c r="U78" i="2"/>
  <c r="BD76" i="1"/>
  <c r="AZ76" i="1"/>
  <c r="AK76" i="1"/>
  <c r="AQ76" i="1" s="1"/>
  <c r="S77" i="2"/>
  <c r="K77" i="2"/>
  <c r="Q78" i="2" s="1"/>
  <c r="BJ82" i="1" l="1"/>
  <c r="BJ83" i="1"/>
  <c r="M78" i="2"/>
  <c r="BL82" i="1"/>
  <c r="BJ157" i="1"/>
  <c r="BF76" i="1"/>
  <c r="U77" i="2"/>
  <c r="S76" i="2"/>
  <c r="BD75" i="1" l="1"/>
  <c r="AZ75" i="1"/>
  <c r="AK75" i="1"/>
  <c r="AQ75" i="1" s="1"/>
  <c r="K76" i="2"/>
  <c r="Q77" i="2" l="1"/>
  <c r="M77" i="2"/>
  <c r="BF75" i="1"/>
  <c r="U76" i="2"/>
  <c r="S75" i="2" l="1"/>
  <c r="BD74" i="1"/>
  <c r="AZ74" i="1"/>
  <c r="AK74" i="1"/>
  <c r="AQ74" i="1" s="1"/>
  <c r="K75" i="2"/>
  <c r="M76" i="2" l="1"/>
  <c r="Q76" i="2"/>
  <c r="BF74" i="1"/>
  <c r="U75" i="2"/>
  <c r="S74" i="2"/>
  <c r="K74" i="2"/>
  <c r="BD73" i="1"/>
  <c r="AZ73" i="1"/>
  <c r="AK73" i="1"/>
  <c r="M75" i="2" l="1"/>
  <c r="Q75" i="2"/>
  <c r="AQ73" i="1"/>
  <c r="U74" i="2"/>
  <c r="BF73" i="1"/>
  <c r="D170" i="1"/>
  <c r="I60" i="3"/>
  <c r="S73" i="2" l="1"/>
  <c r="K73" i="2"/>
  <c r="S72" i="2"/>
  <c r="BD72" i="1"/>
  <c r="AZ72" i="1"/>
  <c r="AK72" i="1"/>
  <c r="AQ72" i="1" s="1"/>
  <c r="Q74" i="2" l="1"/>
  <c r="M74" i="2"/>
  <c r="BF72" i="1"/>
  <c r="U73" i="2"/>
  <c r="K72" i="2"/>
  <c r="BD71" i="1"/>
  <c r="AZ71" i="1"/>
  <c r="AK71" i="1"/>
  <c r="AQ71" i="1" s="1"/>
  <c r="M73" i="2" l="1"/>
  <c r="Q73" i="2"/>
  <c r="U72" i="2"/>
  <c r="BF71" i="1"/>
  <c r="S71" i="2"/>
  <c r="K71" i="2"/>
  <c r="M72" i="2" l="1"/>
  <c r="Q72" i="2"/>
  <c r="U71" i="2"/>
  <c r="BD70" i="1"/>
  <c r="AZ70" i="1"/>
  <c r="AK70" i="1"/>
  <c r="AQ70" i="1" s="1"/>
  <c r="BF70" i="1" l="1"/>
  <c r="S70" i="2"/>
  <c r="K70" i="2" l="1"/>
  <c r="BD69" i="1"/>
  <c r="AZ69" i="1"/>
  <c r="BJ75" i="1" s="1"/>
  <c r="BL75" i="1" s="1"/>
  <c r="AK69" i="1"/>
  <c r="AQ69" i="1" s="1"/>
  <c r="Q71" i="2" l="1"/>
  <c r="M71" i="2"/>
  <c r="U70" i="2"/>
  <c r="BF69" i="1"/>
  <c r="S69" i="2"/>
  <c r="K69" i="2" l="1"/>
  <c r="BD68" i="1"/>
  <c r="AZ68" i="1"/>
  <c r="AK68" i="1"/>
  <c r="AQ68" i="1" s="1"/>
  <c r="Q70" i="2" l="1"/>
  <c r="M70" i="2"/>
  <c r="U69" i="2"/>
  <c r="BF68" i="1"/>
  <c r="S68" i="2"/>
  <c r="D65" i="1"/>
  <c r="K68" i="2"/>
  <c r="M69" i="2" s="1"/>
  <c r="BD67" i="1"/>
  <c r="AZ67" i="1"/>
  <c r="AK67" i="1"/>
  <c r="P68" i="1" l="1"/>
  <c r="AF83" i="1"/>
  <c r="R68" i="1"/>
  <c r="R75" i="1"/>
  <c r="Q69" i="2"/>
  <c r="AQ67" i="1"/>
  <c r="U68" i="2"/>
  <c r="BF67" i="1"/>
  <c r="AF85" i="1" l="1"/>
  <c r="AO170" i="1"/>
  <c r="AU170" i="1" s="1"/>
  <c r="S67" i="2"/>
  <c r="K67" i="2"/>
  <c r="BD66" i="1"/>
  <c r="AZ66" i="1"/>
  <c r="AK66" i="1"/>
  <c r="AQ66" i="1" s="1"/>
  <c r="M68" i="2" l="1"/>
  <c r="Q68" i="2"/>
  <c r="U67" i="2"/>
  <c r="BF66" i="1"/>
  <c r="S66" i="2"/>
  <c r="K66" i="2" l="1"/>
  <c r="BD65" i="1"/>
  <c r="AZ65" i="1"/>
  <c r="AK65" i="1"/>
  <c r="Q67" i="2" l="1"/>
  <c r="M67" i="2"/>
  <c r="AQ65" i="1"/>
  <c r="U66" i="2"/>
  <c r="BF65" i="1"/>
  <c r="S65" i="2" l="1"/>
  <c r="I128" i="3" l="1"/>
  <c r="I125" i="3"/>
  <c r="L125" i="3" s="1"/>
  <c r="I78" i="3"/>
  <c r="I80" i="3" s="1"/>
  <c r="I77" i="3"/>
  <c r="BD64" i="1"/>
  <c r="AZ64" i="1"/>
  <c r="AK64" i="1"/>
  <c r="AQ64" i="1" s="1"/>
  <c r="K65" i="2"/>
  <c r="Y19" i="3"/>
  <c r="Q66" i="2" l="1"/>
  <c r="M66" i="2"/>
  <c r="L128" i="3"/>
  <c r="I79" i="3"/>
  <c r="I81" i="3" s="1"/>
  <c r="I82" i="3" s="1"/>
  <c r="BF64" i="1"/>
  <c r="U65" i="2"/>
  <c r="S64" i="2"/>
  <c r="N81" i="3" l="1"/>
  <c r="N82" i="3" s="1"/>
  <c r="I127" i="3"/>
  <c r="L127" i="3" s="1"/>
  <c r="K64" i="2"/>
  <c r="BD63" i="1"/>
  <c r="AZ63" i="1"/>
  <c r="AK63" i="1"/>
  <c r="AQ63" i="1" s="1"/>
  <c r="Y18" i="3"/>
  <c r="Q65" i="2" l="1"/>
  <c r="M65" i="2"/>
  <c r="I129" i="3"/>
  <c r="P111" i="3" s="1"/>
  <c r="U64" i="2"/>
  <c r="BF63" i="1"/>
  <c r="L118" i="3" l="1"/>
  <c r="L129" i="3"/>
  <c r="L117" i="3"/>
  <c r="S63" i="2"/>
  <c r="BD62" i="1"/>
  <c r="AZ62" i="1"/>
  <c r="BJ68" i="1" s="1"/>
  <c r="BL68" i="1" s="1"/>
  <c r="AK62" i="1"/>
  <c r="AQ62" i="1" s="1"/>
  <c r="K63" i="2"/>
  <c r="Y17" i="3"/>
  <c r="Q64" i="2" l="1"/>
  <c r="M64" i="2"/>
  <c r="BF62" i="1"/>
  <c r="U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Y16" i="3"/>
  <c r="M63" i="2" l="1"/>
  <c r="Q63" i="2"/>
  <c r="BF61" i="1"/>
  <c r="U62" i="2"/>
  <c r="S61" i="2"/>
  <c r="Y15" i="3" l="1"/>
  <c r="K61" i="2"/>
  <c r="Q62" i="2" l="1"/>
  <c r="M62" i="2"/>
  <c r="U61" i="2"/>
  <c r="BD60" i="1"/>
  <c r="AZ60" i="1"/>
  <c r="AK60" i="1"/>
  <c r="I58" i="3"/>
  <c r="I55" i="3"/>
  <c r="L55" i="3" l="1"/>
  <c r="L58" i="3"/>
  <c r="AQ60" i="1"/>
  <c r="BF60" i="1"/>
  <c r="S60" i="2"/>
  <c r="T153" i="2"/>
  <c r="S59" i="2"/>
  <c r="K60" i="2"/>
  <c r="BD59" i="1"/>
  <c r="AZ59" i="1"/>
  <c r="AK59" i="1"/>
  <c r="AQ59" i="1" s="1"/>
  <c r="Y14" i="3"/>
  <c r="M61" i="2" l="1"/>
  <c r="Q61" i="2"/>
  <c r="U60" i="2"/>
  <c r="BF59" i="1"/>
  <c r="D55" i="7"/>
  <c r="D56" i="7" s="1"/>
  <c r="D57" i="7" s="1"/>
  <c r="D58" i="7" s="1"/>
  <c r="D59" i="7" s="1"/>
  <c r="D60" i="7" s="1"/>
  <c r="K59" i="2"/>
  <c r="Y13" i="3"/>
  <c r="BD58" i="1"/>
  <c r="AZ58" i="1"/>
  <c r="AK58" i="1"/>
  <c r="AQ58" i="1" s="1"/>
  <c r="M60" i="2" l="1"/>
  <c r="Q60" i="2"/>
  <c r="U59" i="2"/>
  <c r="BF58" i="1"/>
  <c r="S58" i="2"/>
  <c r="AA11" i="3" l="1"/>
  <c r="AA10" i="3"/>
  <c r="AA9" i="3"/>
  <c r="AA8" i="3"/>
  <c r="AA7" i="3"/>
  <c r="K58" i="2" l="1"/>
  <c r="BD57" i="1"/>
  <c r="AZ57" i="1"/>
  <c r="AK57" i="1"/>
  <c r="AQ57" i="1" s="1"/>
  <c r="M59" i="2" l="1"/>
  <c r="Q59" i="2"/>
  <c r="U58" i="2"/>
  <c r="BF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D56" i="1"/>
  <c r="AZ56" i="1"/>
  <c r="AK56" i="1"/>
  <c r="AQ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Q58" i="2"/>
  <c r="M58" i="2"/>
  <c r="I59" i="3"/>
  <c r="L57" i="3"/>
  <c r="N50" i="3"/>
  <c r="I51" i="3"/>
  <c r="U57" i="2"/>
  <c r="BF56" i="1"/>
  <c r="S56" i="2"/>
  <c r="L53" i="7"/>
  <c r="K56" i="2"/>
  <c r="Q57" i="2" s="1"/>
  <c r="BD55" i="1"/>
  <c r="AZ55" i="1"/>
  <c r="BJ61" i="1" s="1"/>
  <c r="BL61" i="1" s="1"/>
  <c r="AK55" i="1"/>
  <c r="AQ55" i="1" s="1"/>
  <c r="U94" i="3" l="1"/>
  <c r="U95" i="3" s="1"/>
  <c r="U96" i="3" s="1"/>
  <c r="U97" i="3" s="1"/>
  <c r="U98" i="3" s="1"/>
  <c r="U99" i="3" s="1"/>
  <c r="U100" i="3" s="1"/>
  <c r="U109" i="3" s="1"/>
  <c r="M57" i="2"/>
  <c r="I61" i="3"/>
  <c r="L61" i="3" s="1"/>
  <c r="L67" i="3"/>
  <c r="L66" i="3"/>
  <c r="L59" i="3"/>
  <c r="N51" i="3"/>
  <c r="U56" i="2"/>
  <c r="BF55" i="1"/>
  <c r="V48" i="1"/>
  <c r="AF54" i="1" s="1"/>
  <c r="S55" i="2"/>
  <c r="L52" i="7"/>
  <c r="K55" i="2"/>
  <c r="Q56" i="2" s="1"/>
  <c r="BD54" i="1"/>
  <c r="AZ54" i="1"/>
  <c r="AK54" i="1"/>
  <c r="AQ54" i="1" s="1"/>
  <c r="AH54" i="1" l="1"/>
  <c r="AH61" i="1"/>
  <c r="U55" i="2"/>
  <c r="M56" i="2"/>
  <c r="BF54" i="1"/>
  <c r="S54" i="2"/>
  <c r="L51" i="7" l="1"/>
  <c r="K54" i="2"/>
  <c r="BD53" i="1"/>
  <c r="AZ53" i="1"/>
  <c r="AK53" i="1"/>
  <c r="AQ53" i="1" s="1"/>
  <c r="F73" i="7"/>
  <c r="F71" i="7"/>
  <c r="S53" i="2"/>
  <c r="L50" i="7"/>
  <c r="Q55" i="2" l="1"/>
  <c r="M55" i="2"/>
  <c r="U54" i="2"/>
  <c r="BF53" i="1"/>
  <c r="K53" i="2"/>
  <c r="Q54" i="2" s="1"/>
  <c r="BD52" i="1"/>
  <c r="AZ52" i="1"/>
  <c r="AK52" i="1"/>
  <c r="AQ52" i="1" s="1"/>
  <c r="M54" i="2" l="1"/>
  <c r="U53" i="2"/>
  <c r="BF52" i="1"/>
  <c r="G46" i="2"/>
  <c r="AO165" i="2"/>
  <c r="S52" i="2"/>
  <c r="AD29" i="2" l="1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Q36" i="2" s="1"/>
  <c r="G35" i="2"/>
  <c r="G34" i="2"/>
  <c r="G33" i="2"/>
  <c r="G32" i="2"/>
  <c r="K32" i="2" s="1"/>
  <c r="G31" i="2"/>
  <c r="K31" i="2" s="1"/>
  <c r="K52" i="2"/>
  <c r="K50" i="2"/>
  <c r="K49" i="2"/>
  <c r="Q49" i="2" s="1"/>
  <c r="K46" i="2"/>
  <c r="K43" i="2"/>
  <c r="K42" i="2"/>
  <c r="K41" i="2"/>
  <c r="K39" i="2"/>
  <c r="K35" i="2"/>
  <c r="K34" i="2"/>
  <c r="K33" i="2"/>
  <c r="Q33" i="2" s="1"/>
  <c r="G30" i="2"/>
  <c r="K30" i="2" s="1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53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Q41" i="2" l="1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V13" i="1"/>
  <c r="AW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W113" i="2" l="1"/>
  <c r="W114" i="2" s="1"/>
  <c r="W115" i="2" s="1"/>
  <c r="W116" i="2" s="1"/>
  <c r="W117" i="2" s="1"/>
  <c r="W118" i="2" s="1"/>
  <c r="W119" i="2" s="1"/>
  <c r="W120" i="2" s="1"/>
  <c r="W121" i="2" s="1"/>
  <c r="BV14" i="1"/>
  <c r="AW13" i="1"/>
  <c r="AH29" i="2"/>
  <c r="AJ29" i="2" s="1"/>
  <c r="AH28" i="2"/>
  <c r="AJ28" i="2" s="1"/>
  <c r="AH27" i="2"/>
  <c r="BF51" i="1"/>
  <c r="BD50" i="1"/>
  <c r="AZ50" i="1"/>
  <c r="AK50" i="1"/>
  <c r="AQ50" i="1" s="1"/>
  <c r="W122" i="2" l="1"/>
  <c r="W123" i="2" s="1"/>
  <c r="W124" i="2" s="1"/>
  <c r="W125" i="2" s="1"/>
  <c r="W126" i="2" s="1"/>
  <c r="W127" i="2" s="1"/>
  <c r="BV15" i="1"/>
  <c r="AW14" i="1"/>
  <c r="AJ27" i="2"/>
  <c r="AH31" i="2"/>
  <c r="BF50" i="1"/>
  <c r="W128" i="2" l="1"/>
  <c r="W129" i="2" s="1"/>
  <c r="W130" i="2" s="1"/>
  <c r="W131" i="2" s="1"/>
  <c r="W132" i="2" s="1"/>
  <c r="W133" i="2" s="1"/>
  <c r="W134" i="2" s="1"/>
  <c r="BV16" i="1"/>
  <c r="AW15" i="1"/>
  <c r="AJ31" i="2"/>
  <c r="AH16" i="2" s="1"/>
  <c r="BD49" i="1"/>
  <c r="AZ49" i="1"/>
  <c r="AK49" i="1"/>
  <c r="AQ49" i="1" s="1"/>
  <c r="W135" i="2" l="1"/>
  <c r="W136" i="2" s="1"/>
  <c r="W137" i="2" s="1"/>
  <c r="W138" i="2" s="1"/>
  <c r="BV17" i="1"/>
  <c r="AW16" i="1"/>
  <c r="BF49" i="1"/>
  <c r="W139" i="2" l="1"/>
  <c r="W140" i="2" s="1"/>
  <c r="W141" i="2" s="1"/>
  <c r="W142" i="2" s="1"/>
  <c r="W143" i="2" s="1"/>
  <c r="W144" i="2" s="1"/>
  <c r="BV18" i="1"/>
  <c r="AW17" i="1"/>
  <c r="BD48" i="1"/>
  <c r="AZ48" i="1"/>
  <c r="BJ54" i="1" s="1"/>
  <c r="AK48" i="1"/>
  <c r="AQ48" i="1" s="1"/>
  <c r="B207" i="1"/>
  <c r="B210" i="1"/>
  <c r="BL54" i="1" l="1"/>
  <c r="BJ163" i="1" s="1"/>
  <c r="BJ158" i="1"/>
  <c r="BJ160" i="1" s="1"/>
  <c r="BV19" i="1"/>
  <c r="AW18" i="1"/>
  <c r="BF48" i="1"/>
  <c r="BD47" i="1"/>
  <c r="AZ47" i="1"/>
  <c r="AK47" i="1"/>
  <c r="AQ47" i="1" s="1"/>
  <c r="BJ165" i="1" l="1"/>
  <c r="BJ162" i="1"/>
  <c r="BV20" i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BD26" i="1"/>
  <c r="AK26" i="1"/>
  <c r="AQ26" i="1" s="1"/>
  <c r="BV42" i="1" l="1"/>
  <c r="BM42" i="1" s="1"/>
  <c r="AW41" i="1"/>
  <c r="V23" i="1"/>
  <c r="V22" i="1"/>
  <c r="AG51" i="1" s="1"/>
  <c r="V21" i="1"/>
  <c r="V20" i="1"/>
  <c r="AF26" i="1" s="1"/>
  <c r="AH33" i="1" s="1"/>
  <c r="V17" i="1"/>
  <c r="V13" i="1"/>
  <c r="V12" i="1"/>
  <c r="V10" i="1"/>
  <c r="AQ169" i="1" l="1"/>
  <c r="BV43" i="1"/>
  <c r="BM43" i="1" s="1"/>
  <c r="AW42" i="1"/>
  <c r="BD24" i="1"/>
  <c r="BB24" i="1"/>
  <c r="AQ174" i="1" l="1"/>
  <c r="AQ176" i="1" s="1"/>
  <c r="AU176" i="1" s="1"/>
  <c r="BV44" i="1"/>
  <c r="BM44" i="1" s="1"/>
  <c r="AW43" i="1"/>
  <c r="BO24" i="1"/>
  <c r="AK25" i="1"/>
  <c r="AQ25" i="1" s="1"/>
  <c r="BD25" i="1"/>
  <c r="BB25" i="1"/>
  <c r="BB26" i="1" s="1"/>
  <c r="AZ27" i="1" s="1"/>
  <c r="BJ51" i="1" s="1"/>
  <c r="BV45" i="1" l="1"/>
  <c r="BM45" i="1" s="1"/>
  <c r="AW44" i="1"/>
  <c r="BO25" i="1"/>
  <c r="BQ24" i="1"/>
  <c r="AK24" i="1"/>
  <c r="AQ24" i="1" s="1"/>
  <c r="D23" i="1"/>
  <c r="AK23" i="1"/>
  <c r="AQ23" i="1" s="1"/>
  <c r="P26" i="1" l="1"/>
  <c r="R33" i="1" s="1"/>
  <c r="AG50" i="1"/>
  <c r="BV46" i="1"/>
  <c r="BM46" i="1" s="1"/>
  <c r="AW45" i="1"/>
  <c r="BQ25" i="1"/>
  <c r="BO26" i="1"/>
  <c r="AO169" i="1" l="1"/>
  <c r="AU169" i="1" s="1"/>
  <c r="AG49" i="1"/>
  <c r="BV47" i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V53" i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J22" i="1"/>
  <c r="H22" i="1"/>
  <c r="N22" i="1" s="1"/>
  <c r="AU21" i="1"/>
  <c r="AD23" i="1" l="1"/>
  <c r="Z24" i="1"/>
  <c r="BV68" i="1"/>
  <c r="AW67" i="1"/>
  <c r="BM67" i="1"/>
  <c r="BM66" i="1"/>
  <c r="AW66" i="1"/>
  <c r="AB22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Z35" i="1" s="1"/>
  <c r="H31" i="1"/>
  <c r="J31" i="1"/>
  <c r="AU30" i="1"/>
  <c r="AB30" i="1"/>
  <c r="AD34" i="1" l="1"/>
  <c r="BV80" i="1"/>
  <c r="BM79" i="1"/>
  <c r="AW79" i="1"/>
  <c r="BM78" i="1"/>
  <c r="AW78" i="1"/>
  <c r="J32" i="1"/>
  <c r="N31" i="1"/>
  <c r="BQ53" i="1"/>
  <c r="BO54" i="1"/>
  <c r="H32" i="1"/>
  <c r="AB31" i="1"/>
  <c r="AU31" i="1"/>
  <c r="AD35" i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H35" i="1" s="1"/>
  <c r="BQ55" i="1"/>
  <c r="BO56" i="1"/>
  <c r="J34" i="1"/>
  <c r="Z37" i="1"/>
  <c r="AD37" i="1" s="1"/>
  <c r="N34" i="1" l="1"/>
  <c r="BV83" i="1"/>
  <c r="BV84" i="1" s="1"/>
  <c r="BM82" i="1"/>
  <c r="AW82" i="1"/>
  <c r="AB34" i="1"/>
  <c r="J35" i="1"/>
  <c r="N35" i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V87" i="1" s="1"/>
  <c r="BM85" i="1"/>
  <c r="AW85" i="1"/>
  <c r="J37" i="1"/>
  <c r="H37" i="1"/>
  <c r="N37" i="1" s="1"/>
  <c r="AU36" i="1"/>
  <c r="AB36" i="1"/>
  <c r="BQ58" i="1"/>
  <c r="BO59" i="1"/>
  <c r="Z40" i="1"/>
  <c r="AD40" i="1" s="1"/>
  <c r="BV88" i="1" l="1"/>
  <c r="BM87" i="1"/>
  <c r="AW87" i="1"/>
  <c r="AB37" i="1"/>
  <c r="AW86" i="1"/>
  <c r="BM86" i="1"/>
  <c r="AU37" i="1"/>
  <c r="H38" i="1"/>
  <c r="N38" i="1" s="1"/>
  <c r="J38" i="1"/>
  <c r="BQ59" i="1"/>
  <c r="BO60" i="1"/>
  <c r="Z41" i="1"/>
  <c r="AD41" i="1" s="1"/>
  <c r="BV89" i="1" l="1"/>
  <c r="AW88" i="1"/>
  <c r="BM88" i="1"/>
  <c r="AB38" i="1"/>
  <c r="AU38" i="1"/>
  <c r="J39" i="1"/>
  <c r="H39" i="1"/>
  <c r="N39" i="1" s="1"/>
  <c r="BQ60" i="1"/>
  <c r="BO61" i="1"/>
  <c r="Z42" i="1"/>
  <c r="AD42" i="1" s="1"/>
  <c r="BV90" i="1" l="1"/>
  <c r="BV91" i="1" s="1"/>
  <c r="AW89" i="1"/>
  <c r="BM89" i="1"/>
  <c r="H40" i="1"/>
  <c r="J41" i="1" s="1"/>
  <c r="AB39" i="1"/>
  <c r="AU39" i="1"/>
  <c r="J40" i="1"/>
  <c r="N40" i="1"/>
  <c r="BQ61" i="1"/>
  <c r="BO62" i="1"/>
  <c r="Z43" i="1"/>
  <c r="AD43" i="1" s="1"/>
  <c r="AB40" i="1" l="1"/>
  <c r="AU40" i="1"/>
  <c r="H41" i="1"/>
  <c r="N41" i="1" s="1"/>
  <c r="BV92" i="1"/>
  <c r="BM91" i="1"/>
  <c r="AW91" i="1"/>
  <c r="BM90" i="1"/>
  <c r="AW90" i="1"/>
  <c r="BQ62" i="1"/>
  <c r="BO63" i="1"/>
  <c r="Z44" i="1"/>
  <c r="AD44" i="1" s="1"/>
  <c r="J42" i="1"/>
  <c r="H42" i="1"/>
  <c r="N42" i="1" s="1"/>
  <c r="AU41" i="1"/>
  <c r="AB41" i="1"/>
  <c r="BV93" i="1" l="1"/>
  <c r="BM92" i="1"/>
  <c r="AW92" i="1"/>
  <c r="BO64" i="1"/>
  <c r="BQ63" i="1"/>
  <c r="Z45" i="1"/>
  <c r="AD45" i="1" s="1"/>
  <c r="J43" i="1"/>
  <c r="H43" i="1"/>
  <c r="N43" i="1" s="1"/>
  <c r="AU42" i="1"/>
  <c r="AB42" i="1"/>
  <c r="BV94" i="1" l="1"/>
  <c r="BM93" i="1"/>
  <c r="AW93" i="1"/>
  <c r="BO65" i="1"/>
  <c r="BQ64" i="1"/>
  <c r="Z46" i="1"/>
  <c r="AD46" i="1" s="1"/>
  <c r="J44" i="1"/>
  <c r="H44" i="1"/>
  <c r="AU43" i="1"/>
  <c r="AB43" i="1"/>
  <c r="BV95" i="1" l="1"/>
  <c r="BV96" i="1" s="1"/>
  <c r="AW94" i="1"/>
  <c r="BM94" i="1"/>
  <c r="BO66" i="1"/>
  <c r="BQ65" i="1"/>
  <c r="N44" i="1"/>
  <c r="Z47" i="1"/>
  <c r="AD47" i="1" s="1"/>
  <c r="AU44" i="1"/>
  <c r="J45" i="1"/>
  <c r="AB44" i="1"/>
  <c r="H45" i="1"/>
  <c r="N45" i="1" l="1"/>
  <c r="H46" i="1"/>
  <c r="BV97" i="1"/>
  <c r="BM96" i="1"/>
  <c r="AW96" i="1"/>
  <c r="BM95" i="1"/>
  <c r="AW95" i="1"/>
  <c r="BO67" i="1"/>
  <c r="BQ66" i="1"/>
  <c r="Z48" i="1"/>
  <c r="AD48" i="1" s="1"/>
  <c r="J46" i="1"/>
  <c r="AU45" i="1"/>
  <c r="AB45" i="1"/>
  <c r="BM97" i="1" l="1"/>
  <c r="AW97" i="1"/>
  <c r="BV98" i="1"/>
  <c r="BO68" i="1"/>
  <c r="BO69" i="1" s="1"/>
  <c r="BQ67" i="1"/>
  <c r="J47" i="1"/>
  <c r="N46" i="1"/>
  <c r="H47" i="1"/>
  <c r="Z49" i="1"/>
  <c r="AD49" i="1" s="1"/>
  <c r="AU46" i="1"/>
  <c r="AB46" i="1"/>
  <c r="BV99" i="1" l="1"/>
  <c r="BV100" i="1" s="1"/>
  <c r="BM98" i="1"/>
  <c r="AW98" i="1"/>
  <c r="BQ69" i="1"/>
  <c r="BO70" i="1"/>
  <c r="BQ68" i="1"/>
  <c r="AU47" i="1"/>
  <c r="N47" i="1"/>
  <c r="AB47" i="1"/>
  <c r="H48" i="1"/>
  <c r="AU48" i="1" s="1"/>
  <c r="J48" i="1"/>
  <c r="Z50" i="1"/>
  <c r="AD50" i="1" s="1"/>
  <c r="BV101" i="1" l="1"/>
  <c r="BM100" i="1"/>
  <c r="AW100" i="1"/>
  <c r="BM99" i="1"/>
  <c r="AW99" i="1"/>
  <c r="BQ70" i="1"/>
  <c r="BO71" i="1"/>
  <c r="AB48" i="1"/>
  <c r="J49" i="1"/>
  <c r="N48" i="1"/>
  <c r="H49" i="1"/>
  <c r="H50" i="1" s="1"/>
  <c r="N50" i="1" s="1"/>
  <c r="Z51" i="1"/>
  <c r="BV102" i="1" l="1"/>
  <c r="AW101" i="1"/>
  <c r="BM101" i="1"/>
  <c r="AU49" i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V103" i="1" l="1"/>
  <c r="AW102" i="1"/>
  <c r="BM102" i="1"/>
  <c r="BQ73" i="1"/>
  <c r="BO74" i="1"/>
  <c r="BQ72" i="1"/>
  <c r="N51" i="1"/>
  <c r="Z53" i="1"/>
  <c r="AD52" i="1"/>
  <c r="H52" i="1"/>
  <c r="N52" i="1" s="1"/>
  <c r="J52" i="1"/>
  <c r="AB51" i="1"/>
  <c r="AU51" i="1"/>
  <c r="BV104" i="1" l="1"/>
  <c r="AW103" i="1"/>
  <c r="BM103" i="1"/>
  <c r="BQ74" i="1"/>
  <c r="BO75" i="1"/>
  <c r="Z54" i="1"/>
  <c r="AD53" i="1"/>
  <c r="AU52" i="1"/>
  <c r="H53" i="1"/>
  <c r="J53" i="1"/>
  <c r="AB52" i="1"/>
  <c r="BV105" i="1" l="1"/>
  <c r="BM104" i="1"/>
  <c r="AW104" i="1"/>
  <c r="BO76" i="1"/>
  <c r="BQ75" i="1"/>
  <c r="N53" i="1"/>
  <c r="AD54" i="1"/>
  <c r="Z55" i="1"/>
  <c r="AU53" i="1"/>
  <c r="H54" i="1"/>
  <c r="J54" i="1"/>
  <c r="AB53" i="1"/>
  <c r="BV106" i="1" l="1"/>
  <c r="BM105" i="1"/>
  <c r="AW105" i="1"/>
  <c r="BQ76" i="1"/>
  <c r="BO77" i="1"/>
  <c r="H55" i="1"/>
  <c r="J55" i="1"/>
  <c r="N54" i="1"/>
  <c r="AD55" i="1"/>
  <c r="Z56" i="1"/>
  <c r="AU54" i="1"/>
  <c r="AB54" i="1"/>
  <c r="BM106" i="1" l="1"/>
  <c r="AW106" i="1"/>
  <c r="BV107" i="1"/>
  <c r="BQ77" i="1"/>
  <c r="BO78" i="1"/>
  <c r="BO79" i="1" s="1"/>
  <c r="N55" i="1"/>
  <c r="AD56" i="1"/>
  <c r="Z57" i="1"/>
  <c r="J56" i="1"/>
  <c r="H56" i="1"/>
  <c r="AU55" i="1"/>
  <c r="AB55" i="1"/>
  <c r="BV108" i="1" l="1"/>
  <c r="BV109" i="1" s="1"/>
  <c r="AW107" i="1"/>
  <c r="BM107" i="1"/>
  <c r="BQ79" i="1"/>
  <c r="BO80" i="1"/>
  <c r="BQ78" i="1"/>
  <c r="N56" i="1"/>
  <c r="H57" i="1"/>
  <c r="AB57" i="1" s="1"/>
  <c r="J57" i="1"/>
  <c r="AD57" i="1"/>
  <c r="Z58" i="1"/>
  <c r="AU56" i="1"/>
  <c r="AB56" i="1"/>
  <c r="BV110" i="1" l="1"/>
  <c r="BM109" i="1"/>
  <c r="AW109" i="1"/>
  <c r="AW108" i="1"/>
  <c r="BM108" i="1"/>
  <c r="BQ80" i="1"/>
  <c r="BO81" i="1"/>
  <c r="AD58" i="1"/>
  <c r="Z59" i="1"/>
  <c r="Z60" i="1" s="1"/>
  <c r="AU57" i="1"/>
  <c r="N57" i="1"/>
  <c r="J58" i="1"/>
  <c r="H58" i="1"/>
  <c r="AB58" i="1" s="1"/>
  <c r="BV111" i="1" l="1"/>
  <c r="AW110" i="1"/>
  <c r="BM110" i="1"/>
  <c r="BQ81" i="1"/>
  <c r="BO82" i="1"/>
  <c r="Z61" i="1"/>
  <c r="AD60" i="1"/>
  <c r="AD59" i="1"/>
  <c r="AU58" i="1"/>
  <c r="J59" i="1"/>
  <c r="H59" i="1"/>
  <c r="N58" i="1"/>
  <c r="BV112" i="1" l="1"/>
  <c r="AW111" i="1"/>
  <c r="BM111" i="1"/>
  <c r="BO83" i="1"/>
  <c r="BO84" i="1" s="1"/>
  <c r="BQ82" i="1"/>
  <c r="Z62" i="1"/>
  <c r="AD61" i="1"/>
  <c r="J60" i="1"/>
  <c r="H60" i="1"/>
  <c r="AU59" i="1"/>
  <c r="N59" i="1"/>
  <c r="AB59" i="1"/>
  <c r="AA12" i="3"/>
  <c r="AA13" i="3"/>
  <c r="BV113" i="1" l="1"/>
  <c r="BV114" i="1" s="1"/>
  <c r="BM112" i="1"/>
  <c r="AW112" i="1"/>
  <c r="BQ84" i="1"/>
  <c r="BO85" i="1"/>
  <c r="BO86" i="1" s="1"/>
  <c r="BO87" i="1" s="1"/>
  <c r="BQ83" i="1"/>
  <c r="AD62" i="1"/>
  <c r="Z63" i="1"/>
  <c r="J61" i="1"/>
  <c r="H61" i="1"/>
  <c r="AU60" i="1"/>
  <c r="N60" i="1"/>
  <c r="AB60" i="1"/>
  <c r="BV115" i="1" l="1"/>
  <c r="BM114" i="1"/>
  <c r="AW114" i="1"/>
  <c r="BM113" i="1"/>
  <c r="AW113" i="1"/>
  <c r="BQ87" i="1"/>
  <c r="BO88" i="1"/>
  <c r="BQ86" i="1"/>
  <c r="BQ85" i="1"/>
  <c r="Z64" i="1"/>
  <c r="Z65" i="1" s="1"/>
  <c r="H62" i="1"/>
  <c r="J62" i="1"/>
  <c r="AD63" i="1"/>
  <c r="AU61" i="1"/>
  <c r="N61" i="1"/>
  <c r="AB61" i="1"/>
  <c r="BV116" i="1" l="1"/>
  <c r="AW115" i="1"/>
  <c r="BM115" i="1"/>
  <c r="BO89" i="1"/>
  <c r="BQ88" i="1"/>
  <c r="AD65" i="1"/>
  <c r="Z66" i="1"/>
  <c r="AD64" i="1"/>
  <c r="AU62" i="1"/>
  <c r="H63" i="1"/>
  <c r="J63" i="1"/>
  <c r="N62" i="1"/>
  <c r="AB62" i="1"/>
  <c r="BV117" i="1" l="1"/>
  <c r="AW116" i="1"/>
  <c r="BM116" i="1"/>
  <c r="BQ89" i="1"/>
  <c r="BO90" i="1"/>
  <c r="BO91" i="1" s="1"/>
  <c r="Z67" i="1"/>
  <c r="AD66" i="1"/>
  <c r="J64" i="1"/>
  <c r="H64" i="1"/>
  <c r="AU63" i="1"/>
  <c r="N63" i="1"/>
  <c r="AB63" i="1"/>
  <c r="AA17" i="3"/>
  <c r="AA18" i="3"/>
  <c r="AA15" i="3"/>
  <c r="AA16" i="3"/>
  <c r="AA14" i="3"/>
  <c r="BV118" i="1" l="1"/>
  <c r="AW117" i="1"/>
  <c r="BM117" i="1"/>
  <c r="BQ91" i="1"/>
  <c r="BO92" i="1"/>
  <c r="BQ90" i="1"/>
  <c r="Z68" i="1"/>
  <c r="Z69" i="1" s="1"/>
  <c r="AD67" i="1"/>
  <c r="H65" i="1"/>
  <c r="J65" i="1"/>
  <c r="AU64" i="1"/>
  <c r="N64" i="1"/>
  <c r="AB64" i="1"/>
  <c r="BV119" i="1" l="1"/>
  <c r="BM118" i="1"/>
  <c r="AW118" i="1"/>
  <c r="BQ92" i="1"/>
  <c r="BO93" i="1"/>
  <c r="Z70" i="1"/>
  <c r="Z71" i="1" s="1"/>
  <c r="AD69" i="1"/>
  <c r="AD68" i="1"/>
  <c r="AB65" i="1"/>
  <c r="J66" i="1"/>
  <c r="H66" i="1"/>
  <c r="AU65" i="1"/>
  <c r="N65" i="1"/>
  <c r="BV120" i="1" l="1"/>
  <c r="BM119" i="1"/>
  <c r="AW119" i="1"/>
  <c r="BQ93" i="1"/>
  <c r="BO94" i="1"/>
  <c r="Z72" i="1"/>
  <c r="AD71" i="1"/>
  <c r="AD70" i="1"/>
  <c r="J67" i="1"/>
  <c r="H67" i="1"/>
  <c r="AU66" i="1"/>
  <c r="N66" i="1"/>
  <c r="AB66" i="1"/>
  <c r="AA20" i="3"/>
  <c r="AA19" i="3"/>
  <c r="BV121" i="1" l="1"/>
  <c r="BV122" i="1" s="1"/>
  <c r="AW120" i="1"/>
  <c r="BM120" i="1"/>
  <c r="BO95" i="1"/>
  <c r="BO96" i="1" s="1"/>
  <c r="BQ94" i="1"/>
  <c r="Z73" i="1"/>
  <c r="AD72" i="1"/>
  <c r="H68" i="1"/>
  <c r="J68" i="1"/>
  <c r="AU67" i="1"/>
  <c r="N67" i="1"/>
  <c r="AB67" i="1"/>
  <c r="AW122" i="1" l="1"/>
  <c r="BV123" i="1"/>
  <c r="BM122" i="1"/>
  <c r="BM121" i="1"/>
  <c r="AW121" i="1"/>
  <c r="BQ96" i="1"/>
  <c r="BO97" i="1"/>
  <c r="BQ95" i="1"/>
  <c r="Z74" i="1"/>
  <c r="AD73" i="1"/>
  <c r="J69" i="1"/>
  <c r="H69" i="1"/>
  <c r="AU68" i="1"/>
  <c r="N68" i="1"/>
  <c r="AB68" i="1"/>
  <c r="BV124" i="1" l="1"/>
  <c r="BM123" i="1"/>
  <c r="AW123" i="1"/>
  <c r="BO98" i="1"/>
  <c r="BQ97" i="1"/>
  <c r="Z75" i="1"/>
  <c r="AD74" i="1"/>
  <c r="J70" i="1"/>
  <c r="H70" i="1"/>
  <c r="AU69" i="1"/>
  <c r="AB69" i="1"/>
  <c r="N69" i="1"/>
  <c r="AA22" i="3"/>
  <c r="AA21" i="3"/>
  <c r="BV125" i="1" l="1"/>
  <c r="AW124" i="1"/>
  <c r="BM124" i="1"/>
  <c r="BO99" i="1"/>
  <c r="BO100" i="1" s="1"/>
  <c r="BQ98" i="1"/>
  <c r="Z76" i="1"/>
  <c r="AD75" i="1"/>
  <c r="H71" i="1"/>
  <c r="J71" i="1"/>
  <c r="N70" i="1"/>
  <c r="AU70" i="1"/>
  <c r="AB70" i="1"/>
  <c r="BV126" i="1" l="1"/>
  <c r="BM125" i="1"/>
  <c r="AW125" i="1"/>
  <c r="BQ100" i="1"/>
  <c r="BO101" i="1"/>
  <c r="BQ99" i="1"/>
  <c r="Z77" i="1"/>
  <c r="AD76" i="1"/>
  <c r="AU71" i="1"/>
  <c r="H72" i="1"/>
  <c r="AB71" i="1"/>
  <c r="N71" i="1"/>
  <c r="J72" i="1"/>
  <c r="AA24" i="3"/>
  <c r="AA23" i="3"/>
  <c r="BV127" i="1" l="1"/>
  <c r="AW126" i="1"/>
  <c r="BM126" i="1"/>
  <c r="BO102" i="1"/>
  <c r="BQ101" i="1"/>
  <c r="AD77" i="1"/>
  <c r="Z78" i="1"/>
  <c r="Z79" i="1" s="1"/>
  <c r="J73" i="1"/>
  <c r="H73" i="1"/>
  <c r="AU72" i="1"/>
  <c r="AB72" i="1"/>
  <c r="N72" i="1"/>
  <c r="BV128" i="1" l="1"/>
  <c r="BV129" i="1" s="1"/>
  <c r="AW127" i="1"/>
  <c r="BM127" i="1"/>
  <c r="BO103" i="1"/>
  <c r="BQ102" i="1"/>
  <c r="AD79" i="1"/>
  <c r="Z80" i="1"/>
  <c r="AD78" i="1"/>
  <c r="J74" i="1"/>
  <c r="H74" i="1"/>
  <c r="AU73" i="1"/>
  <c r="AB73" i="1"/>
  <c r="N73" i="1"/>
  <c r="AA26" i="3"/>
  <c r="AA25" i="3"/>
  <c r="BM129" i="1" l="1"/>
  <c r="BV130" i="1"/>
  <c r="AW129" i="1"/>
  <c r="AW128" i="1"/>
  <c r="BM128" i="1"/>
  <c r="BQ103" i="1"/>
  <c r="BO104" i="1"/>
  <c r="AD80" i="1"/>
  <c r="Z81" i="1"/>
  <c r="AU74" i="1"/>
  <c r="J75" i="1"/>
  <c r="H75" i="1"/>
  <c r="AB74" i="1"/>
  <c r="N74" i="1"/>
  <c r="BV131" i="1" l="1"/>
  <c r="BM130" i="1"/>
  <c r="AW130" i="1"/>
  <c r="BO105" i="1"/>
  <c r="BQ104" i="1"/>
  <c r="AD81" i="1"/>
  <c r="Z82" i="1"/>
  <c r="Z83" i="1" s="1"/>
  <c r="Z84" i="1" s="1"/>
  <c r="AU75" i="1"/>
  <c r="J76" i="1"/>
  <c r="H76" i="1"/>
  <c r="AB75" i="1"/>
  <c r="N75" i="1"/>
  <c r="AA30" i="3"/>
  <c r="AA31" i="3"/>
  <c r="AA28" i="3"/>
  <c r="AA29" i="3"/>
  <c r="BV132" i="1" l="1"/>
  <c r="BM131" i="1"/>
  <c r="AW131" i="1"/>
  <c r="BO106" i="1"/>
  <c r="BQ105" i="1"/>
  <c r="AD84" i="1"/>
  <c r="Z85" i="1"/>
  <c r="Z86" i="1" s="1"/>
  <c r="Z87" i="1" s="1"/>
  <c r="AD83" i="1"/>
  <c r="AD82" i="1"/>
  <c r="AU76" i="1"/>
  <c r="J77" i="1"/>
  <c r="H77" i="1"/>
  <c r="N76" i="1"/>
  <c r="AB76" i="1"/>
  <c r="AA27" i="3"/>
  <c r="BV133" i="1" l="1"/>
  <c r="BM132" i="1"/>
  <c r="AW132" i="1"/>
  <c r="BQ106" i="1"/>
  <c r="BO107" i="1"/>
  <c r="AD87" i="1"/>
  <c r="Z88" i="1"/>
  <c r="AD86" i="1"/>
  <c r="AD85" i="1"/>
  <c r="H78" i="1"/>
  <c r="J78" i="1"/>
  <c r="N77" i="1"/>
  <c r="AU77" i="1"/>
  <c r="AB77" i="1"/>
  <c r="BV134" i="1" l="1"/>
  <c r="BM133" i="1"/>
  <c r="AW133" i="1"/>
  <c r="BO108" i="1"/>
  <c r="BO109" i="1" s="1"/>
  <c r="BQ107" i="1"/>
  <c r="Z89" i="1"/>
  <c r="AD88" i="1"/>
  <c r="J79" i="1"/>
  <c r="H79" i="1"/>
  <c r="AU78" i="1"/>
  <c r="N78" i="1"/>
  <c r="AB78" i="1"/>
  <c r="BM134" i="1" l="1"/>
  <c r="BV135" i="1"/>
  <c r="AW134" i="1"/>
  <c r="BQ109" i="1"/>
  <c r="BO110" i="1"/>
  <c r="BQ108" i="1"/>
  <c r="AD89" i="1"/>
  <c r="Z90" i="1"/>
  <c r="Z91" i="1" s="1"/>
  <c r="N79" i="1"/>
  <c r="J80" i="1"/>
  <c r="H80" i="1"/>
  <c r="AB79" i="1"/>
  <c r="AU79" i="1"/>
  <c r="AA32" i="3"/>
  <c r="BM135" i="1" l="1"/>
  <c r="BV136" i="1"/>
  <c r="AW135" i="1"/>
  <c r="BO111" i="1"/>
  <c r="BO112" i="1" s="1"/>
  <c r="BQ110" i="1"/>
  <c r="Z92" i="1"/>
  <c r="AD91" i="1"/>
  <c r="AD90" i="1"/>
  <c r="H81" i="1"/>
  <c r="J81" i="1"/>
  <c r="AU80" i="1"/>
  <c r="N80" i="1"/>
  <c r="AB80" i="1"/>
  <c r="BM136" i="1" l="1"/>
  <c r="AW136" i="1"/>
  <c r="BV137" i="1"/>
  <c r="BQ112" i="1"/>
  <c r="BO113" i="1"/>
  <c r="BO114" i="1" s="1"/>
  <c r="BO115" i="1" s="1"/>
  <c r="BQ111" i="1"/>
  <c r="Z93" i="1"/>
  <c r="Z94" i="1" s="1"/>
  <c r="AD92" i="1"/>
  <c r="N81" i="1"/>
  <c r="H82" i="1"/>
  <c r="J82" i="1"/>
  <c r="AB81" i="1"/>
  <c r="AU81" i="1"/>
  <c r="AA36" i="3"/>
  <c r="AA34" i="3"/>
  <c r="AA35" i="3"/>
  <c r="AA33" i="3"/>
  <c r="BV138" i="1" l="1"/>
  <c r="BV139" i="1" s="1"/>
  <c r="BV140" i="1" s="1"/>
  <c r="BM137" i="1"/>
  <c r="AW137" i="1"/>
  <c r="BO116" i="1"/>
  <c r="BQ115" i="1"/>
  <c r="BQ114" i="1"/>
  <c r="BQ113" i="1"/>
  <c r="Z95" i="1"/>
  <c r="Z96" i="1" s="1"/>
  <c r="AD94" i="1"/>
  <c r="AD93" i="1"/>
  <c r="J83" i="1"/>
  <c r="H83" i="1"/>
  <c r="AU82" i="1"/>
  <c r="N82" i="1"/>
  <c r="AB82" i="1"/>
  <c r="BV141" i="1" l="1"/>
  <c r="BM140" i="1"/>
  <c r="AW140" i="1"/>
  <c r="BM139" i="1"/>
  <c r="AW139" i="1"/>
  <c r="AW138" i="1"/>
  <c r="BM138" i="1"/>
  <c r="BQ116" i="1"/>
  <c r="BO117" i="1"/>
  <c r="Z97" i="1"/>
  <c r="AD96" i="1"/>
  <c r="AD95" i="1"/>
  <c r="J84" i="1"/>
  <c r="H84" i="1"/>
  <c r="AU83" i="1"/>
  <c r="N83" i="1"/>
  <c r="AB83" i="1"/>
  <c r="AW141" i="1" l="1"/>
  <c r="BV142" i="1"/>
  <c r="BM141" i="1"/>
  <c r="BQ117" i="1"/>
  <c r="BO118" i="1"/>
  <c r="AD97" i="1"/>
  <c r="Z98" i="1"/>
  <c r="AU84" i="1"/>
  <c r="J85" i="1"/>
  <c r="H85" i="1"/>
  <c r="N84" i="1"/>
  <c r="AB84" i="1"/>
  <c r="AW142" i="1" l="1"/>
  <c r="BM142" i="1"/>
  <c r="BV143" i="1"/>
  <c r="BO119" i="1"/>
  <c r="BO120" i="1" s="1"/>
  <c r="BQ118" i="1"/>
  <c r="Z99" i="1"/>
  <c r="Z100" i="1" s="1"/>
  <c r="AD98" i="1"/>
  <c r="H86" i="1"/>
  <c r="J86" i="1"/>
  <c r="AU85" i="1"/>
  <c r="N85" i="1"/>
  <c r="AB85" i="1"/>
  <c r="AA39" i="3"/>
  <c r="AA38" i="3"/>
  <c r="AA37" i="3"/>
  <c r="BV144" i="1" l="1"/>
  <c r="AW143" i="1"/>
  <c r="BM143" i="1"/>
  <c r="BO121" i="1"/>
  <c r="BO122" i="1" s="1"/>
  <c r="BQ120" i="1"/>
  <c r="BQ119" i="1"/>
  <c r="AD100" i="1"/>
  <c r="Z101" i="1"/>
  <c r="AD99" i="1"/>
  <c r="J87" i="1"/>
  <c r="H87" i="1"/>
  <c r="AU86" i="1"/>
  <c r="N86" i="1"/>
  <c r="AB86" i="1"/>
  <c r="BV145" i="1" l="1"/>
  <c r="BM144" i="1"/>
  <c r="AW144" i="1"/>
  <c r="BQ122" i="1"/>
  <c r="BO123" i="1"/>
  <c r="BQ121" i="1"/>
  <c r="AD101" i="1"/>
  <c r="Z102" i="1"/>
  <c r="AU87" i="1"/>
  <c r="J88" i="1"/>
  <c r="H88" i="1"/>
  <c r="N87" i="1"/>
  <c r="AB87" i="1"/>
  <c r="BV151" i="1" l="1"/>
  <c r="BV152" i="1" s="1"/>
  <c r="AW145" i="1"/>
  <c r="BM145" i="1"/>
  <c r="BQ123" i="1"/>
  <c r="BO124" i="1"/>
  <c r="Z103" i="1"/>
  <c r="AD102" i="1"/>
  <c r="AU88" i="1"/>
  <c r="J89" i="1"/>
  <c r="H89" i="1"/>
  <c r="N88" i="1"/>
  <c r="AB88" i="1"/>
  <c r="AA45" i="3"/>
  <c r="AA43" i="3"/>
  <c r="AA44" i="3"/>
  <c r="AA41" i="3"/>
  <c r="AA42" i="3"/>
  <c r="AA40" i="3"/>
  <c r="BO125" i="1" l="1"/>
  <c r="BQ124" i="1"/>
  <c r="AD103" i="1"/>
  <c r="Z104" i="1"/>
  <c r="J90" i="1"/>
  <c r="H90" i="1"/>
  <c r="N89" i="1"/>
  <c r="AU89" i="1"/>
  <c r="AB89" i="1"/>
  <c r="BQ125" i="1" l="1"/>
  <c r="J166" i="1" s="1"/>
  <c r="BO126" i="1"/>
  <c r="AD104" i="1"/>
  <c r="Z105" i="1"/>
  <c r="J91" i="1"/>
  <c r="H91" i="1"/>
  <c r="AU90" i="1"/>
  <c r="N90" i="1"/>
  <c r="AB90" i="1"/>
  <c r="BQ126" i="1" l="1"/>
  <c r="BO127" i="1"/>
  <c r="Z106" i="1"/>
  <c r="AD105" i="1"/>
  <c r="N91" i="1"/>
  <c r="H92" i="1"/>
  <c r="J92" i="1"/>
  <c r="AU91" i="1"/>
  <c r="AB91" i="1"/>
  <c r="BO128" i="1" l="1"/>
  <c r="BO129" i="1" s="1"/>
  <c r="BO130" i="1" s="1"/>
  <c r="BQ127" i="1"/>
  <c r="Z107" i="1"/>
  <c r="Z108" i="1" s="1"/>
  <c r="Z109" i="1" s="1"/>
  <c r="AD106" i="1"/>
  <c r="Y129" i="3"/>
  <c r="Y130" i="3" s="1"/>
  <c r="N92" i="1"/>
  <c r="H93" i="1"/>
  <c r="J93" i="1"/>
  <c r="AB92" i="1"/>
  <c r="AU92" i="1"/>
  <c r="BO131" i="1" l="1"/>
  <c r="BQ130" i="1"/>
  <c r="BQ129" i="1"/>
  <c r="BQ128" i="1"/>
  <c r="Z110" i="1"/>
  <c r="AD109" i="1"/>
  <c r="AD108" i="1"/>
  <c r="AD107" i="1"/>
  <c r="H94" i="1"/>
  <c r="J94" i="1"/>
  <c r="N93" i="1"/>
  <c r="AU93" i="1"/>
  <c r="AB93" i="1"/>
  <c r="AA46" i="3"/>
  <c r="BO132" i="1" l="1"/>
  <c r="BO133" i="1" s="1"/>
  <c r="BQ131" i="1"/>
  <c r="Z111" i="1"/>
  <c r="Z112" i="1" s="1"/>
  <c r="AD110" i="1"/>
  <c r="H95" i="1"/>
  <c r="J95" i="1"/>
  <c r="N94" i="1"/>
  <c r="AU94" i="1"/>
  <c r="AB94" i="1"/>
  <c r="BQ133" i="1" l="1"/>
  <c r="BO134" i="1"/>
  <c r="BQ132" i="1"/>
  <c r="Z113" i="1"/>
  <c r="Z114" i="1" s="1"/>
  <c r="AD112" i="1"/>
  <c r="AD111" i="1"/>
  <c r="J96" i="1"/>
  <c r="H96" i="1"/>
  <c r="N95" i="1"/>
  <c r="AU95" i="1"/>
  <c r="AB95" i="1"/>
  <c r="AA48" i="3"/>
  <c r="AA49" i="3"/>
  <c r="AA47" i="3"/>
  <c r="BQ134" i="1" l="1"/>
  <c r="BO135" i="1"/>
  <c r="Z115" i="1"/>
  <c r="AD114" i="1"/>
  <c r="AD113" i="1"/>
  <c r="AU96" i="1"/>
  <c r="H97" i="1"/>
  <c r="J97" i="1"/>
  <c r="N96" i="1"/>
  <c r="AB96" i="1"/>
  <c r="BQ135" i="1" l="1"/>
  <c r="BO136" i="1"/>
  <c r="Z116" i="1"/>
  <c r="AD115" i="1"/>
  <c r="N97" i="1"/>
  <c r="H98" i="1"/>
  <c r="J98" i="1"/>
  <c r="AU97" i="1"/>
  <c r="AB97" i="1"/>
  <c r="BO137" i="1" l="1"/>
  <c r="BQ136" i="1"/>
  <c r="Z117" i="1"/>
  <c r="AD116" i="1"/>
  <c r="J99" i="1"/>
  <c r="H99" i="1"/>
  <c r="N98" i="1"/>
  <c r="AU98" i="1"/>
  <c r="AB98" i="1"/>
  <c r="AA53" i="3"/>
  <c r="AA51" i="3"/>
  <c r="AA52" i="3"/>
  <c r="AA50" i="3"/>
  <c r="BQ137" i="1" l="1"/>
  <c r="BO138" i="1"/>
  <c r="BO139" i="1" s="1"/>
  <c r="BO140" i="1" s="1"/>
  <c r="AD117" i="1"/>
  <c r="Z118" i="1"/>
  <c r="H100" i="1"/>
  <c r="J100" i="1"/>
  <c r="N99" i="1"/>
  <c r="AU99" i="1"/>
  <c r="AB99" i="1"/>
  <c r="BQ140" i="1" l="1"/>
  <c r="BO141" i="1"/>
  <c r="BQ139" i="1"/>
  <c r="BQ138" i="1"/>
  <c r="AD118" i="1"/>
  <c r="Z119" i="1"/>
  <c r="AU100" i="1"/>
  <c r="J101" i="1"/>
  <c r="H101" i="1"/>
  <c r="N100" i="1"/>
  <c r="AB100" i="1"/>
  <c r="BQ141" i="1" l="1"/>
  <c r="BO142" i="1"/>
  <c r="Z120" i="1"/>
  <c r="AD119" i="1"/>
  <c r="N101" i="1"/>
  <c r="J102" i="1"/>
  <c r="H102" i="1"/>
  <c r="AU101" i="1"/>
  <c r="AB101" i="1"/>
  <c r="BQ142" i="1" l="1"/>
  <c r="BO143" i="1"/>
  <c r="AD120" i="1"/>
  <c r="Z121" i="1"/>
  <c r="Z122" i="1" s="1"/>
  <c r="N102" i="1"/>
  <c r="J103" i="1"/>
  <c r="H103" i="1"/>
  <c r="AU102" i="1"/>
  <c r="AB102" i="1"/>
  <c r="AA59" i="3"/>
  <c r="AA60" i="3"/>
  <c r="AA57" i="3"/>
  <c r="AA58" i="3"/>
  <c r="AA55" i="3"/>
  <c r="AA56" i="3"/>
  <c r="AA54" i="3"/>
  <c r="BQ143" i="1" l="1"/>
  <c r="BO144" i="1"/>
  <c r="Z123" i="1"/>
  <c r="AD122" i="1"/>
  <c r="AD121" i="1"/>
  <c r="J104" i="1"/>
  <c r="H104" i="1"/>
  <c r="AU103" i="1"/>
  <c r="N103" i="1"/>
  <c r="AB103" i="1"/>
  <c r="BO145" i="1" l="1"/>
  <c r="BQ144" i="1"/>
  <c r="AD123" i="1"/>
  <c r="Z124" i="1"/>
  <c r="N104" i="1"/>
  <c r="H105" i="1"/>
  <c r="J105" i="1"/>
  <c r="AU104" i="1"/>
  <c r="AB104" i="1"/>
  <c r="BQ145" i="1" l="1"/>
  <c r="AD124" i="1"/>
  <c r="Z125" i="1"/>
  <c r="Z126" i="1" s="1"/>
  <c r="N105" i="1"/>
  <c r="J106" i="1"/>
  <c r="H106" i="1"/>
  <c r="H107" i="1" s="1"/>
  <c r="AU105" i="1"/>
  <c r="AB105" i="1"/>
  <c r="Z127" i="1" l="1"/>
  <c r="AD126" i="1"/>
  <c r="AD125" i="1"/>
  <c r="AU106" i="1"/>
  <c r="J107" i="1"/>
  <c r="N106" i="1"/>
  <c r="W129" i="3"/>
  <c r="W130" i="3" s="1"/>
  <c r="AB106" i="1"/>
  <c r="AD127" i="1" l="1"/>
  <c r="Z128" i="1"/>
  <c r="Z129" i="1" s="1"/>
  <c r="Z130" i="1" s="1"/>
  <c r="J108" i="1"/>
  <c r="H108" i="1"/>
  <c r="N107" i="1"/>
  <c r="AU107" i="1"/>
  <c r="AB107" i="1"/>
  <c r="Z131" i="1" l="1"/>
  <c r="AD130" i="1"/>
  <c r="AD129" i="1"/>
  <c r="AD128" i="1"/>
  <c r="H109" i="1"/>
  <c r="J109" i="1"/>
  <c r="AU108" i="1"/>
  <c r="N108" i="1"/>
  <c r="AB108" i="1"/>
  <c r="Z132" i="1" l="1"/>
  <c r="Z133" i="1" s="1"/>
  <c r="AD131" i="1"/>
  <c r="N109" i="1"/>
  <c r="J110" i="1"/>
  <c r="H110" i="1"/>
  <c r="AB109" i="1"/>
  <c r="AU109" i="1"/>
  <c r="Z134" i="1" l="1"/>
  <c r="AD133" i="1"/>
  <c r="AD132" i="1"/>
  <c r="N110" i="1"/>
  <c r="J111" i="1"/>
  <c r="H111" i="1"/>
  <c r="AB110" i="1"/>
  <c r="AU110" i="1"/>
  <c r="AA65" i="3"/>
  <c r="AA63" i="3"/>
  <c r="AA64" i="3"/>
  <c r="AA62" i="3"/>
  <c r="Z135" i="1" l="1"/>
  <c r="AD134" i="1"/>
  <c r="J112" i="1"/>
  <c r="H112" i="1"/>
  <c r="N111" i="1"/>
  <c r="AB111" i="1"/>
  <c r="AU111" i="1"/>
  <c r="AD135" i="1" l="1"/>
  <c r="Z136" i="1"/>
  <c r="AU112" i="1"/>
  <c r="J113" i="1"/>
  <c r="H113" i="1"/>
  <c r="H114" i="1" s="1"/>
  <c r="N112" i="1"/>
  <c r="AB112" i="1"/>
  <c r="Z137" i="1" l="1"/>
  <c r="AD136" i="1"/>
  <c r="J114" i="1"/>
  <c r="N113" i="1"/>
  <c r="AU113" i="1"/>
  <c r="AB113" i="1"/>
  <c r="AD137" i="1" l="1"/>
  <c r="Z138" i="1"/>
  <c r="Z139" i="1" s="1"/>
  <c r="Z140" i="1" s="1"/>
  <c r="H115" i="1"/>
  <c r="J115" i="1"/>
  <c r="N114" i="1"/>
  <c r="AU114" i="1"/>
  <c r="AB114" i="1"/>
  <c r="AA67" i="3"/>
  <c r="AA66" i="3"/>
  <c r="AD140" i="1" l="1"/>
  <c r="Z141" i="1"/>
  <c r="AD139" i="1"/>
  <c r="AD138" i="1"/>
  <c r="N115" i="1"/>
  <c r="J116" i="1"/>
  <c r="AU115" i="1"/>
  <c r="H116" i="1"/>
  <c r="AB115" i="1"/>
  <c r="AD141" i="1" l="1"/>
  <c r="Z142" i="1"/>
  <c r="N116" i="1"/>
  <c r="J117" i="1"/>
  <c r="H117" i="1"/>
  <c r="AB116" i="1"/>
  <c r="AU116" i="1"/>
  <c r="AA71" i="3"/>
  <c r="AA72" i="3"/>
  <c r="AA69" i="3"/>
  <c r="AA70" i="3"/>
  <c r="AA68" i="3"/>
  <c r="AD142" i="1" l="1"/>
  <c r="Z143" i="1"/>
  <c r="AU117" i="1"/>
  <c r="H118" i="1"/>
  <c r="J118" i="1"/>
  <c r="AB117" i="1"/>
  <c r="N117" i="1"/>
  <c r="AD143" i="1" l="1"/>
  <c r="Z144" i="1"/>
  <c r="H119" i="1"/>
  <c r="J119" i="1"/>
  <c r="N118" i="1"/>
  <c r="AB118" i="1"/>
  <c r="AU118" i="1"/>
  <c r="AD144" i="1" l="1"/>
  <c r="Z145" i="1"/>
  <c r="H120" i="1"/>
  <c r="J120" i="1"/>
  <c r="N119" i="1"/>
  <c r="AU119" i="1"/>
  <c r="AB119" i="1"/>
  <c r="AD145" i="1" l="1"/>
  <c r="N120" i="1"/>
  <c r="J121" i="1"/>
  <c r="H121" i="1"/>
  <c r="AU120" i="1"/>
  <c r="AB120" i="1"/>
  <c r="I21" i="3" l="1"/>
  <c r="I35" i="3" s="1"/>
  <c r="AD49" i="2"/>
  <c r="AD51" i="2" s="1"/>
  <c r="AD53" i="2" s="1"/>
  <c r="AD55" i="2" s="1"/>
  <c r="AD57" i="2" s="1"/>
  <c r="AJ21" i="2"/>
  <c r="J122" i="1"/>
  <c r="H122" i="1"/>
  <c r="N121" i="1"/>
  <c r="AU121" i="1"/>
  <c r="AB121" i="1"/>
  <c r="AA75" i="3"/>
  <c r="AA76" i="3"/>
  <c r="AA73" i="3"/>
  <c r="AA74" i="3"/>
  <c r="AU122" i="1" l="1"/>
  <c r="J123" i="1"/>
  <c r="H123" i="1"/>
  <c r="N122" i="1"/>
  <c r="AB122" i="1"/>
  <c r="N123" i="1" l="1"/>
  <c r="J124" i="1"/>
  <c r="H124" i="1"/>
  <c r="AU123" i="1"/>
  <c r="AB123" i="1"/>
  <c r="N124" i="1" l="1"/>
  <c r="H125" i="1"/>
  <c r="J125" i="1"/>
  <c r="AU124" i="1"/>
  <c r="AB124" i="1"/>
  <c r="AA78" i="3"/>
  <c r="AA79" i="3"/>
  <c r="AA77" i="3"/>
  <c r="H126" i="1" l="1"/>
  <c r="J126" i="1"/>
  <c r="AU125" i="1"/>
  <c r="N125" i="1"/>
  <c r="AB125" i="1"/>
  <c r="AB126" i="1" l="1"/>
  <c r="J127" i="1"/>
  <c r="H127" i="1"/>
  <c r="N126" i="1"/>
  <c r="AU126" i="1"/>
  <c r="J167" i="1"/>
  <c r="J168" i="1" s="1"/>
  <c r="AU127" i="1" l="1"/>
  <c r="H128" i="1"/>
  <c r="J128" i="1"/>
  <c r="N127" i="1"/>
  <c r="AB127" i="1"/>
  <c r="J129" i="1" l="1"/>
  <c r="H129" i="1"/>
  <c r="AB128" i="1"/>
  <c r="N128" i="1"/>
  <c r="AU128" i="1"/>
  <c r="AA81" i="3"/>
  <c r="AA82" i="3"/>
  <c r="AA80" i="3"/>
  <c r="J130" i="1" l="1"/>
  <c r="H130" i="1"/>
  <c r="N129" i="1"/>
  <c r="AU129" i="1"/>
  <c r="AB129" i="1"/>
  <c r="AU130" i="1" l="1"/>
  <c r="J131" i="1"/>
  <c r="H131" i="1"/>
  <c r="N130" i="1"/>
  <c r="AB130" i="1"/>
  <c r="AU131" i="1" l="1"/>
  <c r="J132" i="1"/>
  <c r="H132" i="1"/>
  <c r="N131" i="1"/>
  <c r="AB131" i="1"/>
  <c r="AA86" i="3"/>
  <c r="AA84" i="3"/>
  <c r="AA85" i="3"/>
  <c r="AA83" i="3"/>
  <c r="J133" i="1" l="1"/>
  <c r="H133" i="1"/>
  <c r="N132" i="1"/>
  <c r="AU132" i="1"/>
  <c r="AB132" i="1"/>
  <c r="AU133" i="1" l="1"/>
  <c r="H134" i="1"/>
  <c r="J134" i="1"/>
  <c r="N133" i="1"/>
  <c r="AB133" i="1"/>
  <c r="AU134" i="1" l="1"/>
  <c r="J135" i="1"/>
  <c r="H135" i="1"/>
  <c r="I20" i="3" s="1"/>
  <c r="I23" i="3" s="1"/>
  <c r="I25" i="3" s="1"/>
  <c r="I27" i="3" s="1"/>
  <c r="N134" i="1"/>
  <c r="AB134" i="1"/>
  <c r="N27" i="3" l="1"/>
  <c r="N28" i="3" s="1"/>
  <c r="I34" i="3"/>
  <c r="N135" i="1"/>
  <c r="J136" i="1"/>
  <c r="H136" i="1"/>
  <c r="AU135" i="1"/>
  <c r="AB135" i="1"/>
  <c r="AA92" i="3"/>
  <c r="AA90" i="3"/>
  <c r="AA91" i="3"/>
  <c r="AA88" i="3"/>
  <c r="AA89" i="3"/>
  <c r="AA87" i="3"/>
  <c r="N136" i="1" l="1"/>
  <c r="J137" i="1"/>
  <c r="H137" i="1"/>
  <c r="AU136" i="1"/>
  <c r="AB136" i="1"/>
  <c r="AU137" i="1" l="1"/>
  <c r="J138" i="1"/>
  <c r="H138" i="1"/>
  <c r="N137" i="1"/>
  <c r="AB137" i="1"/>
  <c r="J139" i="1" l="1"/>
  <c r="H139" i="1"/>
  <c r="AU138" i="1"/>
  <c r="N138" i="1"/>
  <c r="AB138" i="1"/>
  <c r="J140" i="1" l="1"/>
  <c r="H140" i="1"/>
  <c r="AU139" i="1"/>
  <c r="N139" i="1"/>
  <c r="AB139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N140" i="1" l="1"/>
  <c r="H141" i="1"/>
  <c r="J141" i="1"/>
  <c r="AU140" i="1"/>
  <c r="AB140" i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N141" i="1" l="1"/>
  <c r="J142" i="1"/>
  <c r="H142" i="1"/>
  <c r="AU141" i="1"/>
  <c r="AB141" i="1"/>
  <c r="AA98" i="3"/>
  <c r="AA99" i="3"/>
  <c r="AA94" i="3"/>
  <c r="AA95" i="3"/>
  <c r="AA93" i="3"/>
  <c r="H143" i="1" l="1"/>
  <c r="J143" i="1"/>
  <c r="N142" i="1"/>
  <c r="AU142" i="1"/>
  <c r="AB142" i="1"/>
  <c r="AA96" i="3"/>
  <c r="AA97" i="3"/>
  <c r="N143" i="1" l="1"/>
  <c r="J144" i="1"/>
  <c r="H144" i="1"/>
  <c r="AU143" i="1"/>
  <c r="AB143" i="1"/>
  <c r="N144" i="1" l="1"/>
  <c r="H145" i="1"/>
  <c r="J145" i="1"/>
  <c r="AU144" i="1"/>
  <c r="AB144" i="1"/>
  <c r="AU145" i="1" l="1"/>
  <c r="N145" i="1"/>
  <c r="AB145" i="1"/>
  <c r="I32" i="3" l="1"/>
  <c r="AF21" i="2"/>
  <c r="L32" i="3" l="1"/>
  <c r="L35" i="3"/>
  <c r="I28" i="3"/>
  <c r="I36" i="3"/>
  <c r="W101" i="3" s="1"/>
  <c r="AA101" i="3" s="1"/>
  <c r="L34" i="3"/>
  <c r="AA100" i="3" l="1"/>
  <c r="L36" i="3"/>
  <c r="Y101" i="3" s="1"/>
  <c r="Y12" i="3" l="1"/>
</calcChain>
</file>

<file path=xl/sharedStrings.xml><?xml version="1.0" encoding="utf-8"?>
<sst xmlns="http://schemas.openxmlformats.org/spreadsheetml/2006/main" count="282" uniqueCount="159">
  <si>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</si>
  <si>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</si>
  <si>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</si>
  <si>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</si>
  <si>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</si>
  <si>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</si>
  <si>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</si>
  <si>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</si>
  <si>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</si>
  <si>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</si>
  <si>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</si>
  <si>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</si>
  <si>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</si>
  <si>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</si>
  <si>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</si>
  <si>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</si>
  <si>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</si>
  <si>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</si>
  <si>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</si>
  <si>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</si>
  <si>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</si>
  <si>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</si>
  <si>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</si>
  <si>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</si>
  <si>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</si>
  <si>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</si>
  <si>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</si>
  <si>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</si>
  <si>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</si>
  <si>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</si>
  <si>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</si>
  <si>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</si>
  <si>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</si>
  <si>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</si>
  <si>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</si>
  <si>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</si>
  <si>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</si>
  <si>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</si>
  <si>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</si>
  <si>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</si>
  <si>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</si>
  <si>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</si>
  <si>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</si>
  <si>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</si>
  <si>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</si>
  <si>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</si>
  <si>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</si>
  <si>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</si>
  <si>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</si>
  <si>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</si>
  <si>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</si>
  <si>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</si>
  <si>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</si>
  <si>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</si>
  <si>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</si>
  <si>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</si>
  <si>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</si>
  <si>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</si>
  <si>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</si>
  <si>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</si>
  <si>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</si>
  <si>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</si>
  <si>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</si>
  <si>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</si>
  <si>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</si>
  <si>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</si>
  <si>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</si>
  <si>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</si>
  <si>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</si>
  <si>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</si>
  <si>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</si>
  <si>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</si>
  <si>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</si>
  <si>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</si>
  <si>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</si>
  <si>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</si>
  <si>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</si>
  <si>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</si>
  <si>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</si>
  <si>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</si>
  <si>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</si>
  <si>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</si>
  <si>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</si>
  <si>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</si>
  <si>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</si>
  <si>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</si>
  <si>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</si>
  <si>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</si>
  <si>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</si>
  <si>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</si>
  <si>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</si>
  <si>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</si>
  <si>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</si>
  <si>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</si>
  <si>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</si>
  <si>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</si>
  <si>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</si>
  <si>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</si>
  <si>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</si>
  <si>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</si>
  <si>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</si>
  <si>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</si>
  <si>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</si>
  <si>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</si>
  <si>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</si>
  <si>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</si>
  <si>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</si>
  <si>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</si>
  <si>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</si>
  <si>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</si>
  <si>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</si>
  <si>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</si>
  <si>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</si>
  <si>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</si>
  <si>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</si>
  <si>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</si>
  <si>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</si>
  <si>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</si>
  <si>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</si>
  <si>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</si>
  <si>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</si>
  <si>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</si>
  <si>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</si>
  <si>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</si>
  <si>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</si>
  <si>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</si>
  <si>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</si>
  <si>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</si>
  <si>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</si>
  <si>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</si>
  <si>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</si>
  <si>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</si>
  <si>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</si>
  <si>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</si>
  <si>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</si>
  <si>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</si>
  <si>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</si>
  <si>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</si>
  <si>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</si>
  <si>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</si>
  <si>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</si>
  <si>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</si>
  <si>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</si>
  <si>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</si>
  <si>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</si>
  <si>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</si>
  <si>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</si>
  <si>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</si>
  <si>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</si>
  <si>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</si>
  <si>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</si>
  <si>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</si>
  <si>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</si>
  <si>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</si>
  <si>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</si>
  <si>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Time Frame</t>
  </si>
  <si>
    <t>US COVID Death Rates</t>
  </si>
  <si>
    <t>`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</si>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</sst>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9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  <xf numFmtId="10" fontId="0" fillId="0" borderId="0" xfId="0" applyNumberFormat="1"/>
    <xf numFmtId="164" fontId="6" fillId="0" borderId="0" xfId="1" applyNumberFormat="1" applyFont="1" applyFill="1" applyBorder="1"/>
    <xf numFmtId="0" fontId="6" fillId="0" borderId="0" xfId="0" applyFont="1" applyFill="1" applyBorder="1"/>
    <xf numFmtId="10" fontId="0" fillId="13" borderId="0" xfId="2" applyNumberFormat="1" applyFont="1" applyFill="1" applyBorder="1"/>
    <xf numFmtId="49" fontId="5" fillId="10" borderId="0" xfId="1" applyNumberFormat="1" applyFont="1" applyFill="1" applyAlignment="1">
      <alignment horizontal="right"/>
    </xf>
    <xf numFmtId="10" fontId="1" fillId="13" borderId="0" xfId="2" applyNumberFormat="1" applyFont="1" applyFill="1" applyBorder="1" applyAlignment="1">
      <alignment horizontal="right"/>
    </xf>
    <xf numFmtId="164" fontId="0" fillId="17" borderId="0" xfId="1" applyNumberFormat="1" applyFont="1" applyFill="1"/>
    <xf numFmtId="164" fontId="1" fillId="0" borderId="0" xfId="1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/>
    <xf numFmtId="9" fontId="1" fillId="0" borderId="0" xfId="2" applyNumberFormat="1" applyFont="1" applyFill="1" applyBorder="1"/>
    <xf numFmtId="0" fontId="0" fillId="10" borderId="0" xfId="0" applyFill="1"/>
    <xf numFmtId="0" fontId="0" fillId="2" borderId="0" xfId="0" applyFill="1"/>
    <xf numFmtId="0" fontId="3" fillId="13" borderId="0" xfId="0" applyFont="1" applyFill="1" applyBorder="1" applyAlignment="1">
      <alignment horizontal="center"/>
    </xf>
    <xf numFmtId="0" fontId="18" fillId="13" borderId="23" xfId="0" applyFont="1" applyFill="1" applyBorder="1" applyAlignment="1">
      <alignment horizontal="center"/>
    </xf>
    <xf numFmtId="0" fontId="18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17" fontId="18" fillId="13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Table'!$AF$21:$AF$25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Table'!$AF$26:$AF$124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'Main Table'!$BJ$40:$BJ$145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157</xdr:row>
      <xdr:rowOff>0</xdr:rowOff>
    </xdr:from>
    <xdr:to>
      <xdr:col>53</xdr:col>
      <xdr:colOff>160020</xdr:colOff>
      <xdr:row>157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158</xdr:row>
      <xdr:rowOff>0</xdr:rowOff>
    </xdr:from>
    <xdr:to>
      <xdr:col>53</xdr:col>
      <xdr:colOff>160020</xdr:colOff>
      <xdr:row>158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167</xdr:row>
      <xdr:rowOff>99060</xdr:rowOff>
    </xdr:from>
    <xdr:to>
      <xdr:col>21</xdr:col>
      <xdr:colOff>312420</xdr:colOff>
      <xdr:row>168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167</xdr:row>
      <xdr:rowOff>129540</xdr:rowOff>
    </xdr:from>
    <xdr:to>
      <xdr:col>22</xdr:col>
      <xdr:colOff>68580</xdr:colOff>
      <xdr:row>168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76</xdr:col>
      <xdr:colOff>0</xdr:colOff>
      <xdr:row>8</xdr:row>
      <xdr:rowOff>38100</xdr:rowOff>
    </xdr:from>
    <xdr:to>
      <xdr:col>87</xdr:col>
      <xdr:colOff>274320</xdr:colOff>
      <xdr:row>26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79</xdr:col>
      <xdr:colOff>91440</xdr:colOff>
      <xdr:row>26</xdr:row>
      <xdr:rowOff>160020</xdr:rowOff>
    </xdr:from>
    <xdr:to>
      <xdr:col>89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77</xdr:col>
      <xdr:colOff>281940</xdr:colOff>
      <xdr:row>3</xdr:row>
      <xdr:rowOff>30480</xdr:rowOff>
    </xdr:from>
    <xdr:to>
      <xdr:col>89</xdr:col>
      <xdr:colOff>426720</xdr:colOff>
      <xdr:row>20</xdr:row>
      <xdr:rowOff>129540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90</xdr:row>
      <xdr:rowOff>0</xdr:rowOff>
    </xdr:from>
    <xdr:to>
      <xdr:col>44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90</xdr:row>
      <xdr:rowOff>0</xdr:rowOff>
    </xdr:from>
    <xdr:to>
      <xdr:col>70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90</xdr:row>
      <xdr:rowOff>0</xdr:rowOff>
    </xdr:from>
    <xdr:to>
      <xdr:col>38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90</xdr:row>
      <xdr:rowOff>0</xdr:rowOff>
    </xdr:from>
    <xdr:to>
      <xdr:col>59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91</xdr:row>
      <xdr:rowOff>0</xdr:rowOff>
    </xdr:from>
    <xdr:to>
      <xdr:col>44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91</xdr:row>
      <xdr:rowOff>0</xdr:rowOff>
    </xdr:from>
    <xdr:to>
      <xdr:col>70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91</xdr:row>
      <xdr:rowOff>0</xdr:rowOff>
    </xdr:from>
    <xdr:to>
      <xdr:col>59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91</xdr:row>
      <xdr:rowOff>0</xdr:rowOff>
    </xdr:from>
    <xdr:to>
      <xdr:col>23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92</xdr:row>
      <xdr:rowOff>0</xdr:rowOff>
    </xdr:from>
    <xdr:to>
      <xdr:col>70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92</xdr:row>
      <xdr:rowOff>0</xdr:rowOff>
    </xdr:from>
    <xdr:to>
      <xdr:col>38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92</xdr:row>
      <xdr:rowOff>0</xdr:rowOff>
    </xdr:from>
    <xdr:to>
      <xdr:col>44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93</xdr:row>
      <xdr:rowOff>0</xdr:rowOff>
    </xdr:from>
    <xdr:to>
      <xdr:col>70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93</xdr:row>
      <xdr:rowOff>0</xdr:rowOff>
    </xdr:from>
    <xdr:to>
      <xdr:col>23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92</xdr:row>
      <xdr:rowOff>0</xdr:rowOff>
    </xdr:from>
    <xdr:to>
      <xdr:col>59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94</xdr:row>
      <xdr:rowOff>0</xdr:rowOff>
    </xdr:from>
    <xdr:to>
      <xdr:col>70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94</xdr:row>
      <xdr:rowOff>0</xdr:rowOff>
    </xdr:from>
    <xdr:to>
      <xdr:col>23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94</xdr:row>
      <xdr:rowOff>0</xdr:rowOff>
    </xdr:from>
    <xdr:to>
      <xdr:col>38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93</xdr:row>
      <xdr:rowOff>0</xdr:rowOff>
    </xdr:from>
    <xdr:to>
      <xdr:col>44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93</xdr:row>
      <xdr:rowOff>0</xdr:rowOff>
    </xdr:from>
    <xdr:to>
      <xdr:col>38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93</xdr:row>
      <xdr:rowOff>0</xdr:rowOff>
    </xdr:from>
    <xdr:to>
      <xdr:col>59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94</xdr:row>
      <xdr:rowOff>0</xdr:rowOff>
    </xdr:from>
    <xdr:to>
      <xdr:col>44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94</xdr:row>
      <xdr:rowOff>0</xdr:rowOff>
    </xdr:from>
    <xdr:to>
      <xdr:col>59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95</xdr:row>
      <xdr:rowOff>0</xdr:rowOff>
    </xdr:from>
    <xdr:to>
      <xdr:col>70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95</xdr:row>
      <xdr:rowOff>0</xdr:rowOff>
    </xdr:from>
    <xdr:to>
      <xdr:col>23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95</xdr:row>
      <xdr:rowOff>0</xdr:rowOff>
    </xdr:from>
    <xdr:to>
      <xdr:col>38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95</xdr:row>
      <xdr:rowOff>0</xdr:rowOff>
    </xdr:from>
    <xdr:to>
      <xdr:col>59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95</xdr:row>
      <xdr:rowOff>0</xdr:rowOff>
    </xdr:from>
    <xdr:to>
      <xdr:col>45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96</xdr:row>
      <xdr:rowOff>0</xdr:rowOff>
    </xdr:from>
    <xdr:to>
      <xdr:col>70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96</xdr:row>
      <xdr:rowOff>0</xdr:rowOff>
    </xdr:from>
    <xdr:to>
      <xdr:col>38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96</xdr:row>
      <xdr:rowOff>0</xdr:rowOff>
    </xdr:from>
    <xdr:to>
      <xdr:col>44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96</xdr:row>
      <xdr:rowOff>0</xdr:rowOff>
    </xdr:from>
    <xdr:to>
      <xdr:col>23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96</xdr:row>
      <xdr:rowOff>0</xdr:rowOff>
    </xdr:from>
    <xdr:to>
      <xdr:col>59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97</xdr:row>
      <xdr:rowOff>0</xdr:rowOff>
    </xdr:from>
    <xdr:to>
      <xdr:col>70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97</xdr:row>
      <xdr:rowOff>0</xdr:rowOff>
    </xdr:from>
    <xdr:to>
      <xdr:col>59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97</xdr:row>
      <xdr:rowOff>0</xdr:rowOff>
    </xdr:from>
    <xdr:to>
      <xdr:col>38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97</xdr:row>
      <xdr:rowOff>0</xdr:rowOff>
    </xdr:from>
    <xdr:to>
      <xdr:col>44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98</xdr:row>
      <xdr:rowOff>0</xdr:rowOff>
    </xdr:from>
    <xdr:to>
      <xdr:col>70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98</xdr:row>
      <xdr:rowOff>0</xdr:rowOff>
    </xdr:from>
    <xdr:to>
      <xdr:col>44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98</xdr:row>
      <xdr:rowOff>0</xdr:rowOff>
    </xdr:from>
    <xdr:to>
      <xdr:col>59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98</xdr:row>
      <xdr:rowOff>0</xdr:rowOff>
    </xdr:from>
    <xdr:to>
      <xdr:col>23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98</xdr:row>
      <xdr:rowOff>0</xdr:rowOff>
    </xdr:from>
    <xdr:to>
      <xdr:col>38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99</xdr:row>
      <xdr:rowOff>0</xdr:rowOff>
    </xdr:from>
    <xdr:to>
      <xdr:col>70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99</xdr:row>
      <xdr:rowOff>0</xdr:rowOff>
    </xdr:from>
    <xdr:to>
      <xdr:col>44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99</xdr:row>
      <xdr:rowOff>0</xdr:rowOff>
    </xdr:from>
    <xdr:to>
      <xdr:col>23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99</xdr:row>
      <xdr:rowOff>0</xdr:rowOff>
    </xdr:from>
    <xdr:to>
      <xdr:col>38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99</xdr:row>
      <xdr:rowOff>0</xdr:rowOff>
    </xdr:from>
    <xdr:to>
      <xdr:col>59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100</xdr:row>
      <xdr:rowOff>0</xdr:rowOff>
    </xdr:from>
    <xdr:to>
      <xdr:col>70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100</xdr:row>
      <xdr:rowOff>0</xdr:rowOff>
    </xdr:from>
    <xdr:to>
      <xdr:col>44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100</xdr:row>
      <xdr:rowOff>0</xdr:rowOff>
    </xdr:from>
    <xdr:to>
      <xdr:col>23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100</xdr:row>
      <xdr:rowOff>0</xdr:rowOff>
    </xdr:from>
    <xdr:to>
      <xdr:col>59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100</xdr:row>
      <xdr:rowOff>0</xdr:rowOff>
    </xdr:from>
    <xdr:to>
      <xdr:col>38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101</xdr:row>
      <xdr:rowOff>0</xdr:rowOff>
    </xdr:from>
    <xdr:to>
      <xdr:col>70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101</xdr:row>
      <xdr:rowOff>0</xdr:rowOff>
    </xdr:from>
    <xdr:to>
      <xdr:col>44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101</xdr:row>
      <xdr:rowOff>0</xdr:rowOff>
    </xdr:from>
    <xdr:to>
      <xdr:col>23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101</xdr:row>
      <xdr:rowOff>0</xdr:rowOff>
    </xdr:from>
    <xdr:to>
      <xdr:col>59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101</xdr:row>
      <xdr:rowOff>0</xdr:rowOff>
    </xdr:from>
    <xdr:to>
      <xdr:col>38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102</xdr:row>
      <xdr:rowOff>0</xdr:rowOff>
    </xdr:from>
    <xdr:to>
      <xdr:col>70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102</xdr:row>
      <xdr:rowOff>0</xdr:rowOff>
    </xdr:from>
    <xdr:to>
      <xdr:col>59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102</xdr:row>
      <xdr:rowOff>0</xdr:rowOff>
    </xdr:from>
    <xdr:to>
      <xdr:col>38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102</xdr:row>
      <xdr:rowOff>0</xdr:rowOff>
    </xdr:from>
    <xdr:to>
      <xdr:col>44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103</xdr:row>
      <xdr:rowOff>0</xdr:rowOff>
    </xdr:from>
    <xdr:to>
      <xdr:col>70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103</xdr:row>
      <xdr:rowOff>0</xdr:rowOff>
    </xdr:from>
    <xdr:to>
      <xdr:col>23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103</xdr:row>
      <xdr:rowOff>0</xdr:rowOff>
    </xdr:from>
    <xdr:to>
      <xdr:col>38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103</xdr:row>
      <xdr:rowOff>0</xdr:rowOff>
    </xdr:from>
    <xdr:to>
      <xdr:col>59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103</xdr:row>
      <xdr:rowOff>0</xdr:rowOff>
    </xdr:from>
    <xdr:to>
      <xdr:col>44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104</xdr:row>
      <xdr:rowOff>0</xdr:rowOff>
    </xdr:from>
    <xdr:to>
      <xdr:col>70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104</xdr:row>
      <xdr:rowOff>0</xdr:rowOff>
    </xdr:from>
    <xdr:to>
      <xdr:col>23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104</xdr:row>
      <xdr:rowOff>0</xdr:rowOff>
    </xdr:from>
    <xdr:to>
      <xdr:col>59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104</xdr:row>
      <xdr:rowOff>0</xdr:rowOff>
    </xdr:from>
    <xdr:to>
      <xdr:col>44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104</xdr:row>
      <xdr:rowOff>0</xdr:rowOff>
    </xdr:from>
    <xdr:to>
      <xdr:col>38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105</xdr:row>
      <xdr:rowOff>0</xdr:rowOff>
    </xdr:from>
    <xdr:to>
      <xdr:col>59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105</xdr:row>
      <xdr:rowOff>0</xdr:rowOff>
    </xdr:from>
    <xdr:to>
      <xdr:col>44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105</xdr:row>
      <xdr:rowOff>0</xdr:rowOff>
    </xdr:from>
    <xdr:to>
      <xdr:col>23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105</xdr:row>
      <xdr:rowOff>0</xdr:rowOff>
    </xdr:from>
    <xdr:to>
      <xdr:col>38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105</xdr:row>
      <xdr:rowOff>0</xdr:rowOff>
    </xdr:from>
    <xdr:to>
      <xdr:col>70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106</xdr:row>
      <xdr:rowOff>0</xdr:rowOff>
    </xdr:from>
    <xdr:to>
      <xdr:col>23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106</xdr:row>
      <xdr:rowOff>0</xdr:rowOff>
    </xdr:from>
    <xdr:to>
      <xdr:col>70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106</xdr:row>
      <xdr:rowOff>0</xdr:rowOff>
    </xdr:from>
    <xdr:to>
      <xdr:col>59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106</xdr:row>
      <xdr:rowOff>0</xdr:rowOff>
    </xdr:from>
    <xdr:to>
      <xdr:col>38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106</xdr:row>
      <xdr:rowOff>0</xdr:rowOff>
    </xdr:from>
    <xdr:to>
      <xdr:col>44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107</xdr:row>
      <xdr:rowOff>0</xdr:rowOff>
    </xdr:from>
    <xdr:to>
      <xdr:col>38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107</xdr:row>
      <xdr:rowOff>0</xdr:rowOff>
    </xdr:from>
    <xdr:to>
      <xdr:col>44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107</xdr:row>
      <xdr:rowOff>0</xdr:rowOff>
    </xdr:from>
    <xdr:to>
      <xdr:col>23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107</xdr:row>
      <xdr:rowOff>0</xdr:rowOff>
    </xdr:from>
    <xdr:to>
      <xdr:col>59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107</xdr:row>
      <xdr:rowOff>0</xdr:rowOff>
    </xdr:from>
    <xdr:to>
      <xdr:col>70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108</xdr:row>
      <xdr:rowOff>0</xdr:rowOff>
    </xdr:from>
    <xdr:to>
      <xdr:col>23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108</xdr:row>
      <xdr:rowOff>0</xdr:rowOff>
    </xdr:from>
    <xdr:to>
      <xdr:col>44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108</xdr:row>
      <xdr:rowOff>0</xdr:rowOff>
    </xdr:from>
    <xdr:to>
      <xdr:col>38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108</xdr:row>
      <xdr:rowOff>0</xdr:rowOff>
    </xdr:from>
    <xdr:to>
      <xdr:col>59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108</xdr:row>
      <xdr:rowOff>0</xdr:rowOff>
    </xdr:from>
    <xdr:to>
      <xdr:col>70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109</xdr:row>
      <xdr:rowOff>0</xdr:rowOff>
    </xdr:from>
    <xdr:to>
      <xdr:col>23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109</xdr:row>
      <xdr:rowOff>0</xdr:rowOff>
    </xdr:from>
    <xdr:to>
      <xdr:col>70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109</xdr:row>
      <xdr:rowOff>0</xdr:rowOff>
    </xdr:from>
    <xdr:to>
      <xdr:col>59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38</xdr:col>
      <xdr:colOff>0</xdr:colOff>
      <xdr:row>109</xdr:row>
      <xdr:rowOff>0</xdr:rowOff>
    </xdr:from>
    <xdr:to>
      <xdr:col>38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109</xdr:row>
      <xdr:rowOff>0</xdr:rowOff>
    </xdr:from>
    <xdr:to>
      <xdr:col>44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110</xdr:row>
      <xdr:rowOff>0</xdr:rowOff>
    </xdr:from>
    <xdr:to>
      <xdr:col>23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110</xdr:row>
      <xdr:rowOff>0</xdr:rowOff>
    </xdr:from>
    <xdr:to>
      <xdr:col>38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110</xdr:row>
      <xdr:rowOff>0</xdr:rowOff>
    </xdr:from>
    <xdr:to>
      <xdr:col>44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110</xdr:row>
      <xdr:rowOff>0</xdr:rowOff>
    </xdr:from>
    <xdr:to>
      <xdr:col>59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110</xdr:row>
      <xdr:rowOff>0</xdr:rowOff>
    </xdr:from>
    <xdr:to>
      <xdr:col>70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111</xdr:row>
      <xdr:rowOff>0</xdr:rowOff>
    </xdr:from>
    <xdr:to>
      <xdr:col>38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111</xdr:row>
      <xdr:rowOff>0</xdr:rowOff>
    </xdr:from>
    <xdr:to>
      <xdr:col>44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111</xdr:row>
      <xdr:rowOff>0</xdr:rowOff>
    </xdr:from>
    <xdr:to>
      <xdr:col>59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111</xdr:row>
      <xdr:rowOff>0</xdr:rowOff>
    </xdr:from>
    <xdr:to>
      <xdr:col>70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112</xdr:row>
      <xdr:rowOff>0</xdr:rowOff>
    </xdr:from>
    <xdr:to>
      <xdr:col>44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113</xdr:row>
      <xdr:rowOff>0</xdr:rowOff>
    </xdr:from>
    <xdr:to>
      <xdr:col>44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112</xdr:row>
      <xdr:rowOff>0</xdr:rowOff>
    </xdr:from>
    <xdr:to>
      <xdr:col>23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112</xdr:row>
      <xdr:rowOff>0</xdr:rowOff>
    </xdr:from>
    <xdr:to>
      <xdr:col>38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112</xdr:row>
      <xdr:rowOff>0</xdr:rowOff>
    </xdr:from>
    <xdr:to>
      <xdr:col>59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112</xdr:row>
      <xdr:rowOff>0</xdr:rowOff>
    </xdr:from>
    <xdr:to>
      <xdr:col>70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114</xdr:row>
      <xdr:rowOff>0</xdr:rowOff>
    </xdr:from>
    <xdr:to>
      <xdr:col>23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114</xdr:row>
      <xdr:rowOff>0</xdr:rowOff>
    </xdr:from>
    <xdr:to>
      <xdr:col>38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114</xdr:row>
      <xdr:rowOff>0</xdr:rowOff>
    </xdr:from>
    <xdr:to>
      <xdr:col>44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114</xdr:row>
      <xdr:rowOff>0</xdr:rowOff>
    </xdr:from>
    <xdr:to>
      <xdr:col>59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113</xdr:row>
      <xdr:rowOff>0</xdr:rowOff>
    </xdr:from>
    <xdr:to>
      <xdr:col>38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113</xdr:row>
      <xdr:rowOff>0</xdr:rowOff>
    </xdr:from>
    <xdr:to>
      <xdr:col>59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113</xdr:row>
      <xdr:rowOff>0</xdr:rowOff>
    </xdr:from>
    <xdr:to>
      <xdr:col>70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114</xdr:row>
      <xdr:rowOff>0</xdr:rowOff>
    </xdr:from>
    <xdr:to>
      <xdr:col>44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114</xdr:row>
      <xdr:rowOff>0</xdr:rowOff>
    </xdr:from>
    <xdr:to>
      <xdr:col>70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115</xdr:row>
      <xdr:rowOff>0</xdr:rowOff>
    </xdr:from>
    <xdr:to>
      <xdr:col>44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115</xdr:row>
      <xdr:rowOff>0</xdr:rowOff>
    </xdr:from>
    <xdr:to>
      <xdr:col>59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115</xdr:row>
      <xdr:rowOff>0</xdr:rowOff>
    </xdr:from>
    <xdr:to>
      <xdr:col>44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115</xdr:row>
      <xdr:rowOff>0</xdr:rowOff>
    </xdr:from>
    <xdr:to>
      <xdr:col>70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115</xdr:row>
      <xdr:rowOff>0</xdr:rowOff>
    </xdr:from>
    <xdr:to>
      <xdr:col>23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115</xdr:row>
      <xdr:rowOff>0</xdr:rowOff>
    </xdr:from>
    <xdr:to>
      <xdr:col>38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116</xdr:row>
      <xdr:rowOff>0</xdr:rowOff>
    </xdr:from>
    <xdr:to>
      <xdr:col>44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116</xdr:row>
      <xdr:rowOff>0</xdr:rowOff>
    </xdr:from>
    <xdr:to>
      <xdr:col>59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116</xdr:row>
      <xdr:rowOff>0</xdr:rowOff>
    </xdr:from>
    <xdr:to>
      <xdr:col>44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116</xdr:row>
      <xdr:rowOff>0</xdr:rowOff>
    </xdr:from>
    <xdr:to>
      <xdr:col>70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116</xdr:row>
      <xdr:rowOff>0</xdr:rowOff>
    </xdr:from>
    <xdr:to>
      <xdr:col>23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116</xdr:row>
      <xdr:rowOff>0</xdr:rowOff>
    </xdr:from>
    <xdr:to>
      <xdr:col>38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117</xdr:row>
      <xdr:rowOff>0</xdr:rowOff>
    </xdr:from>
    <xdr:to>
      <xdr:col>44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117</xdr:row>
      <xdr:rowOff>0</xdr:rowOff>
    </xdr:from>
    <xdr:to>
      <xdr:col>44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117</xdr:row>
      <xdr:rowOff>0</xdr:rowOff>
    </xdr:from>
    <xdr:to>
      <xdr:col>38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117</xdr:row>
      <xdr:rowOff>0</xdr:rowOff>
    </xdr:from>
    <xdr:to>
      <xdr:col>59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117</xdr:row>
      <xdr:rowOff>0</xdr:rowOff>
    </xdr:from>
    <xdr:to>
      <xdr:col>70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118</xdr:row>
      <xdr:rowOff>0</xdr:rowOff>
    </xdr:from>
    <xdr:to>
      <xdr:col>44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118</xdr:row>
      <xdr:rowOff>0</xdr:rowOff>
    </xdr:from>
    <xdr:to>
      <xdr:col>44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118</xdr:row>
      <xdr:rowOff>0</xdr:rowOff>
    </xdr:from>
    <xdr:to>
      <xdr:col>23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118</xdr:row>
      <xdr:rowOff>0</xdr:rowOff>
    </xdr:from>
    <xdr:to>
      <xdr:col>59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118</xdr:row>
      <xdr:rowOff>0</xdr:rowOff>
    </xdr:from>
    <xdr:to>
      <xdr:col>70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118</xdr:row>
      <xdr:rowOff>0</xdr:rowOff>
    </xdr:from>
    <xdr:to>
      <xdr:col>38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119</xdr:row>
      <xdr:rowOff>0</xdr:rowOff>
    </xdr:from>
    <xdr:to>
      <xdr:col>44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119</xdr:row>
      <xdr:rowOff>0</xdr:rowOff>
    </xdr:from>
    <xdr:to>
      <xdr:col>44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119</xdr:row>
      <xdr:rowOff>0</xdr:rowOff>
    </xdr:from>
    <xdr:to>
      <xdr:col>70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119</xdr:row>
      <xdr:rowOff>0</xdr:rowOff>
    </xdr:from>
    <xdr:to>
      <xdr:col>23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119</xdr:row>
      <xdr:rowOff>0</xdr:rowOff>
    </xdr:from>
    <xdr:to>
      <xdr:col>38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119</xdr:row>
      <xdr:rowOff>0</xdr:rowOff>
    </xdr:from>
    <xdr:to>
      <xdr:col>59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120</xdr:row>
      <xdr:rowOff>0</xdr:rowOff>
    </xdr:from>
    <xdr:to>
      <xdr:col>44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120</xdr:row>
      <xdr:rowOff>0</xdr:rowOff>
    </xdr:from>
    <xdr:to>
      <xdr:col>44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120</xdr:row>
      <xdr:rowOff>0</xdr:rowOff>
    </xdr:from>
    <xdr:to>
      <xdr:col>59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120</xdr:row>
      <xdr:rowOff>0</xdr:rowOff>
    </xdr:from>
    <xdr:to>
      <xdr:col>23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120</xdr:row>
      <xdr:rowOff>0</xdr:rowOff>
    </xdr:from>
    <xdr:to>
      <xdr:col>38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120</xdr:row>
      <xdr:rowOff>0</xdr:rowOff>
    </xdr:from>
    <xdr:to>
      <xdr:col>70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121</xdr:row>
      <xdr:rowOff>0</xdr:rowOff>
    </xdr:from>
    <xdr:to>
      <xdr:col>44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121</xdr:row>
      <xdr:rowOff>0</xdr:rowOff>
    </xdr:from>
    <xdr:to>
      <xdr:col>44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121</xdr:row>
      <xdr:rowOff>0</xdr:rowOff>
    </xdr:from>
    <xdr:to>
      <xdr:col>59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121</xdr:row>
      <xdr:rowOff>0</xdr:rowOff>
    </xdr:from>
    <xdr:to>
      <xdr:col>70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121</xdr:row>
      <xdr:rowOff>0</xdr:rowOff>
    </xdr:from>
    <xdr:to>
      <xdr:col>23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121</xdr:row>
      <xdr:rowOff>0</xdr:rowOff>
    </xdr:from>
    <xdr:to>
      <xdr:col>38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122</xdr:row>
      <xdr:rowOff>0</xdr:rowOff>
    </xdr:from>
    <xdr:to>
      <xdr:col>44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122</xdr:row>
      <xdr:rowOff>0</xdr:rowOff>
    </xdr:from>
    <xdr:to>
      <xdr:col>44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122</xdr:row>
      <xdr:rowOff>0</xdr:rowOff>
    </xdr:from>
    <xdr:to>
      <xdr:col>59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122</xdr:row>
      <xdr:rowOff>0</xdr:rowOff>
    </xdr:from>
    <xdr:to>
      <xdr:col>70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122</xdr:row>
      <xdr:rowOff>0</xdr:rowOff>
    </xdr:from>
    <xdr:to>
      <xdr:col>23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122</xdr:row>
      <xdr:rowOff>0</xdr:rowOff>
    </xdr:from>
    <xdr:to>
      <xdr:col>38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123</xdr:row>
      <xdr:rowOff>0</xdr:rowOff>
    </xdr:from>
    <xdr:to>
      <xdr:col>44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123</xdr:row>
      <xdr:rowOff>0</xdr:rowOff>
    </xdr:from>
    <xdr:to>
      <xdr:col>44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123</xdr:row>
      <xdr:rowOff>0</xdr:rowOff>
    </xdr:from>
    <xdr:to>
      <xdr:col>70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123</xdr:row>
      <xdr:rowOff>0</xdr:rowOff>
    </xdr:from>
    <xdr:to>
      <xdr:col>23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123</xdr:row>
      <xdr:rowOff>0</xdr:rowOff>
    </xdr:from>
    <xdr:to>
      <xdr:col>38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123</xdr:row>
      <xdr:rowOff>0</xdr:rowOff>
    </xdr:from>
    <xdr:to>
      <xdr:col>59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124</xdr:row>
      <xdr:rowOff>0</xdr:rowOff>
    </xdr:from>
    <xdr:to>
      <xdr:col>44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124</xdr:row>
      <xdr:rowOff>0</xdr:rowOff>
    </xdr:from>
    <xdr:to>
      <xdr:col>44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124</xdr:row>
      <xdr:rowOff>0</xdr:rowOff>
    </xdr:from>
    <xdr:to>
      <xdr:col>70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124</xdr:row>
      <xdr:rowOff>0</xdr:rowOff>
    </xdr:from>
    <xdr:to>
      <xdr:col>23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124</xdr:row>
      <xdr:rowOff>0</xdr:rowOff>
    </xdr:from>
    <xdr:to>
      <xdr:col>38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124</xdr:row>
      <xdr:rowOff>0</xdr:rowOff>
    </xdr:from>
    <xdr:to>
      <xdr:col>59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125</xdr:row>
      <xdr:rowOff>0</xdr:rowOff>
    </xdr:from>
    <xdr:to>
      <xdr:col>44</xdr:col>
      <xdr:colOff>83820</xdr:colOff>
      <xdr:row>125</xdr:row>
      <xdr:rowOff>114300</xdr:rowOff>
    </xdr:to>
    <xdr:sp macro="" textlink="">
      <xdr:nvSpPr>
        <xdr:cNvPr id="887" name="Arrow: Down 886">
          <a:extLst>
            <a:ext uri="{FF2B5EF4-FFF2-40B4-BE49-F238E27FC236}">
              <a16:creationId xmlns:a16="http://schemas.microsoft.com/office/drawing/2014/main" id="{CAAC4B68-238D-49BB-ABB4-88BBB98AF743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125</xdr:row>
      <xdr:rowOff>0</xdr:rowOff>
    </xdr:from>
    <xdr:to>
      <xdr:col>44</xdr:col>
      <xdr:colOff>83820</xdr:colOff>
      <xdr:row>125</xdr:row>
      <xdr:rowOff>114300</xdr:rowOff>
    </xdr:to>
    <xdr:sp macro="" textlink="">
      <xdr:nvSpPr>
        <xdr:cNvPr id="888" name="Arrow: Down 887">
          <a:extLst>
            <a:ext uri="{FF2B5EF4-FFF2-40B4-BE49-F238E27FC236}">
              <a16:creationId xmlns:a16="http://schemas.microsoft.com/office/drawing/2014/main" id="{F310D83F-74E0-43CA-9D37-734CFE1E6176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125</xdr:row>
      <xdr:rowOff>0</xdr:rowOff>
    </xdr:from>
    <xdr:to>
      <xdr:col>70</xdr:col>
      <xdr:colOff>83820</xdr:colOff>
      <xdr:row>125</xdr:row>
      <xdr:rowOff>114300</xdr:rowOff>
    </xdr:to>
    <xdr:sp macro="" textlink="">
      <xdr:nvSpPr>
        <xdr:cNvPr id="889" name="Arrow: Down 888">
          <a:extLst>
            <a:ext uri="{FF2B5EF4-FFF2-40B4-BE49-F238E27FC236}">
              <a16:creationId xmlns:a16="http://schemas.microsoft.com/office/drawing/2014/main" id="{07B82FBA-1B4B-4731-BE86-C5AC3C60A39B}"/>
            </a:ext>
          </a:extLst>
        </xdr:cNvPr>
        <xdr:cNvSpPr/>
      </xdr:nvSpPr>
      <xdr:spPr>
        <a:xfrm rot="10800000">
          <a:off x="174879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125</xdr:row>
      <xdr:rowOff>0</xdr:rowOff>
    </xdr:from>
    <xdr:to>
      <xdr:col>23</xdr:col>
      <xdr:colOff>83820</xdr:colOff>
      <xdr:row>125</xdr:row>
      <xdr:rowOff>114300</xdr:rowOff>
    </xdr:to>
    <xdr:sp macro="" textlink="">
      <xdr:nvSpPr>
        <xdr:cNvPr id="890" name="Arrow: Down 889">
          <a:extLst>
            <a:ext uri="{FF2B5EF4-FFF2-40B4-BE49-F238E27FC236}">
              <a16:creationId xmlns:a16="http://schemas.microsoft.com/office/drawing/2014/main" id="{ED9F5F0E-C5B6-4139-8819-83511A3D73CF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125</xdr:row>
      <xdr:rowOff>0</xdr:rowOff>
    </xdr:from>
    <xdr:to>
      <xdr:col>38</xdr:col>
      <xdr:colOff>83820</xdr:colOff>
      <xdr:row>125</xdr:row>
      <xdr:rowOff>114300</xdr:rowOff>
    </xdr:to>
    <xdr:sp macro="" textlink="">
      <xdr:nvSpPr>
        <xdr:cNvPr id="891" name="Arrow: Down 890">
          <a:extLst>
            <a:ext uri="{FF2B5EF4-FFF2-40B4-BE49-F238E27FC236}">
              <a16:creationId xmlns:a16="http://schemas.microsoft.com/office/drawing/2014/main" id="{0E6AEA46-F7A2-440C-8448-615E562A3D1C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83820</xdr:colOff>
      <xdr:row>125</xdr:row>
      <xdr:rowOff>114300</xdr:rowOff>
    </xdr:to>
    <xdr:sp macro="" textlink="">
      <xdr:nvSpPr>
        <xdr:cNvPr id="892" name="Arrow: Down 891">
          <a:extLst>
            <a:ext uri="{FF2B5EF4-FFF2-40B4-BE49-F238E27FC236}">
              <a16:creationId xmlns:a16="http://schemas.microsoft.com/office/drawing/2014/main" id="{013DDF7B-882B-4ACB-8FE6-495678A4F8BB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125</xdr:row>
      <xdr:rowOff>0</xdr:rowOff>
    </xdr:from>
    <xdr:to>
      <xdr:col>59</xdr:col>
      <xdr:colOff>83820</xdr:colOff>
      <xdr:row>125</xdr:row>
      <xdr:rowOff>114300</xdr:rowOff>
    </xdr:to>
    <xdr:sp macro="" textlink="">
      <xdr:nvSpPr>
        <xdr:cNvPr id="894" name="Arrow: Down 893">
          <a:extLst>
            <a:ext uri="{FF2B5EF4-FFF2-40B4-BE49-F238E27FC236}">
              <a16:creationId xmlns:a16="http://schemas.microsoft.com/office/drawing/2014/main" id="{57A48B4C-9B2D-4FED-A23C-0AD8B50E6806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83820</xdr:colOff>
      <xdr:row>125</xdr:row>
      <xdr:rowOff>114300</xdr:rowOff>
    </xdr:to>
    <xdr:sp macro="" textlink="">
      <xdr:nvSpPr>
        <xdr:cNvPr id="827" name="Arrow: Down 826">
          <a:extLst>
            <a:ext uri="{FF2B5EF4-FFF2-40B4-BE49-F238E27FC236}">
              <a16:creationId xmlns:a16="http://schemas.microsoft.com/office/drawing/2014/main" id="{74C82D2E-FA7C-4940-8710-FC30F4ADA82C}"/>
            </a:ext>
          </a:extLst>
        </xdr:cNvPr>
        <xdr:cNvSpPr/>
      </xdr:nvSpPr>
      <xdr:spPr>
        <a:xfrm>
          <a:off x="3619500" y="229590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126</xdr:row>
      <xdr:rowOff>0</xdr:rowOff>
    </xdr:from>
    <xdr:to>
      <xdr:col>44</xdr:col>
      <xdr:colOff>83820</xdr:colOff>
      <xdr:row>126</xdr:row>
      <xdr:rowOff>114300</xdr:rowOff>
    </xdr:to>
    <xdr:sp macro="" textlink="">
      <xdr:nvSpPr>
        <xdr:cNvPr id="831" name="Arrow: Down 830">
          <a:extLst>
            <a:ext uri="{FF2B5EF4-FFF2-40B4-BE49-F238E27FC236}">
              <a16:creationId xmlns:a16="http://schemas.microsoft.com/office/drawing/2014/main" id="{47316559-D0A5-4FF9-B089-A7C90B95759A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126</xdr:row>
      <xdr:rowOff>0</xdr:rowOff>
    </xdr:from>
    <xdr:to>
      <xdr:col>44</xdr:col>
      <xdr:colOff>83820</xdr:colOff>
      <xdr:row>126</xdr:row>
      <xdr:rowOff>114300</xdr:rowOff>
    </xdr:to>
    <xdr:sp macro="" textlink="">
      <xdr:nvSpPr>
        <xdr:cNvPr id="835" name="Arrow: Down 834">
          <a:extLst>
            <a:ext uri="{FF2B5EF4-FFF2-40B4-BE49-F238E27FC236}">
              <a16:creationId xmlns:a16="http://schemas.microsoft.com/office/drawing/2014/main" id="{29797059-F73F-4255-9CFF-A37832CF3359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126</xdr:row>
      <xdr:rowOff>0</xdr:rowOff>
    </xdr:from>
    <xdr:to>
      <xdr:col>70</xdr:col>
      <xdr:colOff>83820</xdr:colOff>
      <xdr:row>126</xdr:row>
      <xdr:rowOff>114300</xdr:rowOff>
    </xdr:to>
    <xdr:sp macro="" textlink="">
      <xdr:nvSpPr>
        <xdr:cNvPr id="844" name="Arrow: Down 843">
          <a:extLst>
            <a:ext uri="{FF2B5EF4-FFF2-40B4-BE49-F238E27FC236}">
              <a16:creationId xmlns:a16="http://schemas.microsoft.com/office/drawing/2014/main" id="{2E94376D-40B4-420A-A3A5-6F157D44678E}"/>
            </a:ext>
          </a:extLst>
        </xdr:cNvPr>
        <xdr:cNvSpPr/>
      </xdr:nvSpPr>
      <xdr:spPr>
        <a:xfrm rot="10800000">
          <a:off x="1748790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126</xdr:row>
      <xdr:rowOff>0</xdr:rowOff>
    </xdr:from>
    <xdr:to>
      <xdr:col>23</xdr:col>
      <xdr:colOff>83820</xdr:colOff>
      <xdr:row>126</xdr:row>
      <xdr:rowOff>114300</xdr:rowOff>
    </xdr:to>
    <xdr:sp macro="" textlink="">
      <xdr:nvSpPr>
        <xdr:cNvPr id="865" name="Arrow: Down 864">
          <a:extLst>
            <a:ext uri="{FF2B5EF4-FFF2-40B4-BE49-F238E27FC236}">
              <a16:creationId xmlns:a16="http://schemas.microsoft.com/office/drawing/2014/main" id="{7A3C48D3-1453-47FC-B528-63F33CC370DC}"/>
            </a:ext>
          </a:extLst>
        </xdr:cNvPr>
        <xdr:cNvSpPr/>
      </xdr:nvSpPr>
      <xdr:spPr>
        <a:xfrm rot="10800000">
          <a:off x="544068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83820</xdr:colOff>
      <xdr:row>126</xdr:row>
      <xdr:rowOff>114300</xdr:rowOff>
    </xdr:to>
    <xdr:sp macro="" textlink="">
      <xdr:nvSpPr>
        <xdr:cNvPr id="868" name="Arrow: Down 867">
          <a:extLst>
            <a:ext uri="{FF2B5EF4-FFF2-40B4-BE49-F238E27FC236}">
              <a16:creationId xmlns:a16="http://schemas.microsoft.com/office/drawing/2014/main" id="{84B08A26-3E68-4347-BB8B-1994191F0E43}"/>
            </a:ext>
          </a:extLst>
        </xdr:cNvPr>
        <xdr:cNvSpPr/>
      </xdr:nvSpPr>
      <xdr:spPr>
        <a:xfrm rot="10800000">
          <a:off x="192786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126</xdr:row>
      <xdr:rowOff>0</xdr:rowOff>
    </xdr:from>
    <xdr:to>
      <xdr:col>59</xdr:col>
      <xdr:colOff>83820</xdr:colOff>
      <xdr:row>126</xdr:row>
      <xdr:rowOff>114300</xdr:rowOff>
    </xdr:to>
    <xdr:sp macro="" textlink="">
      <xdr:nvSpPr>
        <xdr:cNvPr id="869" name="Arrow: Down 868">
          <a:extLst>
            <a:ext uri="{FF2B5EF4-FFF2-40B4-BE49-F238E27FC236}">
              <a16:creationId xmlns:a16="http://schemas.microsoft.com/office/drawing/2014/main" id="{BCB0B8A9-B3ED-4387-8E4D-181BAB4F5872}"/>
            </a:ext>
          </a:extLst>
        </xdr:cNvPr>
        <xdr:cNvSpPr/>
      </xdr:nvSpPr>
      <xdr:spPr>
        <a:xfrm rot="10800000">
          <a:off x="1517142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83820</xdr:colOff>
      <xdr:row>126</xdr:row>
      <xdr:rowOff>114300</xdr:rowOff>
    </xdr:to>
    <xdr:sp macro="" textlink="">
      <xdr:nvSpPr>
        <xdr:cNvPr id="874" name="Arrow: Down 873">
          <a:extLst>
            <a:ext uri="{FF2B5EF4-FFF2-40B4-BE49-F238E27FC236}">
              <a16:creationId xmlns:a16="http://schemas.microsoft.com/office/drawing/2014/main" id="{4018E378-0F0C-44C6-BB02-A02A8BB6C814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127</xdr:row>
      <xdr:rowOff>0</xdr:rowOff>
    </xdr:from>
    <xdr:to>
      <xdr:col>44</xdr:col>
      <xdr:colOff>83820</xdr:colOff>
      <xdr:row>127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FCB05646-8101-4101-824D-CC743135B053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127</xdr:row>
      <xdr:rowOff>0</xdr:rowOff>
    </xdr:from>
    <xdr:to>
      <xdr:col>44</xdr:col>
      <xdr:colOff>83820</xdr:colOff>
      <xdr:row>127</xdr:row>
      <xdr:rowOff>114300</xdr:rowOff>
    </xdr:to>
    <xdr:sp macro="" textlink="">
      <xdr:nvSpPr>
        <xdr:cNvPr id="879" name="Arrow: Down 878">
          <a:extLst>
            <a:ext uri="{FF2B5EF4-FFF2-40B4-BE49-F238E27FC236}">
              <a16:creationId xmlns:a16="http://schemas.microsoft.com/office/drawing/2014/main" id="{5DDECF77-A7BF-4812-8A49-D678C8E2981B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127</xdr:row>
      <xdr:rowOff>0</xdr:rowOff>
    </xdr:from>
    <xdr:to>
      <xdr:col>70</xdr:col>
      <xdr:colOff>83820</xdr:colOff>
      <xdr:row>127</xdr:row>
      <xdr:rowOff>114300</xdr:rowOff>
    </xdr:to>
    <xdr:sp macro="" textlink="">
      <xdr:nvSpPr>
        <xdr:cNvPr id="880" name="Arrow: Down 879">
          <a:extLst>
            <a:ext uri="{FF2B5EF4-FFF2-40B4-BE49-F238E27FC236}">
              <a16:creationId xmlns:a16="http://schemas.microsoft.com/office/drawing/2014/main" id="{5E2ACBEE-612B-4232-A604-EE26C1801F46}"/>
            </a:ext>
          </a:extLst>
        </xdr:cNvPr>
        <xdr:cNvSpPr/>
      </xdr:nvSpPr>
      <xdr:spPr>
        <a:xfrm rot="10800000">
          <a:off x="174879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83820</xdr:colOff>
      <xdr:row>127</xdr:row>
      <xdr:rowOff>114300</xdr:rowOff>
    </xdr:to>
    <xdr:sp macro="" textlink="">
      <xdr:nvSpPr>
        <xdr:cNvPr id="883" name="Arrow: Down 882">
          <a:extLst>
            <a:ext uri="{FF2B5EF4-FFF2-40B4-BE49-F238E27FC236}">
              <a16:creationId xmlns:a16="http://schemas.microsoft.com/office/drawing/2014/main" id="{CF7FC5BF-E9AE-4F46-B3D5-2F63132240B1}"/>
            </a:ext>
          </a:extLst>
        </xdr:cNvPr>
        <xdr:cNvSpPr/>
      </xdr:nvSpPr>
      <xdr:spPr>
        <a:xfrm rot="10800000">
          <a:off x="192786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11</xdr:col>
      <xdr:colOff>83820</xdr:colOff>
      <xdr:row>127</xdr:row>
      <xdr:rowOff>114300</xdr:rowOff>
    </xdr:to>
    <xdr:sp macro="" textlink="">
      <xdr:nvSpPr>
        <xdr:cNvPr id="885" name="Arrow: Down 884">
          <a:extLst>
            <a:ext uri="{FF2B5EF4-FFF2-40B4-BE49-F238E27FC236}">
              <a16:creationId xmlns:a16="http://schemas.microsoft.com/office/drawing/2014/main" id="{8C129D90-6A20-44D4-8CAB-21B3C6F10DEB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126</xdr:row>
      <xdr:rowOff>0</xdr:rowOff>
    </xdr:from>
    <xdr:to>
      <xdr:col>38</xdr:col>
      <xdr:colOff>83820</xdr:colOff>
      <xdr:row>126</xdr:row>
      <xdr:rowOff>114300</xdr:rowOff>
    </xdr:to>
    <xdr:sp macro="" textlink="">
      <xdr:nvSpPr>
        <xdr:cNvPr id="895" name="Arrow: Down 894">
          <a:extLst>
            <a:ext uri="{FF2B5EF4-FFF2-40B4-BE49-F238E27FC236}">
              <a16:creationId xmlns:a16="http://schemas.microsoft.com/office/drawing/2014/main" id="{2ADB66C5-6FE4-450D-A097-E8428BD3AE67}"/>
            </a:ext>
          </a:extLst>
        </xdr:cNvPr>
        <xdr:cNvSpPr/>
      </xdr:nvSpPr>
      <xdr:spPr>
        <a:xfrm>
          <a:off x="860298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127</xdr:row>
      <xdr:rowOff>0</xdr:rowOff>
    </xdr:from>
    <xdr:to>
      <xdr:col>23</xdr:col>
      <xdr:colOff>83820</xdr:colOff>
      <xdr:row>127</xdr:row>
      <xdr:rowOff>114300</xdr:rowOff>
    </xdr:to>
    <xdr:sp macro="" textlink="">
      <xdr:nvSpPr>
        <xdr:cNvPr id="898" name="Arrow: Down 897">
          <a:extLst>
            <a:ext uri="{FF2B5EF4-FFF2-40B4-BE49-F238E27FC236}">
              <a16:creationId xmlns:a16="http://schemas.microsoft.com/office/drawing/2014/main" id="{3D5B850D-6E22-407C-86A9-C435DBAF3493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127</xdr:row>
      <xdr:rowOff>0</xdr:rowOff>
    </xdr:from>
    <xdr:to>
      <xdr:col>38</xdr:col>
      <xdr:colOff>83820</xdr:colOff>
      <xdr:row>127</xdr:row>
      <xdr:rowOff>114300</xdr:rowOff>
    </xdr:to>
    <xdr:sp macro="" textlink="">
      <xdr:nvSpPr>
        <xdr:cNvPr id="900" name="Arrow: Down 899">
          <a:extLst>
            <a:ext uri="{FF2B5EF4-FFF2-40B4-BE49-F238E27FC236}">
              <a16:creationId xmlns:a16="http://schemas.microsoft.com/office/drawing/2014/main" id="{4799EAC4-B159-4F73-AAA2-245B70F633B5}"/>
            </a:ext>
          </a:extLst>
        </xdr:cNvPr>
        <xdr:cNvSpPr/>
      </xdr:nvSpPr>
      <xdr:spPr>
        <a:xfrm>
          <a:off x="860298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127</xdr:row>
      <xdr:rowOff>0</xdr:rowOff>
    </xdr:from>
    <xdr:to>
      <xdr:col>59</xdr:col>
      <xdr:colOff>83820</xdr:colOff>
      <xdr:row>127</xdr:row>
      <xdr:rowOff>114300</xdr:rowOff>
    </xdr:to>
    <xdr:sp macro="" textlink="">
      <xdr:nvSpPr>
        <xdr:cNvPr id="902" name="Arrow: Down 901">
          <a:extLst>
            <a:ext uri="{FF2B5EF4-FFF2-40B4-BE49-F238E27FC236}">
              <a16:creationId xmlns:a16="http://schemas.microsoft.com/office/drawing/2014/main" id="{CD33F9AB-9B39-4DE5-8D2C-1F5B27C91C0D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128</xdr:row>
      <xdr:rowOff>0</xdr:rowOff>
    </xdr:from>
    <xdr:to>
      <xdr:col>44</xdr:col>
      <xdr:colOff>83820</xdr:colOff>
      <xdr:row>128</xdr:row>
      <xdr:rowOff>114300</xdr:rowOff>
    </xdr:to>
    <xdr:sp macro="" textlink="">
      <xdr:nvSpPr>
        <xdr:cNvPr id="815" name="Arrow: Down 814">
          <a:extLst>
            <a:ext uri="{FF2B5EF4-FFF2-40B4-BE49-F238E27FC236}">
              <a16:creationId xmlns:a16="http://schemas.microsoft.com/office/drawing/2014/main" id="{3DEE3F07-E9AC-43B4-9F7A-443C8D224D44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128</xdr:row>
      <xdr:rowOff>0</xdr:rowOff>
    </xdr:from>
    <xdr:to>
      <xdr:col>44</xdr:col>
      <xdr:colOff>83820</xdr:colOff>
      <xdr:row>128</xdr:row>
      <xdr:rowOff>114300</xdr:rowOff>
    </xdr:to>
    <xdr:sp macro="" textlink="">
      <xdr:nvSpPr>
        <xdr:cNvPr id="867" name="Arrow: Down 866">
          <a:extLst>
            <a:ext uri="{FF2B5EF4-FFF2-40B4-BE49-F238E27FC236}">
              <a16:creationId xmlns:a16="http://schemas.microsoft.com/office/drawing/2014/main" id="{7B408D63-61A5-46E1-9737-C24B7A0C4DC7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128</xdr:row>
      <xdr:rowOff>0</xdr:rowOff>
    </xdr:from>
    <xdr:to>
      <xdr:col>70</xdr:col>
      <xdr:colOff>83820</xdr:colOff>
      <xdr:row>128</xdr:row>
      <xdr:rowOff>114300</xdr:rowOff>
    </xdr:to>
    <xdr:sp macro="" textlink="">
      <xdr:nvSpPr>
        <xdr:cNvPr id="870" name="Arrow: Down 869">
          <a:extLst>
            <a:ext uri="{FF2B5EF4-FFF2-40B4-BE49-F238E27FC236}">
              <a16:creationId xmlns:a16="http://schemas.microsoft.com/office/drawing/2014/main" id="{E413E567-1836-4990-9B2C-E7B88708AF6B}"/>
            </a:ext>
          </a:extLst>
        </xdr:cNvPr>
        <xdr:cNvSpPr/>
      </xdr:nvSpPr>
      <xdr:spPr>
        <a:xfrm rot="10800000">
          <a:off x="174879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83820</xdr:colOff>
      <xdr:row>128</xdr:row>
      <xdr:rowOff>114300</xdr:rowOff>
    </xdr:to>
    <xdr:sp macro="" textlink="">
      <xdr:nvSpPr>
        <xdr:cNvPr id="873" name="Arrow: Down 872">
          <a:extLst>
            <a:ext uri="{FF2B5EF4-FFF2-40B4-BE49-F238E27FC236}">
              <a16:creationId xmlns:a16="http://schemas.microsoft.com/office/drawing/2014/main" id="{16EBF00A-8B88-4F4D-8B0D-385518C57BCA}"/>
            </a:ext>
          </a:extLst>
        </xdr:cNvPr>
        <xdr:cNvSpPr/>
      </xdr:nvSpPr>
      <xdr:spPr>
        <a:xfrm rot="10800000">
          <a:off x="192786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11</xdr:col>
      <xdr:colOff>83820</xdr:colOff>
      <xdr:row>128</xdr:row>
      <xdr:rowOff>114300</xdr:rowOff>
    </xdr:to>
    <xdr:sp macro="" textlink="">
      <xdr:nvSpPr>
        <xdr:cNvPr id="881" name="Arrow: Down 880">
          <a:extLst>
            <a:ext uri="{FF2B5EF4-FFF2-40B4-BE49-F238E27FC236}">
              <a16:creationId xmlns:a16="http://schemas.microsoft.com/office/drawing/2014/main" id="{54384283-A011-4386-BD3D-64DD97ECAC00}"/>
            </a:ext>
          </a:extLst>
        </xdr:cNvPr>
        <xdr:cNvSpPr/>
      </xdr:nvSpPr>
      <xdr:spPr>
        <a:xfrm rot="10800000">
          <a:off x="36195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128</xdr:row>
      <xdr:rowOff>0</xdr:rowOff>
    </xdr:from>
    <xdr:to>
      <xdr:col>23</xdr:col>
      <xdr:colOff>83820</xdr:colOff>
      <xdr:row>128</xdr:row>
      <xdr:rowOff>114300</xdr:rowOff>
    </xdr:to>
    <xdr:sp macro="" textlink="">
      <xdr:nvSpPr>
        <xdr:cNvPr id="882" name="Arrow: Down 881">
          <a:extLst>
            <a:ext uri="{FF2B5EF4-FFF2-40B4-BE49-F238E27FC236}">
              <a16:creationId xmlns:a16="http://schemas.microsoft.com/office/drawing/2014/main" id="{67DA10ED-2F44-4131-A189-040F6FD0FB88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128</xdr:row>
      <xdr:rowOff>0</xdr:rowOff>
    </xdr:from>
    <xdr:to>
      <xdr:col>59</xdr:col>
      <xdr:colOff>83820</xdr:colOff>
      <xdr:row>128</xdr:row>
      <xdr:rowOff>114300</xdr:rowOff>
    </xdr:to>
    <xdr:sp macro="" textlink="">
      <xdr:nvSpPr>
        <xdr:cNvPr id="886" name="Arrow: Down 885">
          <a:extLst>
            <a:ext uri="{FF2B5EF4-FFF2-40B4-BE49-F238E27FC236}">
              <a16:creationId xmlns:a16="http://schemas.microsoft.com/office/drawing/2014/main" id="{6806C395-2EE9-4144-AF48-066E43BA02B2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128</xdr:row>
      <xdr:rowOff>0</xdr:rowOff>
    </xdr:from>
    <xdr:to>
      <xdr:col>38</xdr:col>
      <xdr:colOff>83820</xdr:colOff>
      <xdr:row>128</xdr:row>
      <xdr:rowOff>114300</xdr:rowOff>
    </xdr:to>
    <xdr:sp macro="" textlink="">
      <xdr:nvSpPr>
        <xdr:cNvPr id="893" name="Arrow: Down 892">
          <a:extLst>
            <a:ext uri="{FF2B5EF4-FFF2-40B4-BE49-F238E27FC236}">
              <a16:creationId xmlns:a16="http://schemas.microsoft.com/office/drawing/2014/main" id="{E687A73A-C55F-4093-9F70-EA9222B4D4E1}"/>
            </a:ext>
          </a:extLst>
        </xdr:cNvPr>
        <xdr:cNvSpPr/>
      </xdr:nvSpPr>
      <xdr:spPr>
        <a:xfrm rot="10800000">
          <a:off x="86029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129</xdr:row>
      <xdr:rowOff>0</xdr:rowOff>
    </xdr:from>
    <xdr:to>
      <xdr:col>44</xdr:col>
      <xdr:colOff>83820</xdr:colOff>
      <xdr:row>129</xdr:row>
      <xdr:rowOff>114300</xdr:rowOff>
    </xdr:to>
    <xdr:sp macro="" textlink="">
      <xdr:nvSpPr>
        <xdr:cNvPr id="907" name="Arrow: Down 906">
          <a:extLst>
            <a:ext uri="{FF2B5EF4-FFF2-40B4-BE49-F238E27FC236}">
              <a16:creationId xmlns:a16="http://schemas.microsoft.com/office/drawing/2014/main" id="{52AD076B-8C5B-40D2-94E6-EBEA9C5ADBDE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129</xdr:row>
      <xdr:rowOff>0</xdr:rowOff>
    </xdr:from>
    <xdr:to>
      <xdr:col>44</xdr:col>
      <xdr:colOff>83820</xdr:colOff>
      <xdr:row>129</xdr:row>
      <xdr:rowOff>114300</xdr:rowOff>
    </xdr:to>
    <xdr:sp macro="" textlink="">
      <xdr:nvSpPr>
        <xdr:cNvPr id="908" name="Arrow: Down 907">
          <a:extLst>
            <a:ext uri="{FF2B5EF4-FFF2-40B4-BE49-F238E27FC236}">
              <a16:creationId xmlns:a16="http://schemas.microsoft.com/office/drawing/2014/main" id="{14FF4883-2E13-427B-BE21-93C1845666F9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129</xdr:row>
      <xdr:rowOff>0</xdr:rowOff>
    </xdr:from>
    <xdr:to>
      <xdr:col>23</xdr:col>
      <xdr:colOff>83820</xdr:colOff>
      <xdr:row>129</xdr:row>
      <xdr:rowOff>114300</xdr:rowOff>
    </xdr:to>
    <xdr:sp macro="" textlink="">
      <xdr:nvSpPr>
        <xdr:cNvPr id="912" name="Arrow: Down 911">
          <a:extLst>
            <a:ext uri="{FF2B5EF4-FFF2-40B4-BE49-F238E27FC236}">
              <a16:creationId xmlns:a16="http://schemas.microsoft.com/office/drawing/2014/main" id="{11CB253B-687B-485A-98EC-C1081151E1E2}"/>
            </a:ext>
          </a:extLst>
        </xdr:cNvPr>
        <xdr:cNvSpPr/>
      </xdr:nvSpPr>
      <xdr:spPr>
        <a:xfrm>
          <a:off x="54406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129</xdr:row>
      <xdr:rowOff>0</xdr:rowOff>
    </xdr:from>
    <xdr:to>
      <xdr:col>59</xdr:col>
      <xdr:colOff>83820</xdr:colOff>
      <xdr:row>129</xdr:row>
      <xdr:rowOff>114300</xdr:rowOff>
    </xdr:to>
    <xdr:sp macro="" textlink="">
      <xdr:nvSpPr>
        <xdr:cNvPr id="913" name="Arrow: Down 912">
          <a:extLst>
            <a:ext uri="{FF2B5EF4-FFF2-40B4-BE49-F238E27FC236}">
              <a16:creationId xmlns:a16="http://schemas.microsoft.com/office/drawing/2014/main" id="{3467E7C7-4DAC-4C44-9C92-17A9B2C1F405}"/>
            </a:ext>
          </a:extLst>
        </xdr:cNvPr>
        <xdr:cNvSpPr/>
      </xdr:nvSpPr>
      <xdr:spPr>
        <a:xfrm>
          <a:off x="151714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83820</xdr:colOff>
      <xdr:row>129</xdr:row>
      <xdr:rowOff>114300</xdr:rowOff>
    </xdr:to>
    <xdr:sp macro="" textlink="">
      <xdr:nvSpPr>
        <xdr:cNvPr id="915" name="Arrow: Down 914">
          <a:extLst>
            <a:ext uri="{FF2B5EF4-FFF2-40B4-BE49-F238E27FC236}">
              <a16:creationId xmlns:a16="http://schemas.microsoft.com/office/drawing/2014/main" id="{995DA461-9565-4DAD-974B-0E7596D7186D}"/>
            </a:ext>
          </a:extLst>
        </xdr:cNvPr>
        <xdr:cNvSpPr/>
      </xdr:nvSpPr>
      <xdr:spPr>
        <a:xfrm>
          <a:off x="192786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11</xdr:col>
      <xdr:colOff>83820</xdr:colOff>
      <xdr:row>129</xdr:row>
      <xdr:rowOff>114300</xdr:rowOff>
    </xdr:to>
    <xdr:sp macro="" textlink="">
      <xdr:nvSpPr>
        <xdr:cNvPr id="916" name="Arrow: Down 915">
          <a:extLst>
            <a:ext uri="{FF2B5EF4-FFF2-40B4-BE49-F238E27FC236}">
              <a16:creationId xmlns:a16="http://schemas.microsoft.com/office/drawing/2014/main" id="{D17B36E8-5E21-4CC9-800A-4C284D31B890}"/>
            </a:ext>
          </a:extLst>
        </xdr:cNvPr>
        <xdr:cNvSpPr/>
      </xdr:nvSpPr>
      <xdr:spPr>
        <a:xfrm>
          <a:off x="361950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129</xdr:row>
      <xdr:rowOff>0</xdr:rowOff>
    </xdr:from>
    <xdr:to>
      <xdr:col>38</xdr:col>
      <xdr:colOff>83820</xdr:colOff>
      <xdr:row>129</xdr:row>
      <xdr:rowOff>114300</xdr:rowOff>
    </xdr:to>
    <xdr:sp macro="" textlink="">
      <xdr:nvSpPr>
        <xdr:cNvPr id="918" name="Arrow: Down 917">
          <a:extLst>
            <a:ext uri="{FF2B5EF4-FFF2-40B4-BE49-F238E27FC236}">
              <a16:creationId xmlns:a16="http://schemas.microsoft.com/office/drawing/2014/main" id="{1FBFF47E-A03C-45D5-8619-A11F9706C6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129</xdr:row>
      <xdr:rowOff>0</xdr:rowOff>
    </xdr:from>
    <xdr:to>
      <xdr:col>70</xdr:col>
      <xdr:colOff>83820</xdr:colOff>
      <xdr:row>129</xdr:row>
      <xdr:rowOff>114300</xdr:rowOff>
    </xdr:to>
    <xdr:sp macro="" textlink="">
      <xdr:nvSpPr>
        <xdr:cNvPr id="921" name="Arrow: Down 920">
          <a:extLst>
            <a:ext uri="{FF2B5EF4-FFF2-40B4-BE49-F238E27FC236}">
              <a16:creationId xmlns:a16="http://schemas.microsoft.com/office/drawing/2014/main" id="{EB90C529-CD58-4F3A-B8D6-8FE27AACE45D}"/>
            </a:ext>
          </a:extLst>
        </xdr:cNvPr>
        <xdr:cNvSpPr/>
      </xdr:nvSpPr>
      <xdr:spPr>
        <a:xfrm>
          <a:off x="1748790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130</xdr:row>
      <xdr:rowOff>0</xdr:rowOff>
    </xdr:from>
    <xdr:to>
      <xdr:col>23</xdr:col>
      <xdr:colOff>83820</xdr:colOff>
      <xdr:row>130</xdr:row>
      <xdr:rowOff>114300</xdr:rowOff>
    </xdr:to>
    <xdr:sp macro="" textlink="">
      <xdr:nvSpPr>
        <xdr:cNvPr id="924" name="Arrow: Down 923">
          <a:extLst>
            <a:ext uri="{FF2B5EF4-FFF2-40B4-BE49-F238E27FC236}">
              <a16:creationId xmlns:a16="http://schemas.microsoft.com/office/drawing/2014/main" id="{D9F2C22D-95E7-47A6-BCB8-273002A35218}"/>
            </a:ext>
          </a:extLst>
        </xdr:cNvPr>
        <xdr:cNvSpPr/>
      </xdr:nvSpPr>
      <xdr:spPr>
        <a:xfrm>
          <a:off x="544068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130</xdr:row>
      <xdr:rowOff>0</xdr:rowOff>
    </xdr:from>
    <xdr:to>
      <xdr:col>38</xdr:col>
      <xdr:colOff>83820</xdr:colOff>
      <xdr:row>130</xdr:row>
      <xdr:rowOff>114300</xdr:rowOff>
    </xdr:to>
    <xdr:sp macro="" textlink="">
      <xdr:nvSpPr>
        <xdr:cNvPr id="928" name="Arrow: Down 927">
          <a:extLst>
            <a:ext uri="{FF2B5EF4-FFF2-40B4-BE49-F238E27FC236}">
              <a16:creationId xmlns:a16="http://schemas.microsoft.com/office/drawing/2014/main" id="{9372AF9E-77CB-410E-A718-51964206B3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83820</xdr:colOff>
      <xdr:row>130</xdr:row>
      <xdr:rowOff>114300</xdr:rowOff>
    </xdr:to>
    <xdr:sp macro="" textlink="">
      <xdr:nvSpPr>
        <xdr:cNvPr id="930" name="Arrow: Down 929">
          <a:extLst>
            <a:ext uri="{FF2B5EF4-FFF2-40B4-BE49-F238E27FC236}">
              <a16:creationId xmlns:a16="http://schemas.microsoft.com/office/drawing/2014/main" id="{75AA1546-5881-4323-9FAD-5BCBFE87C174}"/>
            </a:ext>
          </a:extLst>
        </xdr:cNvPr>
        <xdr:cNvSpPr/>
      </xdr:nvSpPr>
      <xdr:spPr>
        <a:xfrm rot="10800000">
          <a:off x="192786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83820</xdr:colOff>
      <xdr:row>130</xdr:row>
      <xdr:rowOff>114300</xdr:rowOff>
    </xdr:to>
    <xdr:sp macro="" textlink="">
      <xdr:nvSpPr>
        <xdr:cNvPr id="931" name="Arrow: Down 930">
          <a:extLst>
            <a:ext uri="{FF2B5EF4-FFF2-40B4-BE49-F238E27FC236}">
              <a16:creationId xmlns:a16="http://schemas.microsoft.com/office/drawing/2014/main" id="{BACA3A1A-7C48-4BC6-BE79-B1D0ED4A55DA}"/>
            </a:ext>
          </a:extLst>
        </xdr:cNvPr>
        <xdr:cNvSpPr/>
      </xdr:nvSpPr>
      <xdr:spPr>
        <a:xfrm rot="10800000">
          <a:off x="36195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130</xdr:row>
      <xdr:rowOff>0</xdr:rowOff>
    </xdr:from>
    <xdr:to>
      <xdr:col>44</xdr:col>
      <xdr:colOff>83820</xdr:colOff>
      <xdr:row>130</xdr:row>
      <xdr:rowOff>114300</xdr:rowOff>
    </xdr:to>
    <xdr:sp macro="" textlink="">
      <xdr:nvSpPr>
        <xdr:cNvPr id="933" name="Arrow: Down 932">
          <a:extLst>
            <a:ext uri="{FF2B5EF4-FFF2-40B4-BE49-F238E27FC236}">
              <a16:creationId xmlns:a16="http://schemas.microsoft.com/office/drawing/2014/main" id="{E6AEF336-24C1-4AA0-A5C7-51D2FFD202B5}"/>
            </a:ext>
          </a:extLst>
        </xdr:cNvPr>
        <xdr:cNvSpPr/>
      </xdr:nvSpPr>
      <xdr:spPr>
        <a:xfrm>
          <a:off x="104089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130</xdr:row>
      <xdr:rowOff>0</xdr:rowOff>
    </xdr:from>
    <xdr:to>
      <xdr:col>59</xdr:col>
      <xdr:colOff>83820</xdr:colOff>
      <xdr:row>130</xdr:row>
      <xdr:rowOff>114300</xdr:rowOff>
    </xdr:to>
    <xdr:sp macro="" textlink="">
      <xdr:nvSpPr>
        <xdr:cNvPr id="934" name="Arrow: Down 933">
          <a:extLst>
            <a:ext uri="{FF2B5EF4-FFF2-40B4-BE49-F238E27FC236}">
              <a16:creationId xmlns:a16="http://schemas.microsoft.com/office/drawing/2014/main" id="{1CF70B28-5AA4-4CD2-A8ED-CF639F6D5DC1}"/>
            </a:ext>
          </a:extLst>
        </xdr:cNvPr>
        <xdr:cNvSpPr/>
      </xdr:nvSpPr>
      <xdr:spPr>
        <a:xfrm rot="10800000">
          <a:off x="151714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130</xdr:row>
      <xdr:rowOff>0</xdr:rowOff>
    </xdr:from>
    <xdr:to>
      <xdr:col>70</xdr:col>
      <xdr:colOff>83820</xdr:colOff>
      <xdr:row>130</xdr:row>
      <xdr:rowOff>114300</xdr:rowOff>
    </xdr:to>
    <xdr:sp macro="" textlink="">
      <xdr:nvSpPr>
        <xdr:cNvPr id="935" name="Arrow: Down 934">
          <a:extLst>
            <a:ext uri="{FF2B5EF4-FFF2-40B4-BE49-F238E27FC236}">
              <a16:creationId xmlns:a16="http://schemas.microsoft.com/office/drawing/2014/main" id="{6C80AC34-BF52-4C27-9279-8DBB17CA9956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131</xdr:row>
      <xdr:rowOff>0</xdr:rowOff>
    </xdr:from>
    <xdr:to>
      <xdr:col>70</xdr:col>
      <xdr:colOff>83820</xdr:colOff>
      <xdr:row>131</xdr:row>
      <xdr:rowOff>114300</xdr:rowOff>
    </xdr:to>
    <xdr:sp macro="" textlink="">
      <xdr:nvSpPr>
        <xdr:cNvPr id="942" name="Arrow: Down 941">
          <a:extLst>
            <a:ext uri="{FF2B5EF4-FFF2-40B4-BE49-F238E27FC236}">
              <a16:creationId xmlns:a16="http://schemas.microsoft.com/office/drawing/2014/main" id="{F5C4C3CB-9F9E-4FC2-892F-35F5757D4CB3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131</xdr:row>
      <xdr:rowOff>0</xdr:rowOff>
    </xdr:from>
    <xdr:to>
      <xdr:col>5</xdr:col>
      <xdr:colOff>83820</xdr:colOff>
      <xdr:row>131</xdr:row>
      <xdr:rowOff>114300</xdr:rowOff>
    </xdr:to>
    <xdr:sp macro="" textlink="">
      <xdr:nvSpPr>
        <xdr:cNvPr id="943" name="Arrow: Down 942">
          <a:extLst>
            <a:ext uri="{FF2B5EF4-FFF2-40B4-BE49-F238E27FC236}">
              <a16:creationId xmlns:a16="http://schemas.microsoft.com/office/drawing/2014/main" id="{82C5EB71-1365-4F55-BA63-0F332B13F025}"/>
            </a:ext>
          </a:extLst>
        </xdr:cNvPr>
        <xdr:cNvSpPr/>
      </xdr:nvSpPr>
      <xdr:spPr>
        <a:xfrm>
          <a:off x="192786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11</xdr:col>
      <xdr:colOff>83820</xdr:colOff>
      <xdr:row>131</xdr:row>
      <xdr:rowOff>114300</xdr:rowOff>
    </xdr:to>
    <xdr:sp macro="" textlink="">
      <xdr:nvSpPr>
        <xdr:cNvPr id="945" name="Arrow: Down 944">
          <a:extLst>
            <a:ext uri="{FF2B5EF4-FFF2-40B4-BE49-F238E27FC236}">
              <a16:creationId xmlns:a16="http://schemas.microsoft.com/office/drawing/2014/main" id="{798A4C7C-B34F-41B8-8F87-A6501E65B955}"/>
            </a:ext>
          </a:extLst>
        </xdr:cNvPr>
        <xdr:cNvSpPr/>
      </xdr:nvSpPr>
      <xdr:spPr>
        <a:xfrm>
          <a:off x="361950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131</xdr:row>
      <xdr:rowOff>0</xdr:rowOff>
    </xdr:from>
    <xdr:to>
      <xdr:col>23</xdr:col>
      <xdr:colOff>83820</xdr:colOff>
      <xdr:row>131</xdr:row>
      <xdr:rowOff>114300</xdr:rowOff>
    </xdr:to>
    <xdr:sp macro="" textlink="">
      <xdr:nvSpPr>
        <xdr:cNvPr id="947" name="Arrow: Down 946">
          <a:extLst>
            <a:ext uri="{FF2B5EF4-FFF2-40B4-BE49-F238E27FC236}">
              <a16:creationId xmlns:a16="http://schemas.microsoft.com/office/drawing/2014/main" id="{BA3E8431-5EFE-4B64-95A2-E998E7286716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131</xdr:row>
      <xdr:rowOff>0</xdr:rowOff>
    </xdr:from>
    <xdr:to>
      <xdr:col>38</xdr:col>
      <xdr:colOff>83820</xdr:colOff>
      <xdr:row>131</xdr:row>
      <xdr:rowOff>114300</xdr:rowOff>
    </xdr:to>
    <xdr:sp macro="" textlink="">
      <xdr:nvSpPr>
        <xdr:cNvPr id="949" name="Arrow: Down 948">
          <a:extLst>
            <a:ext uri="{FF2B5EF4-FFF2-40B4-BE49-F238E27FC236}">
              <a16:creationId xmlns:a16="http://schemas.microsoft.com/office/drawing/2014/main" id="{8F134282-D617-4337-AB6C-21FC0E18AEAE}"/>
            </a:ext>
          </a:extLst>
        </xdr:cNvPr>
        <xdr:cNvSpPr/>
      </xdr:nvSpPr>
      <xdr:spPr>
        <a:xfrm rot="10800000">
          <a:off x="860298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131</xdr:row>
      <xdr:rowOff>0</xdr:rowOff>
    </xdr:from>
    <xdr:to>
      <xdr:col>44</xdr:col>
      <xdr:colOff>83820</xdr:colOff>
      <xdr:row>131</xdr:row>
      <xdr:rowOff>114300</xdr:rowOff>
    </xdr:to>
    <xdr:sp macro="" textlink="">
      <xdr:nvSpPr>
        <xdr:cNvPr id="950" name="Arrow: Down 949">
          <a:extLst>
            <a:ext uri="{FF2B5EF4-FFF2-40B4-BE49-F238E27FC236}">
              <a16:creationId xmlns:a16="http://schemas.microsoft.com/office/drawing/2014/main" id="{FB79ED6E-C590-4226-8F0F-50ED2C639565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131</xdr:row>
      <xdr:rowOff>0</xdr:rowOff>
    </xdr:from>
    <xdr:to>
      <xdr:col>59</xdr:col>
      <xdr:colOff>83820</xdr:colOff>
      <xdr:row>131</xdr:row>
      <xdr:rowOff>114300</xdr:rowOff>
    </xdr:to>
    <xdr:sp macro="" textlink="">
      <xdr:nvSpPr>
        <xdr:cNvPr id="951" name="Arrow: Down 950">
          <a:extLst>
            <a:ext uri="{FF2B5EF4-FFF2-40B4-BE49-F238E27FC236}">
              <a16:creationId xmlns:a16="http://schemas.microsoft.com/office/drawing/2014/main" id="{F644306C-A8ED-4422-9BA1-CD315F959042}"/>
            </a:ext>
          </a:extLst>
        </xdr:cNvPr>
        <xdr:cNvSpPr/>
      </xdr:nvSpPr>
      <xdr:spPr>
        <a:xfrm>
          <a:off x="151714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132</xdr:row>
      <xdr:rowOff>0</xdr:rowOff>
    </xdr:from>
    <xdr:to>
      <xdr:col>70</xdr:col>
      <xdr:colOff>83820</xdr:colOff>
      <xdr:row>132</xdr:row>
      <xdr:rowOff>114300</xdr:rowOff>
    </xdr:to>
    <xdr:sp macro="" textlink="">
      <xdr:nvSpPr>
        <xdr:cNvPr id="905" name="Arrow: Down 904">
          <a:extLst>
            <a:ext uri="{FF2B5EF4-FFF2-40B4-BE49-F238E27FC236}">
              <a16:creationId xmlns:a16="http://schemas.microsoft.com/office/drawing/2014/main" id="{5BFF27EB-D88F-4441-AB7F-D310292F7004}"/>
            </a:ext>
          </a:extLst>
        </xdr:cNvPr>
        <xdr:cNvSpPr/>
      </xdr:nvSpPr>
      <xdr:spPr>
        <a:xfrm rot="10800000">
          <a:off x="1748790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132</xdr:row>
      <xdr:rowOff>0</xdr:rowOff>
    </xdr:from>
    <xdr:to>
      <xdr:col>23</xdr:col>
      <xdr:colOff>83820</xdr:colOff>
      <xdr:row>132</xdr:row>
      <xdr:rowOff>114300</xdr:rowOff>
    </xdr:to>
    <xdr:sp macro="" textlink="">
      <xdr:nvSpPr>
        <xdr:cNvPr id="910" name="Arrow: Down 909">
          <a:extLst>
            <a:ext uri="{FF2B5EF4-FFF2-40B4-BE49-F238E27FC236}">
              <a16:creationId xmlns:a16="http://schemas.microsoft.com/office/drawing/2014/main" id="{B950D360-7AA3-4945-BF0F-2ED3D50A52BA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132</xdr:row>
      <xdr:rowOff>0</xdr:rowOff>
    </xdr:from>
    <xdr:to>
      <xdr:col>44</xdr:col>
      <xdr:colOff>83820</xdr:colOff>
      <xdr:row>132</xdr:row>
      <xdr:rowOff>114300</xdr:rowOff>
    </xdr:to>
    <xdr:sp macro="" textlink="">
      <xdr:nvSpPr>
        <xdr:cNvPr id="914" name="Arrow: Down 913">
          <a:extLst>
            <a:ext uri="{FF2B5EF4-FFF2-40B4-BE49-F238E27FC236}">
              <a16:creationId xmlns:a16="http://schemas.microsoft.com/office/drawing/2014/main" id="{2F59DA43-F82C-4505-9493-B95008826986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132</xdr:row>
      <xdr:rowOff>0</xdr:rowOff>
    </xdr:from>
    <xdr:to>
      <xdr:col>5</xdr:col>
      <xdr:colOff>83820</xdr:colOff>
      <xdr:row>132</xdr:row>
      <xdr:rowOff>114300</xdr:rowOff>
    </xdr:to>
    <xdr:sp macro="" textlink="">
      <xdr:nvSpPr>
        <xdr:cNvPr id="920" name="Arrow: Down 919">
          <a:extLst>
            <a:ext uri="{FF2B5EF4-FFF2-40B4-BE49-F238E27FC236}">
              <a16:creationId xmlns:a16="http://schemas.microsoft.com/office/drawing/2014/main" id="{FC85FDAA-571D-4194-BC33-08EF7F974626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11</xdr:col>
      <xdr:colOff>83820</xdr:colOff>
      <xdr:row>132</xdr:row>
      <xdr:rowOff>114300</xdr:rowOff>
    </xdr:to>
    <xdr:sp macro="" textlink="">
      <xdr:nvSpPr>
        <xdr:cNvPr id="922" name="Arrow: Down 921">
          <a:extLst>
            <a:ext uri="{FF2B5EF4-FFF2-40B4-BE49-F238E27FC236}">
              <a16:creationId xmlns:a16="http://schemas.microsoft.com/office/drawing/2014/main" id="{831C8D46-2878-4039-83E2-C2F0DCBAF177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132</xdr:row>
      <xdr:rowOff>0</xdr:rowOff>
    </xdr:from>
    <xdr:to>
      <xdr:col>59</xdr:col>
      <xdr:colOff>83820</xdr:colOff>
      <xdr:row>132</xdr:row>
      <xdr:rowOff>114300</xdr:rowOff>
    </xdr:to>
    <xdr:sp macro="" textlink="">
      <xdr:nvSpPr>
        <xdr:cNvPr id="925" name="Arrow: Down 924">
          <a:extLst>
            <a:ext uri="{FF2B5EF4-FFF2-40B4-BE49-F238E27FC236}">
              <a16:creationId xmlns:a16="http://schemas.microsoft.com/office/drawing/2014/main" id="{C422C019-AE84-4DF7-92ED-5752E66A7851}"/>
            </a:ext>
          </a:extLst>
        </xdr:cNvPr>
        <xdr:cNvSpPr/>
      </xdr:nvSpPr>
      <xdr:spPr>
        <a:xfrm rot="10800000">
          <a:off x="1517142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133</xdr:row>
      <xdr:rowOff>0</xdr:rowOff>
    </xdr:from>
    <xdr:to>
      <xdr:col>70</xdr:col>
      <xdr:colOff>83820</xdr:colOff>
      <xdr:row>133</xdr:row>
      <xdr:rowOff>114300</xdr:rowOff>
    </xdr:to>
    <xdr:sp macro="" textlink="">
      <xdr:nvSpPr>
        <xdr:cNvPr id="926" name="Arrow: Down 925">
          <a:extLst>
            <a:ext uri="{FF2B5EF4-FFF2-40B4-BE49-F238E27FC236}">
              <a16:creationId xmlns:a16="http://schemas.microsoft.com/office/drawing/2014/main" id="{2D5C0CBC-0566-400B-B683-3D54C6126459}"/>
            </a:ext>
          </a:extLst>
        </xdr:cNvPr>
        <xdr:cNvSpPr/>
      </xdr:nvSpPr>
      <xdr:spPr>
        <a:xfrm rot="10800000">
          <a:off x="174879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133</xdr:row>
      <xdr:rowOff>0</xdr:rowOff>
    </xdr:from>
    <xdr:to>
      <xdr:col>23</xdr:col>
      <xdr:colOff>83820</xdr:colOff>
      <xdr:row>133</xdr:row>
      <xdr:rowOff>114300</xdr:rowOff>
    </xdr:to>
    <xdr:sp macro="" textlink="">
      <xdr:nvSpPr>
        <xdr:cNvPr id="927" name="Arrow: Down 926">
          <a:extLst>
            <a:ext uri="{FF2B5EF4-FFF2-40B4-BE49-F238E27FC236}">
              <a16:creationId xmlns:a16="http://schemas.microsoft.com/office/drawing/2014/main" id="{F973CDAE-E223-4291-B6B6-EDD891CD0F49}"/>
            </a:ext>
          </a:extLst>
        </xdr:cNvPr>
        <xdr:cNvSpPr/>
      </xdr:nvSpPr>
      <xdr:spPr>
        <a:xfrm rot="10800000">
          <a:off x="54406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133</xdr:row>
      <xdr:rowOff>0</xdr:rowOff>
    </xdr:from>
    <xdr:to>
      <xdr:col>44</xdr:col>
      <xdr:colOff>83820</xdr:colOff>
      <xdr:row>133</xdr:row>
      <xdr:rowOff>114300</xdr:rowOff>
    </xdr:to>
    <xdr:sp macro="" textlink="">
      <xdr:nvSpPr>
        <xdr:cNvPr id="929" name="Arrow: Down 928">
          <a:extLst>
            <a:ext uri="{FF2B5EF4-FFF2-40B4-BE49-F238E27FC236}">
              <a16:creationId xmlns:a16="http://schemas.microsoft.com/office/drawing/2014/main" id="{AEB2F782-9419-45F5-9A27-2042E1202678}"/>
            </a:ext>
          </a:extLst>
        </xdr:cNvPr>
        <xdr:cNvSpPr/>
      </xdr:nvSpPr>
      <xdr:spPr>
        <a:xfrm rot="10800000">
          <a:off x="10408920" y="2423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133</xdr:row>
      <xdr:rowOff>0</xdr:rowOff>
    </xdr:from>
    <xdr:to>
      <xdr:col>5</xdr:col>
      <xdr:colOff>83820</xdr:colOff>
      <xdr:row>133</xdr:row>
      <xdr:rowOff>114300</xdr:rowOff>
    </xdr:to>
    <xdr:sp macro="" textlink="">
      <xdr:nvSpPr>
        <xdr:cNvPr id="932" name="Arrow: Down 931">
          <a:extLst>
            <a:ext uri="{FF2B5EF4-FFF2-40B4-BE49-F238E27FC236}">
              <a16:creationId xmlns:a16="http://schemas.microsoft.com/office/drawing/2014/main" id="{26848534-4843-481B-B175-2D2F791F4A2B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133</xdr:row>
      <xdr:rowOff>0</xdr:rowOff>
    </xdr:from>
    <xdr:to>
      <xdr:col>11</xdr:col>
      <xdr:colOff>83820</xdr:colOff>
      <xdr:row>133</xdr:row>
      <xdr:rowOff>114300</xdr:rowOff>
    </xdr:to>
    <xdr:sp macro="" textlink="">
      <xdr:nvSpPr>
        <xdr:cNvPr id="936" name="Arrow: Down 935">
          <a:extLst>
            <a:ext uri="{FF2B5EF4-FFF2-40B4-BE49-F238E27FC236}">
              <a16:creationId xmlns:a16="http://schemas.microsoft.com/office/drawing/2014/main" id="{A86F3D38-EEAE-478D-A713-A64972E3EBDF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133</xdr:row>
      <xdr:rowOff>0</xdr:rowOff>
    </xdr:from>
    <xdr:to>
      <xdr:col>38</xdr:col>
      <xdr:colOff>83820</xdr:colOff>
      <xdr:row>133</xdr:row>
      <xdr:rowOff>114300</xdr:rowOff>
    </xdr:to>
    <xdr:sp macro="" textlink="">
      <xdr:nvSpPr>
        <xdr:cNvPr id="884" name="Arrow: Down 883">
          <a:extLst>
            <a:ext uri="{FF2B5EF4-FFF2-40B4-BE49-F238E27FC236}">
              <a16:creationId xmlns:a16="http://schemas.microsoft.com/office/drawing/2014/main" id="{C105BF7C-3670-4234-80EF-F560379D0776}"/>
            </a:ext>
          </a:extLst>
        </xdr:cNvPr>
        <xdr:cNvSpPr/>
      </xdr:nvSpPr>
      <xdr:spPr>
        <a:xfrm rot="10800000">
          <a:off x="860298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134</xdr:row>
      <xdr:rowOff>0</xdr:rowOff>
    </xdr:from>
    <xdr:to>
      <xdr:col>70</xdr:col>
      <xdr:colOff>83820</xdr:colOff>
      <xdr:row>134</xdr:row>
      <xdr:rowOff>114300</xdr:rowOff>
    </xdr:to>
    <xdr:sp macro="" textlink="">
      <xdr:nvSpPr>
        <xdr:cNvPr id="896" name="Arrow: Down 895">
          <a:extLst>
            <a:ext uri="{FF2B5EF4-FFF2-40B4-BE49-F238E27FC236}">
              <a16:creationId xmlns:a16="http://schemas.microsoft.com/office/drawing/2014/main" id="{3FEAB35D-4BA1-48B4-898C-8F9A35E00146}"/>
            </a:ext>
          </a:extLst>
        </xdr:cNvPr>
        <xdr:cNvSpPr/>
      </xdr:nvSpPr>
      <xdr:spPr>
        <a:xfrm rot="10800000">
          <a:off x="17487900" y="2442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134</xdr:row>
      <xdr:rowOff>0</xdr:rowOff>
    </xdr:from>
    <xdr:to>
      <xdr:col>44</xdr:col>
      <xdr:colOff>83820</xdr:colOff>
      <xdr:row>134</xdr:row>
      <xdr:rowOff>114300</xdr:rowOff>
    </xdr:to>
    <xdr:sp macro="" textlink="">
      <xdr:nvSpPr>
        <xdr:cNvPr id="901" name="Arrow: Down 900">
          <a:extLst>
            <a:ext uri="{FF2B5EF4-FFF2-40B4-BE49-F238E27FC236}">
              <a16:creationId xmlns:a16="http://schemas.microsoft.com/office/drawing/2014/main" id="{5A44782A-26AA-4E4A-BEB6-1BEA584BFB63}"/>
            </a:ext>
          </a:extLst>
        </xdr:cNvPr>
        <xdr:cNvSpPr/>
      </xdr:nvSpPr>
      <xdr:spPr>
        <a:xfrm rot="10800000">
          <a:off x="104089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133</xdr:row>
      <xdr:rowOff>0</xdr:rowOff>
    </xdr:from>
    <xdr:to>
      <xdr:col>59</xdr:col>
      <xdr:colOff>83820</xdr:colOff>
      <xdr:row>133</xdr:row>
      <xdr:rowOff>114300</xdr:rowOff>
    </xdr:to>
    <xdr:sp macro="" textlink="">
      <xdr:nvSpPr>
        <xdr:cNvPr id="911" name="Arrow: Down 910">
          <a:extLst>
            <a:ext uri="{FF2B5EF4-FFF2-40B4-BE49-F238E27FC236}">
              <a16:creationId xmlns:a16="http://schemas.microsoft.com/office/drawing/2014/main" id="{4561E233-4C88-4647-8289-DE3F51B3DE5D}"/>
            </a:ext>
          </a:extLst>
        </xdr:cNvPr>
        <xdr:cNvSpPr/>
      </xdr:nvSpPr>
      <xdr:spPr>
        <a:xfrm>
          <a:off x="151714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134</xdr:row>
      <xdr:rowOff>0</xdr:rowOff>
    </xdr:from>
    <xdr:to>
      <xdr:col>59</xdr:col>
      <xdr:colOff>83820</xdr:colOff>
      <xdr:row>134</xdr:row>
      <xdr:rowOff>114300</xdr:rowOff>
    </xdr:to>
    <xdr:sp macro="" textlink="">
      <xdr:nvSpPr>
        <xdr:cNvPr id="919" name="Arrow: Down 918">
          <a:extLst>
            <a:ext uri="{FF2B5EF4-FFF2-40B4-BE49-F238E27FC236}">
              <a16:creationId xmlns:a16="http://schemas.microsoft.com/office/drawing/2014/main" id="{0D40452A-0C40-421C-8DE3-44FC12982A5D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134</xdr:row>
      <xdr:rowOff>0</xdr:rowOff>
    </xdr:from>
    <xdr:to>
      <xdr:col>23</xdr:col>
      <xdr:colOff>83820</xdr:colOff>
      <xdr:row>134</xdr:row>
      <xdr:rowOff>114300</xdr:rowOff>
    </xdr:to>
    <xdr:sp macro="" textlink="">
      <xdr:nvSpPr>
        <xdr:cNvPr id="938" name="Arrow: Down 937">
          <a:extLst>
            <a:ext uri="{FF2B5EF4-FFF2-40B4-BE49-F238E27FC236}">
              <a16:creationId xmlns:a16="http://schemas.microsoft.com/office/drawing/2014/main" id="{A9F281D0-5162-4661-8F92-F6A2AA509EFB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132</xdr:row>
      <xdr:rowOff>0</xdr:rowOff>
    </xdr:from>
    <xdr:to>
      <xdr:col>38</xdr:col>
      <xdr:colOff>83820</xdr:colOff>
      <xdr:row>132</xdr:row>
      <xdr:rowOff>114300</xdr:rowOff>
    </xdr:to>
    <xdr:sp macro="" textlink="">
      <xdr:nvSpPr>
        <xdr:cNvPr id="939" name="Arrow: Down 938">
          <a:extLst>
            <a:ext uri="{FF2B5EF4-FFF2-40B4-BE49-F238E27FC236}">
              <a16:creationId xmlns:a16="http://schemas.microsoft.com/office/drawing/2014/main" id="{E122B298-BA72-4583-8366-955CC0905BAD}"/>
            </a:ext>
          </a:extLst>
        </xdr:cNvPr>
        <xdr:cNvSpPr/>
      </xdr:nvSpPr>
      <xdr:spPr>
        <a:xfrm>
          <a:off x="86029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134</xdr:row>
      <xdr:rowOff>0</xdr:rowOff>
    </xdr:from>
    <xdr:to>
      <xdr:col>38</xdr:col>
      <xdr:colOff>83820</xdr:colOff>
      <xdr:row>134</xdr:row>
      <xdr:rowOff>114300</xdr:rowOff>
    </xdr:to>
    <xdr:sp macro="" textlink="">
      <xdr:nvSpPr>
        <xdr:cNvPr id="940" name="Arrow: Down 939">
          <a:extLst>
            <a:ext uri="{FF2B5EF4-FFF2-40B4-BE49-F238E27FC236}">
              <a16:creationId xmlns:a16="http://schemas.microsoft.com/office/drawing/2014/main" id="{6167F5C5-9CBB-409D-BF9E-2CB0388F49F8}"/>
            </a:ext>
          </a:extLst>
        </xdr:cNvPr>
        <xdr:cNvSpPr/>
      </xdr:nvSpPr>
      <xdr:spPr>
        <a:xfrm>
          <a:off x="860298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134</xdr:row>
      <xdr:rowOff>0</xdr:rowOff>
    </xdr:from>
    <xdr:to>
      <xdr:col>5</xdr:col>
      <xdr:colOff>83820</xdr:colOff>
      <xdr:row>134</xdr:row>
      <xdr:rowOff>114300</xdr:rowOff>
    </xdr:to>
    <xdr:sp macro="" textlink="">
      <xdr:nvSpPr>
        <xdr:cNvPr id="941" name="Arrow: Down 940">
          <a:extLst>
            <a:ext uri="{FF2B5EF4-FFF2-40B4-BE49-F238E27FC236}">
              <a16:creationId xmlns:a16="http://schemas.microsoft.com/office/drawing/2014/main" id="{7861C316-60C3-4B38-A575-D7F3BB145450}"/>
            </a:ext>
          </a:extLst>
        </xdr:cNvPr>
        <xdr:cNvSpPr/>
      </xdr:nvSpPr>
      <xdr:spPr>
        <a:xfrm>
          <a:off x="192786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11</xdr:col>
      <xdr:colOff>83820</xdr:colOff>
      <xdr:row>134</xdr:row>
      <xdr:rowOff>114300</xdr:rowOff>
    </xdr:to>
    <xdr:sp macro="" textlink="">
      <xdr:nvSpPr>
        <xdr:cNvPr id="944" name="Arrow: Down 943">
          <a:extLst>
            <a:ext uri="{FF2B5EF4-FFF2-40B4-BE49-F238E27FC236}">
              <a16:creationId xmlns:a16="http://schemas.microsoft.com/office/drawing/2014/main" id="{A77CD41D-4FB6-481C-B650-731F3F9EB8F2}"/>
            </a:ext>
          </a:extLst>
        </xdr:cNvPr>
        <xdr:cNvSpPr/>
      </xdr:nvSpPr>
      <xdr:spPr>
        <a:xfrm>
          <a:off x="361950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135</xdr:row>
      <xdr:rowOff>0</xdr:rowOff>
    </xdr:from>
    <xdr:to>
      <xdr:col>70</xdr:col>
      <xdr:colOff>83820</xdr:colOff>
      <xdr:row>135</xdr:row>
      <xdr:rowOff>114300</xdr:rowOff>
    </xdr:to>
    <xdr:sp macro="" textlink="">
      <xdr:nvSpPr>
        <xdr:cNvPr id="897" name="Arrow: Down 896">
          <a:extLst>
            <a:ext uri="{FF2B5EF4-FFF2-40B4-BE49-F238E27FC236}">
              <a16:creationId xmlns:a16="http://schemas.microsoft.com/office/drawing/2014/main" id="{E5E7277F-0F90-43CF-9C52-B082572DA1AE}"/>
            </a:ext>
          </a:extLst>
        </xdr:cNvPr>
        <xdr:cNvSpPr/>
      </xdr:nvSpPr>
      <xdr:spPr>
        <a:xfrm rot="10800000">
          <a:off x="1748790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135</xdr:row>
      <xdr:rowOff>0</xdr:rowOff>
    </xdr:from>
    <xdr:to>
      <xdr:col>44</xdr:col>
      <xdr:colOff>83820</xdr:colOff>
      <xdr:row>135</xdr:row>
      <xdr:rowOff>114300</xdr:rowOff>
    </xdr:to>
    <xdr:sp macro="" textlink="">
      <xdr:nvSpPr>
        <xdr:cNvPr id="899" name="Arrow: Down 898">
          <a:extLst>
            <a:ext uri="{FF2B5EF4-FFF2-40B4-BE49-F238E27FC236}">
              <a16:creationId xmlns:a16="http://schemas.microsoft.com/office/drawing/2014/main" id="{6225F419-F9A3-4AB7-8C5B-68E3C8CA7EA6}"/>
            </a:ext>
          </a:extLst>
        </xdr:cNvPr>
        <xdr:cNvSpPr/>
      </xdr:nvSpPr>
      <xdr:spPr>
        <a:xfrm rot="10800000">
          <a:off x="104089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135</xdr:row>
      <xdr:rowOff>0</xdr:rowOff>
    </xdr:from>
    <xdr:to>
      <xdr:col>59</xdr:col>
      <xdr:colOff>83820</xdr:colOff>
      <xdr:row>135</xdr:row>
      <xdr:rowOff>114300</xdr:rowOff>
    </xdr:to>
    <xdr:sp macro="" textlink="">
      <xdr:nvSpPr>
        <xdr:cNvPr id="903" name="Arrow: Down 902">
          <a:extLst>
            <a:ext uri="{FF2B5EF4-FFF2-40B4-BE49-F238E27FC236}">
              <a16:creationId xmlns:a16="http://schemas.microsoft.com/office/drawing/2014/main" id="{2ACE09DD-A193-4CFD-97BC-143C4EA6FF27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135</xdr:row>
      <xdr:rowOff>0</xdr:rowOff>
    </xdr:from>
    <xdr:to>
      <xdr:col>23</xdr:col>
      <xdr:colOff>83820</xdr:colOff>
      <xdr:row>135</xdr:row>
      <xdr:rowOff>114300</xdr:rowOff>
    </xdr:to>
    <xdr:sp macro="" textlink="">
      <xdr:nvSpPr>
        <xdr:cNvPr id="904" name="Arrow: Down 903">
          <a:extLst>
            <a:ext uri="{FF2B5EF4-FFF2-40B4-BE49-F238E27FC236}">
              <a16:creationId xmlns:a16="http://schemas.microsoft.com/office/drawing/2014/main" id="{489EA61F-271C-404D-8A96-893EB033F564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135</xdr:row>
      <xdr:rowOff>0</xdr:rowOff>
    </xdr:from>
    <xdr:to>
      <xdr:col>38</xdr:col>
      <xdr:colOff>83820</xdr:colOff>
      <xdr:row>135</xdr:row>
      <xdr:rowOff>114300</xdr:rowOff>
    </xdr:to>
    <xdr:sp macro="" textlink="">
      <xdr:nvSpPr>
        <xdr:cNvPr id="923" name="Arrow: Down 922">
          <a:extLst>
            <a:ext uri="{FF2B5EF4-FFF2-40B4-BE49-F238E27FC236}">
              <a16:creationId xmlns:a16="http://schemas.microsoft.com/office/drawing/2014/main" id="{D39132F5-39D1-4161-874C-D16D78C88F81}"/>
            </a:ext>
          </a:extLst>
        </xdr:cNvPr>
        <xdr:cNvSpPr/>
      </xdr:nvSpPr>
      <xdr:spPr>
        <a:xfrm rot="10800000">
          <a:off x="86029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83820</xdr:colOff>
      <xdr:row>135</xdr:row>
      <xdr:rowOff>114300</xdr:rowOff>
    </xdr:to>
    <xdr:sp macro="" textlink="">
      <xdr:nvSpPr>
        <xdr:cNvPr id="937" name="Arrow: Down 936">
          <a:extLst>
            <a:ext uri="{FF2B5EF4-FFF2-40B4-BE49-F238E27FC236}">
              <a16:creationId xmlns:a16="http://schemas.microsoft.com/office/drawing/2014/main" id="{FA5E8A1B-FF56-4C2C-B6EC-08DC4EFE5767}"/>
            </a:ext>
          </a:extLst>
        </xdr:cNvPr>
        <xdr:cNvSpPr/>
      </xdr:nvSpPr>
      <xdr:spPr>
        <a:xfrm rot="10800000">
          <a:off x="192786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135</xdr:row>
      <xdr:rowOff>0</xdr:rowOff>
    </xdr:from>
    <xdr:to>
      <xdr:col>11</xdr:col>
      <xdr:colOff>83820</xdr:colOff>
      <xdr:row>135</xdr:row>
      <xdr:rowOff>114300</xdr:rowOff>
    </xdr:to>
    <xdr:sp macro="" textlink="">
      <xdr:nvSpPr>
        <xdr:cNvPr id="948" name="Arrow: Down 947">
          <a:extLst>
            <a:ext uri="{FF2B5EF4-FFF2-40B4-BE49-F238E27FC236}">
              <a16:creationId xmlns:a16="http://schemas.microsoft.com/office/drawing/2014/main" id="{07726441-2854-4651-9128-D309E27B5488}"/>
            </a:ext>
          </a:extLst>
        </xdr:cNvPr>
        <xdr:cNvSpPr/>
      </xdr:nvSpPr>
      <xdr:spPr>
        <a:xfrm rot="10800000">
          <a:off x="36195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136</xdr:row>
      <xdr:rowOff>0</xdr:rowOff>
    </xdr:from>
    <xdr:to>
      <xdr:col>70</xdr:col>
      <xdr:colOff>83820</xdr:colOff>
      <xdr:row>136</xdr:row>
      <xdr:rowOff>114300</xdr:rowOff>
    </xdr:to>
    <xdr:sp macro="" textlink="">
      <xdr:nvSpPr>
        <xdr:cNvPr id="952" name="Arrow: Down 951">
          <a:extLst>
            <a:ext uri="{FF2B5EF4-FFF2-40B4-BE49-F238E27FC236}">
              <a16:creationId xmlns:a16="http://schemas.microsoft.com/office/drawing/2014/main" id="{6297BF48-7D58-4497-95CE-2B22157D064B}"/>
            </a:ext>
          </a:extLst>
        </xdr:cNvPr>
        <xdr:cNvSpPr/>
      </xdr:nvSpPr>
      <xdr:spPr>
        <a:xfrm rot="10800000">
          <a:off x="174879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136</xdr:row>
      <xdr:rowOff>0</xdr:rowOff>
    </xdr:from>
    <xdr:to>
      <xdr:col>44</xdr:col>
      <xdr:colOff>83820</xdr:colOff>
      <xdr:row>136</xdr:row>
      <xdr:rowOff>114300</xdr:rowOff>
    </xdr:to>
    <xdr:sp macro="" textlink="">
      <xdr:nvSpPr>
        <xdr:cNvPr id="953" name="Arrow: Down 952">
          <a:extLst>
            <a:ext uri="{FF2B5EF4-FFF2-40B4-BE49-F238E27FC236}">
              <a16:creationId xmlns:a16="http://schemas.microsoft.com/office/drawing/2014/main" id="{C8E91A0C-6135-4DBD-B2CD-0C6E0E663EBF}"/>
            </a:ext>
          </a:extLst>
        </xdr:cNvPr>
        <xdr:cNvSpPr/>
      </xdr:nvSpPr>
      <xdr:spPr>
        <a:xfrm rot="10800000">
          <a:off x="1040892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136</xdr:row>
      <xdr:rowOff>0</xdr:rowOff>
    </xdr:from>
    <xdr:to>
      <xdr:col>23</xdr:col>
      <xdr:colOff>83820</xdr:colOff>
      <xdr:row>136</xdr:row>
      <xdr:rowOff>114300</xdr:rowOff>
    </xdr:to>
    <xdr:sp macro="" textlink="">
      <xdr:nvSpPr>
        <xdr:cNvPr id="955" name="Arrow: Down 954">
          <a:extLst>
            <a:ext uri="{FF2B5EF4-FFF2-40B4-BE49-F238E27FC236}">
              <a16:creationId xmlns:a16="http://schemas.microsoft.com/office/drawing/2014/main" id="{F5D6801C-6E0E-41E3-940A-11AC87DA4944}"/>
            </a:ext>
          </a:extLst>
        </xdr:cNvPr>
        <xdr:cNvSpPr/>
      </xdr:nvSpPr>
      <xdr:spPr>
        <a:xfrm>
          <a:off x="54406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136</xdr:row>
      <xdr:rowOff>0</xdr:rowOff>
    </xdr:from>
    <xdr:to>
      <xdr:col>5</xdr:col>
      <xdr:colOff>83820</xdr:colOff>
      <xdr:row>136</xdr:row>
      <xdr:rowOff>114300</xdr:rowOff>
    </xdr:to>
    <xdr:sp macro="" textlink="">
      <xdr:nvSpPr>
        <xdr:cNvPr id="959" name="Arrow: Down 958">
          <a:extLst>
            <a:ext uri="{FF2B5EF4-FFF2-40B4-BE49-F238E27FC236}">
              <a16:creationId xmlns:a16="http://schemas.microsoft.com/office/drawing/2014/main" id="{ADA19A95-1495-429B-9EFE-0B159978C279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11</xdr:col>
      <xdr:colOff>83820</xdr:colOff>
      <xdr:row>136</xdr:row>
      <xdr:rowOff>114300</xdr:rowOff>
    </xdr:to>
    <xdr:sp macro="" textlink="">
      <xdr:nvSpPr>
        <xdr:cNvPr id="960" name="Arrow: Down 959">
          <a:extLst>
            <a:ext uri="{FF2B5EF4-FFF2-40B4-BE49-F238E27FC236}">
              <a16:creationId xmlns:a16="http://schemas.microsoft.com/office/drawing/2014/main" id="{4F5597C6-BBCB-49ED-9811-09FEAF98BD9B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136</xdr:row>
      <xdr:rowOff>0</xdr:rowOff>
    </xdr:from>
    <xdr:to>
      <xdr:col>59</xdr:col>
      <xdr:colOff>83820</xdr:colOff>
      <xdr:row>136</xdr:row>
      <xdr:rowOff>114300</xdr:rowOff>
    </xdr:to>
    <xdr:sp macro="" textlink="">
      <xdr:nvSpPr>
        <xdr:cNvPr id="961" name="Arrow: Down 960">
          <a:extLst>
            <a:ext uri="{FF2B5EF4-FFF2-40B4-BE49-F238E27FC236}">
              <a16:creationId xmlns:a16="http://schemas.microsoft.com/office/drawing/2014/main" id="{4B11E9E8-1A21-4D04-A6AE-4D0E461618BB}"/>
            </a:ext>
          </a:extLst>
        </xdr:cNvPr>
        <xdr:cNvSpPr/>
      </xdr:nvSpPr>
      <xdr:spPr>
        <a:xfrm rot="10800000">
          <a:off x="1517142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136</xdr:row>
      <xdr:rowOff>0</xdr:rowOff>
    </xdr:from>
    <xdr:to>
      <xdr:col>38</xdr:col>
      <xdr:colOff>83820</xdr:colOff>
      <xdr:row>136</xdr:row>
      <xdr:rowOff>114300</xdr:rowOff>
    </xdr:to>
    <xdr:sp macro="" textlink="">
      <xdr:nvSpPr>
        <xdr:cNvPr id="963" name="Arrow: Down 962">
          <a:extLst>
            <a:ext uri="{FF2B5EF4-FFF2-40B4-BE49-F238E27FC236}">
              <a16:creationId xmlns:a16="http://schemas.microsoft.com/office/drawing/2014/main" id="{503FBD47-EE66-432C-B2CF-117D04425E97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137</xdr:row>
      <xdr:rowOff>0</xdr:rowOff>
    </xdr:from>
    <xdr:to>
      <xdr:col>23</xdr:col>
      <xdr:colOff>83820</xdr:colOff>
      <xdr:row>137</xdr:row>
      <xdr:rowOff>114300</xdr:rowOff>
    </xdr:to>
    <xdr:sp macro="" textlink="">
      <xdr:nvSpPr>
        <xdr:cNvPr id="973" name="Arrow: Down 972">
          <a:extLst>
            <a:ext uri="{FF2B5EF4-FFF2-40B4-BE49-F238E27FC236}">
              <a16:creationId xmlns:a16="http://schemas.microsoft.com/office/drawing/2014/main" id="{8F4CB7F2-76D2-49CE-A6A5-4E97E9684084}"/>
            </a:ext>
          </a:extLst>
        </xdr:cNvPr>
        <xdr:cNvSpPr/>
      </xdr:nvSpPr>
      <xdr:spPr>
        <a:xfrm>
          <a:off x="5440680" y="2497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83820</xdr:colOff>
      <xdr:row>137</xdr:row>
      <xdr:rowOff>114300</xdr:rowOff>
    </xdr:to>
    <xdr:sp macro="" textlink="">
      <xdr:nvSpPr>
        <xdr:cNvPr id="974" name="Arrow: Down 973">
          <a:extLst>
            <a:ext uri="{FF2B5EF4-FFF2-40B4-BE49-F238E27FC236}">
              <a16:creationId xmlns:a16="http://schemas.microsoft.com/office/drawing/2014/main" id="{C7BEF6EB-10FD-4C94-8F84-0098EBC9B78A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137</xdr:row>
      <xdr:rowOff>0</xdr:rowOff>
    </xdr:from>
    <xdr:to>
      <xdr:col>11</xdr:col>
      <xdr:colOff>83820</xdr:colOff>
      <xdr:row>137</xdr:row>
      <xdr:rowOff>114300</xdr:rowOff>
    </xdr:to>
    <xdr:sp macro="" textlink="">
      <xdr:nvSpPr>
        <xdr:cNvPr id="975" name="Arrow: Down 974">
          <a:extLst>
            <a:ext uri="{FF2B5EF4-FFF2-40B4-BE49-F238E27FC236}">
              <a16:creationId xmlns:a16="http://schemas.microsoft.com/office/drawing/2014/main" id="{E444C4FC-BA8F-4F5C-834F-4AF01F5F3F16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137</xdr:row>
      <xdr:rowOff>0</xdr:rowOff>
    </xdr:from>
    <xdr:to>
      <xdr:col>38</xdr:col>
      <xdr:colOff>83820</xdr:colOff>
      <xdr:row>137</xdr:row>
      <xdr:rowOff>114300</xdr:rowOff>
    </xdr:to>
    <xdr:sp macro="" textlink="">
      <xdr:nvSpPr>
        <xdr:cNvPr id="977" name="Arrow: Down 976">
          <a:extLst>
            <a:ext uri="{FF2B5EF4-FFF2-40B4-BE49-F238E27FC236}">
              <a16:creationId xmlns:a16="http://schemas.microsoft.com/office/drawing/2014/main" id="{92300F1A-BDAE-402C-AE69-163F5A2E4250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137</xdr:row>
      <xdr:rowOff>0</xdr:rowOff>
    </xdr:from>
    <xdr:to>
      <xdr:col>59</xdr:col>
      <xdr:colOff>83820</xdr:colOff>
      <xdr:row>137</xdr:row>
      <xdr:rowOff>114300</xdr:rowOff>
    </xdr:to>
    <xdr:sp macro="" textlink="">
      <xdr:nvSpPr>
        <xdr:cNvPr id="978" name="Arrow: Down 977">
          <a:extLst>
            <a:ext uri="{FF2B5EF4-FFF2-40B4-BE49-F238E27FC236}">
              <a16:creationId xmlns:a16="http://schemas.microsoft.com/office/drawing/2014/main" id="{76D8EE24-BE66-45E4-89C4-03084114FF13}"/>
            </a:ext>
          </a:extLst>
        </xdr:cNvPr>
        <xdr:cNvSpPr/>
      </xdr:nvSpPr>
      <xdr:spPr>
        <a:xfrm>
          <a:off x="1517142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137</xdr:row>
      <xdr:rowOff>0</xdr:rowOff>
    </xdr:from>
    <xdr:to>
      <xdr:col>44</xdr:col>
      <xdr:colOff>83820</xdr:colOff>
      <xdr:row>137</xdr:row>
      <xdr:rowOff>114300</xdr:rowOff>
    </xdr:to>
    <xdr:sp macro="" textlink="">
      <xdr:nvSpPr>
        <xdr:cNvPr id="981" name="Arrow: Down 980">
          <a:extLst>
            <a:ext uri="{FF2B5EF4-FFF2-40B4-BE49-F238E27FC236}">
              <a16:creationId xmlns:a16="http://schemas.microsoft.com/office/drawing/2014/main" id="{081EF5A4-3E83-4911-8223-61BEA9028C55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137</xdr:row>
      <xdr:rowOff>0</xdr:rowOff>
    </xdr:from>
    <xdr:to>
      <xdr:col>70</xdr:col>
      <xdr:colOff>83820</xdr:colOff>
      <xdr:row>137</xdr:row>
      <xdr:rowOff>114300</xdr:rowOff>
    </xdr:to>
    <xdr:sp macro="" textlink="">
      <xdr:nvSpPr>
        <xdr:cNvPr id="983" name="Arrow: Down 982">
          <a:extLst>
            <a:ext uri="{FF2B5EF4-FFF2-40B4-BE49-F238E27FC236}">
              <a16:creationId xmlns:a16="http://schemas.microsoft.com/office/drawing/2014/main" id="{BEDC6278-C719-4E19-B9B7-4BB32ADEA9C5}"/>
            </a:ext>
          </a:extLst>
        </xdr:cNvPr>
        <xdr:cNvSpPr/>
      </xdr:nvSpPr>
      <xdr:spPr>
        <a:xfrm>
          <a:off x="2157984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138</xdr:row>
      <xdr:rowOff>0</xdr:rowOff>
    </xdr:from>
    <xdr:to>
      <xdr:col>44</xdr:col>
      <xdr:colOff>83820</xdr:colOff>
      <xdr:row>138</xdr:row>
      <xdr:rowOff>114300</xdr:rowOff>
    </xdr:to>
    <xdr:sp macro="" textlink="">
      <xdr:nvSpPr>
        <xdr:cNvPr id="989" name="Arrow: Down 988">
          <a:extLst>
            <a:ext uri="{FF2B5EF4-FFF2-40B4-BE49-F238E27FC236}">
              <a16:creationId xmlns:a16="http://schemas.microsoft.com/office/drawing/2014/main" id="{2C16D166-7F19-460D-AC10-99EF229730B2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138</xdr:row>
      <xdr:rowOff>0</xdr:rowOff>
    </xdr:from>
    <xdr:to>
      <xdr:col>38</xdr:col>
      <xdr:colOff>83820</xdr:colOff>
      <xdr:row>138</xdr:row>
      <xdr:rowOff>114300</xdr:rowOff>
    </xdr:to>
    <xdr:sp macro="" textlink="">
      <xdr:nvSpPr>
        <xdr:cNvPr id="992" name="Arrow: Down 991">
          <a:extLst>
            <a:ext uri="{FF2B5EF4-FFF2-40B4-BE49-F238E27FC236}">
              <a16:creationId xmlns:a16="http://schemas.microsoft.com/office/drawing/2014/main" id="{2A832676-5A13-4F10-A50F-AD799384383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138</xdr:row>
      <xdr:rowOff>0</xdr:rowOff>
    </xdr:from>
    <xdr:to>
      <xdr:col>5</xdr:col>
      <xdr:colOff>83820</xdr:colOff>
      <xdr:row>138</xdr:row>
      <xdr:rowOff>114300</xdr:rowOff>
    </xdr:to>
    <xdr:sp macro="" textlink="">
      <xdr:nvSpPr>
        <xdr:cNvPr id="994" name="Arrow: Down 993">
          <a:extLst>
            <a:ext uri="{FF2B5EF4-FFF2-40B4-BE49-F238E27FC236}">
              <a16:creationId xmlns:a16="http://schemas.microsoft.com/office/drawing/2014/main" id="{34BDF33E-A964-45D2-AD28-D2E921009C15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138</xdr:row>
      <xdr:rowOff>0</xdr:rowOff>
    </xdr:from>
    <xdr:to>
      <xdr:col>11</xdr:col>
      <xdr:colOff>83820</xdr:colOff>
      <xdr:row>138</xdr:row>
      <xdr:rowOff>114300</xdr:rowOff>
    </xdr:to>
    <xdr:sp macro="" textlink="">
      <xdr:nvSpPr>
        <xdr:cNvPr id="996" name="Arrow: Down 995">
          <a:extLst>
            <a:ext uri="{FF2B5EF4-FFF2-40B4-BE49-F238E27FC236}">
              <a16:creationId xmlns:a16="http://schemas.microsoft.com/office/drawing/2014/main" id="{60835326-3239-489C-B32C-990DA4C877A3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138</xdr:row>
      <xdr:rowOff>0</xdr:rowOff>
    </xdr:from>
    <xdr:to>
      <xdr:col>23</xdr:col>
      <xdr:colOff>83820</xdr:colOff>
      <xdr:row>138</xdr:row>
      <xdr:rowOff>114300</xdr:rowOff>
    </xdr:to>
    <xdr:sp macro="" textlink="">
      <xdr:nvSpPr>
        <xdr:cNvPr id="997" name="Arrow: Down 996">
          <a:extLst>
            <a:ext uri="{FF2B5EF4-FFF2-40B4-BE49-F238E27FC236}">
              <a16:creationId xmlns:a16="http://schemas.microsoft.com/office/drawing/2014/main" id="{4B87A826-9F9A-4C8F-9468-A92C7B42A8F8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138</xdr:row>
      <xdr:rowOff>0</xdr:rowOff>
    </xdr:from>
    <xdr:to>
      <xdr:col>59</xdr:col>
      <xdr:colOff>83820</xdr:colOff>
      <xdr:row>138</xdr:row>
      <xdr:rowOff>114300</xdr:rowOff>
    </xdr:to>
    <xdr:sp macro="" textlink="">
      <xdr:nvSpPr>
        <xdr:cNvPr id="999" name="Arrow: Down 998">
          <a:extLst>
            <a:ext uri="{FF2B5EF4-FFF2-40B4-BE49-F238E27FC236}">
              <a16:creationId xmlns:a16="http://schemas.microsoft.com/office/drawing/2014/main" id="{3D563A0F-6EB4-4648-9D9F-F15E73EE5E3D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138</xdr:row>
      <xdr:rowOff>0</xdr:rowOff>
    </xdr:from>
    <xdr:to>
      <xdr:col>70</xdr:col>
      <xdr:colOff>83820</xdr:colOff>
      <xdr:row>138</xdr:row>
      <xdr:rowOff>114300</xdr:rowOff>
    </xdr:to>
    <xdr:sp macro="" textlink="">
      <xdr:nvSpPr>
        <xdr:cNvPr id="1000" name="Arrow: Down 999">
          <a:extLst>
            <a:ext uri="{FF2B5EF4-FFF2-40B4-BE49-F238E27FC236}">
              <a16:creationId xmlns:a16="http://schemas.microsoft.com/office/drawing/2014/main" id="{6E616CEA-20A6-448C-A0A8-69743B2A90E6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139</xdr:row>
      <xdr:rowOff>0</xdr:rowOff>
    </xdr:from>
    <xdr:to>
      <xdr:col>44</xdr:col>
      <xdr:colOff>83820</xdr:colOff>
      <xdr:row>139</xdr:row>
      <xdr:rowOff>114300</xdr:rowOff>
    </xdr:to>
    <xdr:sp macro="" textlink="">
      <xdr:nvSpPr>
        <xdr:cNvPr id="1001" name="Arrow: Down 1000">
          <a:extLst>
            <a:ext uri="{FF2B5EF4-FFF2-40B4-BE49-F238E27FC236}">
              <a16:creationId xmlns:a16="http://schemas.microsoft.com/office/drawing/2014/main" id="{A9224C79-F8A0-4141-9327-E5FB4136CBB8}"/>
            </a:ext>
          </a:extLst>
        </xdr:cNvPr>
        <xdr:cNvSpPr/>
      </xdr:nvSpPr>
      <xdr:spPr>
        <a:xfrm rot="10800000">
          <a:off x="1055370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139</xdr:row>
      <xdr:rowOff>0</xdr:rowOff>
    </xdr:from>
    <xdr:to>
      <xdr:col>38</xdr:col>
      <xdr:colOff>83820</xdr:colOff>
      <xdr:row>139</xdr:row>
      <xdr:rowOff>114300</xdr:rowOff>
    </xdr:to>
    <xdr:sp macro="" textlink="">
      <xdr:nvSpPr>
        <xdr:cNvPr id="1002" name="Arrow: Down 1001">
          <a:extLst>
            <a:ext uri="{FF2B5EF4-FFF2-40B4-BE49-F238E27FC236}">
              <a16:creationId xmlns:a16="http://schemas.microsoft.com/office/drawing/2014/main" id="{B0326349-E666-4EE4-9EEA-AEB8C2B4CC2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83820</xdr:colOff>
      <xdr:row>139</xdr:row>
      <xdr:rowOff>114300</xdr:rowOff>
    </xdr:to>
    <xdr:sp macro="" textlink="">
      <xdr:nvSpPr>
        <xdr:cNvPr id="1003" name="Arrow: Down 1002">
          <a:extLst>
            <a:ext uri="{FF2B5EF4-FFF2-40B4-BE49-F238E27FC236}">
              <a16:creationId xmlns:a16="http://schemas.microsoft.com/office/drawing/2014/main" id="{1AD73DEE-7AFD-44FE-A0E5-60DBC9B6A4C1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139</xdr:row>
      <xdr:rowOff>0</xdr:rowOff>
    </xdr:from>
    <xdr:to>
      <xdr:col>11</xdr:col>
      <xdr:colOff>83820</xdr:colOff>
      <xdr:row>139</xdr:row>
      <xdr:rowOff>114300</xdr:rowOff>
    </xdr:to>
    <xdr:sp macro="" textlink="">
      <xdr:nvSpPr>
        <xdr:cNvPr id="1004" name="Arrow: Down 1003">
          <a:extLst>
            <a:ext uri="{FF2B5EF4-FFF2-40B4-BE49-F238E27FC236}">
              <a16:creationId xmlns:a16="http://schemas.microsoft.com/office/drawing/2014/main" id="{5C238EC0-ACE4-4CCF-A341-D481CC2B664F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139</xdr:row>
      <xdr:rowOff>0</xdr:rowOff>
    </xdr:from>
    <xdr:to>
      <xdr:col>23</xdr:col>
      <xdr:colOff>83820</xdr:colOff>
      <xdr:row>139</xdr:row>
      <xdr:rowOff>114300</xdr:rowOff>
    </xdr:to>
    <xdr:sp macro="" textlink="">
      <xdr:nvSpPr>
        <xdr:cNvPr id="1005" name="Arrow: Down 1004">
          <a:extLst>
            <a:ext uri="{FF2B5EF4-FFF2-40B4-BE49-F238E27FC236}">
              <a16:creationId xmlns:a16="http://schemas.microsoft.com/office/drawing/2014/main" id="{4D3FFB99-3392-4042-BED4-A993BE1BDC35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139</xdr:row>
      <xdr:rowOff>0</xdr:rowOff>
    </xdr:from>
    <xdr:to>
      <xdr:col>59</xdr:col>
      <xdr:colOff>83820</xdr:colOff>
      <xdr:row>139</xdr:row>
      <xdr:rowOff>114300</xdr:rowOff>
    </xdr:to>
    <xdr:sp macro="" textlink="">
      <xdr:nvSpPr>
        <xdr:cNvPr id="1006" name="Arrow: Down 1005">
          <a:extLst>
            <a:ext uri="{FF2B5EF4-FFF2-40B4-BE49-F238E27FC236}">
              <a16:creationId xmlns:a16="http://schemas.microsoft.com/office/drawing/2014/main" id="{32118F1D-8B75-4250-BF85-46B5E8BB8D20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139</xdr:row>
      <xdr:rowOff>0</xdr:rowOff>
    </xdr:from>
    <xdr:to>
      <xdr:col>70</xdr:col>
      <xdr:colOff>83820</xdr:colOff>
      <xdr:row>139</xdr:row>
      <xdr:rowOff>114300</xdr:rowOff>
    </xdr:to>
    <xdr:sp macro="" textlink="">
      <xdr:nvSpPr>
        <xdr:cNvPr id="1007" name="Arrow: Down 1006">
          <a:extLst>
            <a:ext uri="{FF2B5EF4-FFF2-40B4-BE49-F238E27FC236}">
              <a16:creationId xmlns:a16="http://schemas.microsoft.com/office/drawing/2014/main" id="{C12438DE-574D-46C7-ADEC-F03C53288E70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140</xdr:row>
      <xdr:rowOff>0</xdr:rowOff>
    </xdr:from>
    <xdr:to>
      <xdr:col>44</xdr:col>
      <xdr:colOff>83820</xdr:colOff>
      <xdr:row>140</xdr:row>
      <xdr:rowOff>114300</xdr:rowOff>
    </xdr:to>
    <xdr:sp macro="" textlink="">
      <xdr:nvSpPr>
        <xdr:cNvPr id="906" name="Arrow: Down 905">
          <a:extLst>
            <a:ext uri="{FF2B5EF4-FFF2-40B4-BE49-F238E27FC236}">
              <a16:creationId xmlns:a16="http://schemas.microsoft.com/office/drawing/2014/main" id="{C8E0EE1D-5ACB-4FBA-BDA0-0D5D64A6C398}"/>
            </a:ext>
          </a:extLst>
        </xdr:cNvPr>
        <xdr:cNvSpPr/>
      </xdr:nvSpPr>
      <xdr:spPr>
        <a:xfrm rot="10800000">
          <a:off x="1055370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140</xdr:row>
      <xdr:rowOff>0</xdr:rowOff>
    </xdr:from>
    <xdr:to>
      <xdr:col>38</xdr:col>
      <xdr:colOff>83820</xdr:colOff>
      <xdr:row>140</xdr:row>
      <xdr:rowOff>114300</xdr:rowOff>
    </xdr:to>
    <xdr:sp macro="" textlink="">
      <xdr:nvSpPr>
        <xdr:cNvPr id="909" name="Arrow: Down 908">
          <a:extLst>
            <a:ext uri="{FF2B5EF4-FFF2-40B4-BE49-F238E27FC236}">
              <a16:creationId xmlns:a16="http://schemas.microsoft.com/office/drawing/2014/main" id="{0A3FF0D5-E4D4-40BA-A405-589537ED6601}"/>
            </a:ext>
          </a:extLst>
        </xdr:cNvPr>
        <xdr:cNvSpPr/>
      </xdr:nvSpPr>
      <xdr:spPr>
        <a:xfrm rot="10800000">
          <a:off x="874776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83820</xdr:colOff>
      <xdr:row>140</xdr:row>
      <xdr:rowOff>114300</xdr:rowOff>
    </xdr:to>
    <xdr:sp macro="" textlink="">
      <xdr:nvSpPr>
        <xdr:cNvPr id="917" name="Arrow: Down 916">
          <a:extLst>
            <a:ext uri="{FF2B5EF4-FFF2-40B4-BE49-F238E27FC236}">
              <a16:creationId xmlns:a16="http://schemas.microsoft.com/office/drawing/2014/main" id="{27E40F7B-3270-40A1-9E8D-F907E30BA3B2}"/>
            </a:ext>
          </a:extLst>
        </xdr:cNvPr>
        <xdr:cNvSpPr/>
      </xdr:nvSpPr>
      <xdr:spPr>
        <a:xfrm rot="10800000">
          <a:off x="19278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140</xdr:row>
      <xdr:rowOff>0</xdr:rowOff>
    </xdr:from>
    <xdr:to>
      <xdr:col>11</xdr:col>
      <xdr:colOff>83820</xdr:colOff>
      <xdr:row>140</xdr:row>
      <xdr:rowOff>114300</xdr:rowOff>
    </xdr:to>
    <xdr:sp macro="" textlink="">
      <xdr:nvSpPr>
        <xdr:cNvPr id="946" name="Arrow: Down 945">
          <a:extLst>
            <a:ext uri="{FF2B5EF4-FFF2-40B4-BE49-F238E27FC236}">
              <a16:creationId xmlns:a16="http://schemas.microsoft.com/office/drawing/2014/main" id="{766A96F5-AE9F-4E54-B98E-9B69120250F3}"/>
            </a:ext>
          </a:extLst>
        </xdr:cNvPr>
        <xdr:cNvSpPr/>
      </xdr:nvSpPr>
      <xdr:spPr>
        <a:xfrm rot="10800000">
          <a:off x="361950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140</xdr:row>
      <xdr:rowOff>0</xdr:rowOff>
    </xdr:from>
    <xdr:to>
      <xdr:col>23</xdr:col>
      <xdr:colOff>83820</xdr:colOff>
      <xdr:row>140</xdr:row>
      <xdr:rowOff>114300</xdr:rowOff>
    </xdr:to>
    <xdr:sp macro="" textlink="">
      <xdr:nvSpPr>
        <xdr:cNvPr id="954" name="Arrow: Down 953">
          <a:extLst>
            <a:ext uri="{FF2B5EF4-FFF2-40B4-BE49-F238E27FC236}">
              <a16:creationId xmlns:a16="http://schemas.microsoft.com/office/drawing/2014/main" id="{E1E5E471-2A90-4DF6-ADB9-E649C8EA4BFA}"/>
            </a:ext>
          </a:extLst>
        </xdr:cNvPr>
        <xdr:cNvSpPr/>
      </xdr:nvSpPr>
      <xdr:spPr>
        <a:xfrm rot="10800000">
          <a:off x="55854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140</xdr:row>
      <xdr:rowOff>0</xdr:rowOff>
    </xdr:from>
    <xdr:to>
      <xdr:col>59</xdr:col>
      <xdr:colOff>83820</xdr:colOff>
      <xdr:row>140</xdr:row>
      <xdr:rowOff>114300</xdr:rowOff>
    </xdr:to>
    <xdr:sp macro="" textlink="">
      <xdr:nvSpPr>
        <xdr:cNvPr id="962" name="Arrow: Down 961">
          <a:extLst>
            <a:ext uri="{FF2B5EF4-FFF2-40B4-BE49-F238E27FC236}">
              <a16:creationId xmlns:a16="http://schemas.microsoft.com/office/drawing/2014/main" id="{585A4B92-32F0-49E5-8B87-DF563CE214A2}"/>
            </a:ext>
          </a:extLst>
        </xdr:cNvPr>
        <xdr:cNvSpPr/>
      </xdr:nvSpPr>
      <xdr:spPr>
        <a:xfrm>
          <a:off x="153162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140</xdr:row>
      <xdr:rowOff>0</xdr:rowOff>
    </xdr:from>
    <xdr:to>
      <xdr:col>70</xdr:col>
      <xdr:colOff>83820</xdr:colOff>
      <xdr:row>140</xdr:row>
      <xdr:rowOff>114300</xdr:rowOff>
    </xdr:to>
    <xdr:sp macro="" textlink="">
      <xdr:nvSpPr>
        <xdr:cNvPr id="964" name="Arrow: Down 963">
          <a:extLst>
            <a:ext uri="{FF2B5EF4-FFF2-40B4-BE49-F238E27FC236}">
              <a16:creationId xmlns:a16="http://schemas.microsoft.com/office/drawing/2014/main" id="{194502C9-8957-48E1-AF73-695743A6E447}"/>
            </a:ext>
          </a:extLst>
        </xdr:cNvPr>
        <xdr:cNvSpPr/>
      </xdr:nvSpPr>
      <xdr:spPr>
        <a:xfrm>
          <a:off x="1763268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141</xdr:row>
      <xdr:rowOff>0</xdr:rowOff>
    </xdr:from>
    <xdr:to>
      <xdr:col>44</xdr:col>
      <xdr:colOff>83820</xdr:colOff>
      <xdr:row>141</xdr:row>
      <xdr:rowOff>114300</xdr:rowOff>
    </xdr:to>
    <xdr:sp macro="" textlink="">
      <xdr:nvSpPr>
        <xdr:cNvPr id="965" name="Arrow: Down 964">
          <a:extLst>
            <a:ext uri="{FF2B5EF4-FFF2-40B4-BE49-F238E27FC236}">
              <a16:creationId xmlns:a16="http://schemas.microsoft.com/office/drawing/2014/main" id="{F80B795B-6B4E-4358-967E-31CBA788906D}"/>
            </a:ext>
          </a:extLst>
        </xdr:cNvPr>
        <xdr:cNvSpPr/>
      </xdr:nvSpPr>
      <xdr:spPr>
        <a:xfrm rot="10800000">
          <a:off x="105537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83820</xdr:colOff>
      <xdr:row>141</xdr:row>
      <xdr:rowOff>114300</xdr:rowOff>
    </xdr:to>
    <xdr:sp macro="" textlink="">
      <xdr:nvSpPr>
        <xdr:cNvPr id="967" name="Arrow: Down 966">
          <a:extLst>
            <a:ext uri="{FF2B5EF4-FFF2-40B4-BE49-F238E27FC236}">
              <a16:creationId xmlns:a16="http://schemas.microsoft.com/office/drawing/2014/main" id="{158EC43A-9C7B-4D27-929A-9A71CC5D3DCF}"/>
            </a:ext>
          </a:extLst>
        </xdr:cNvPr>
        <xdr:cNvSpPr/>
      </xdr:nvSpPr>
      <xdr:spPr>
        <a:xfrm rot="10800000">
          <a:off x="192786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141</xdr:row>
      <xdr:rowOff>0</xdr:rowOff>
    </xdr:from>
    <xdr:to>
      <xdr:col>11</xdr:col>
      <xdr:colOff>83820</xdr:colOff>
      <xdr:row>141</xdr:row>
      <xdr:rowOff>114300</xdr:rowOff>
    </xdr:to>
    <xdr:sp macro="" textlink="">
      <xdr:nvSpPr>
        <xdr:cNvPr id="968" name="Arrow: Down 967">
          <a:extLst>
            <a:ext uri="{FF2B5EF4-FFF2-40B4-BE49-F238E27FC236}">
              <a16:creationId xmlns:a16="http://schemas.microsoft.com/office/drawing/2014/main" id="{61D706DC-B55A-403B-94CC-A88A6227AC7C}"/>
            </a:ext>
          </a:extLst>
        </xdr:cNvPr>
        <xdr:cNvSpPr/>
      </xdr:nvSpPr>
      <xdr:spPr>
        <a:xfrm rot="10800000">
          <a:off x="361950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141</xdr:row>
      <xdr:rowOff>0</xdr:rowOff>
    </xdr:from>
    <xdr:to>
      <xdr:col>23</xdr:col>
      <xdr:colOff>83820</xdr:colOff>
      <xdr:row>141</xdr:row>
      <xdr:rowOff>114300</xdr:rowOff>
    </xdr:to>
    <xdr:sp macro="" textlink="">
      <xdr:nvSpPr>
        <xdr:cNvPr id="972" name="Arrow: Down 971">
          <a:extLst>
            <a:ext uri="{FF2B5EF4-FFF2-40B4-BE49-F238E27FC236}">
              <a16:creationId xmlns:a16="http://schemas.microsoft.com/office/drawing/2014/main" id="{3E22F261-C3BE-4535-89C0-7E405B748637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141</xdr:row>
      <xdr:rowOff>0</xdr:rowOff>
    </xdr:from>
    <xdr:to>
      <xdr:col>38</xdr:col>
      <xdr:colOff>83820</xdr:colOff>
      <xdr:row>141</xdr:row>
      <xdr:rowOff>114300</xdr:rowOff>
    </xdr:to>
    <xdr:sp macro="" textlink="">
      <xdr:nvSpPr>
        <xdr:cNvPr id="979" name="Arrow: Down 978">
          <a:extLst>
            <a:ext uri="{FF2B5EF4-FFF2-40B4-BE49-F238E27FC236}">
              <a16:creationId xmlns:a16="http://schemas.microsoft.com/office/drawing/2014/main" id="{56E7121A-7E02-4D0B-873B-E25AD63F27D0}"/>
            </a:ext>
          </a:extLst>
        </xdr:cNvPr>
        <xdr:cNvSpPr/>
      </xdr:nvSpPr>
      <xdr:spPr>
        <a:xfrm>
          <a:off x="87477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141</xdr:row>
      <xdr:rowOff>0</xdr:rowOff>
    </xdr:from>
    <xdr:to>
      <xdr:col>59</xdr:col>
      <xdr:colOff>83820</xdr:colOff>
      <xdr:row>141</xdr:row>
      <xdr:rowOff>114300</xdr:rowOff>
    </xdr:to>
    <xdr:sp macro="" textlink="">
      <xdr:nvSpPr>
        <xdr:cNvPr id="982" name="Arrow: Down 981">
          <a:extLst>
            <a:ext uri="{FF2B5EF4-FFF2-40B4-BE49-F238E27FC236}">
              <a16:creationId xmlns:a16="http://schemas.microsoft.com/office/drawing/2014/main" id="{87C26118-53A3-47F2-B857-9E34BDFD2696}"/>
            </a:ext>
          </a:extLst>
        </xdr:cNvPr>
        <xdr:cNvSpPr/>
      </xdr:nvSpPr>
      <xdr:spPr>
        <a:xfrm rot="10800000">
          <a:off x="153162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141</xdr:row>
      <xdr:rowOff>0</xdr:rowOff>
    </xdr:from>
    <xdr:to>
      <xdr:col>70</xdr:col>
      <xdr:colOff>83820</xdr:colOff>
      <xdr:row>141</xdr:row>
      <xdr:rowOff>114300</xdr:rowOff>
    </xdr:to>
    <xdr:sp macro="" textlink="">
      <xdr:nvSpPr>
        <xdr:cNvPr id="985" name="Arrow: Down 984">
          <a:extLst>
            <a:ext uri="{FF2B5EF4-FFF2-40B4-BE49-F238E27FC236}">
              <a16:creationId xmlns:a16="http://schemas.microsoft.com/office/drawing/2014/main" id="{E66E3B8C-3FA4-4033-8617-23D136F00DB1}"/>
            </a:ext>
          </a:extLst>
        </xdr:cNvPr>
        <xdr:cNvSpPr/>
      </xdr:nvSpPr>
      <xdr:spPr>
        <a:xfrm rot="10800000">
          <a:off x="1763268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142</xdr:row>
      <xdr:rowOff>0</xdr:rowOff>
    </xdr:from>
    <xdr:to>
      <xdr:col>44</xdr:col>
      <xdr:colOff>83820</xdr:colOff>
      <xdr:row>142</xdr:row>
      <xdr:rowOff>114300</xdr:rowOff>
    </xdr:to>
    <xdr:sp macro="" textlink="">
      <xdr:nvSpPr>
        <xdr:cNvPr id="986" name="Arrow: Down 985">
          <a:extLst>
            <a:ext uri="{FF2B5EF4-FFF2-40B4-BE49-F238E27FC236}">
              <a16:creationId xmlns:a16="http://schemas.microsoft.com/office/drawing/2014/main" id="{10A54977-A3AF-4EB4-96A0-F8333B75E378}"/>
            </a:ext>
          </a:extLst>
        </xdr:cNvPr>
        <xdr:cNvSpPr/>
      </xdr:nvSpPr>
      <xdr:spPr>
        <a:xfrm rot="10800000">
          <a:off x="1055370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83820</xdr:colOff>
      <xdr:row>142</xdr:row>
      <xdr:rowOff>114300</xdr:rowOff>
    </xdr:to>
    <xdr:sp macro="" textlink="">
      <xdr:nvSpPr>
        <xdr:cNvPr id="987" name="Arrow: Down 986">
          <a:extLst>
            <a:ext uri="{FF2B5EF4-FFF2-40B4-BE49-F238E27FC236}">
              <a16:creationId xmlns:a16="http://schemas.microsoft.com/office/drawing/2014/main" id="{2030F8D0-FD77-4201-98E1-D493ED4C6586}"/>
            </a:ext>
          </a:extLst>
        </xdr:cNvPr>
        <xdr:cNvSpPr/>
      </xdr:nvSpPr>
      <xdr:spPr>
        <a:xfrm rot="10800000">
          <a:off x="19278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11</xdr:col>
      <xdr:colOff>83820</xdr:colOff>
      <xdr:row>142</xdr:row>
      <xdr:rowOff>114300</xdr:rowOff>
    </xdr:to>
    <xdr:sp macro="" textlink="">
      <xdr:nvSpPr>
        <xdr:cNvPr id="988" name="Arrow: Down 987">
          <a:extLst>
            <a:ext uri="{FF2B5EF4-FFF2-40B4-BE49-F238E27FC236}">
              <a16:creationId xmlns:a16="http://schemas.microsoft.com/office/drawing/2014/main" id="{B1F9CD4C-1E7A-436A-B5C5-6FB63B032DD6}"/>
            </a:ext>
          </a:extLst>
        </xdr:cNvPr>
        <xdr:cNvSpPr/>
      </xdr:nvSpPr>
      <xdr:spPr>
        <a:xfrm rot="10800000">
          <a:off x="36195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142</xdr:row>
      <xdr:rowOff>0</xdr:rowOff>
    </xdr:from>
    <xdr:to>
      <xdr:col>23</xdr:col>
      <xdr:colOff>83820</xdr:colOff>
      <xdr:row>142</xdr:row>
      <xdr:rowOff>114300</xdr:rowOff>
    </xdr:to>
    <xdr:sp macro="" textlink="">
      <xdr:nvSpPr>
        <xdr:cNvPr id="990" name="Arrow: Down 989">
          <a:extLst>
            <a:ext uri="{FF2B5EF4-FFF2-40B4-BE49-F238E27FC236}">
              <a16:creationId xmlns:a16="http://schemas.microsoft.com/office/drawing/2014/main" id="{103F922D-A780-4EF5-B1F6-489FA3D249E4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142</xdr:row>
      <xdr:rowOff>0</xdr:rowOff>
    </xdr:from>
    <xdr:to>
      <xdr:col>38</xdr:col>
      <xdr:colOff>83820</xdr:colOff>
      <xdr:row>142</xdr:row>
      <xdr:rowOff>114300</xdr:rowOff>
    </xdr:to>
    <xdr:sp macro="" textlink="">
      <xdr:nvSpPr>
        <xdr:cNvPr id="998" name="Arrow: Down 997">
          <a:extLst>
            <a:ext uri="{FF2B5EF4-FFF2-40B4-BE49-F238E27FC236}">
              <a16:creationId xmlns:a16="http://schemas.microsoft.com/office/drawing/2014/main" id="{DE8BB581-573B-449D-A8B9-22E71C28629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142</xdr:row>
      <xdr:rowOff>0</xdr:rowOff>
    </xdr:from>
    <xdr:to>
      <xdr:col>59</xdr:col>
      <xdr:colOff>83820</xdr:colOff>
      <xdr:row>142</xdr:row>
      <xdr:rowOff>114300</xdr:rowOff>
    </xdr:to>
    <xdr:sp macro="" textlink="">
      <xdr:nvSpPr>
        <xdr:cNvPr id="1008" name="Arrow: Down 1007">
          <a:extLst>
            <a:ext uri="{FF2B5EF4-FFF2-40B4-BE49-F238E27FC236}">
              <a16:creationId xmlns:a16="http://schemas.microsoft.com/office/drawing/2014/main" id="{81739F3F-2F86-433F-9960-A87A639DA5B9}"/>
            </a:ext>
          </a:extLst>
        </xdr:cNvPr>
        <xdr:cNvSpPr/>
      </xdr:nvSpPr>
      <xdr:spPr>
        <a:xfrm>
          <a:off x="153162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142</xdr:row>
      <xdr:rowOff>0</xdr:rowOff>
    </xdr:from>
    <xdr:to>
      <xdr:col>70</xdr:col>
      <xdr:colOff>83820</xdr:colOff>
      <xdr:row>142</xdr:row>
      <xdr:rowOff>114300</xdr:rowOff>
    </xdr:to>
    <xdr:sp macro="" textlink="">
      <xdr:nvSpPr>
        <xdr:cNvPr id="1009" name="Arrow: Down 1008">
          <a:extLst>
            <a:ext uri="{FF2B5EF4-FFF2-40B4-BE49-F238E27FC236}">
              <a16:creationId xmlns:a16="http://schemas.microsoft.com/office/drawing/2014/main" id="{385D6C59-A9CE-4C01-B3BE-79BDC77197DB}"/>
            </a:ext>
          </a:extLst>
        </xdr:cNvPr>
        <xdr:cNvSpPr/>
      </xdr:nvSpPr>
      <xdr:spPr>
        <a:xfrm>
          <a:off x="1763268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143</xdr:row>
      <xdr:rowOff>0</xdr:rowOff>
    </xdr:from>
    <xdr:to>
      <xdr:col>44</xdr:col>
      <xdr:colOff>83820</xdr:colOff>
      <xdr:row>143</xdr:row>
      <xdr:rowOff>114300</xdr:rowOff>
    </xdr:to>
    <xdr:sp macro="" textlink="">
      <xdr:nvSpPr>
        <xdr:cNvPr id="1010" name="Arrow: Down 1009">
          <a:extLst>
            <a:ext uri="{FF2B5EF4-FFF2-40B4-BE49-F238E27FC236}">
              <a16:creationId xmlns:a16="http://schemas.microsoft.com/office/drawing/2014/main" id="{1F09D143-42FA-4180-B33F-85FCD3CDF024}"/>
            </a:ext>
          </a:extLst>
        </xdr:cNvPr>
        <xdr:cNvSpPr/>
      </xdr:nvSpPr>
      <xdr:spPr>
        <a:xfrm rot="10800000">
          <a:off x="105537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143</xdr:row>
      <xdr:rowOff>0</xdr:rowOff>
    </xdr:from>
    <xdr:to>
      <xdr:col>23</xdr:col>
      <xdr:colOff>83820</xdr:colOff>
      <xdr:row>143</xdr:row>
      <xdr:rowOff>114300</xdr:rowOff>
    </xdr:to>
    <xdr:sp macro="" textlink="">
      <xdr:nvSpPr>
        <xdr:cNvPr id="1013" name="Arrow: Down 1012">
          <a:extLst>
            <a:ext uri="{FF2B5EF4-FFF2-40B4-BE49-F238E27FC236}">
              <a16:creationId xmlns:a16="http://schemas.microsoft.com/office/drawing/2014/main" id="{2ADE61B4-E15A-4931-B07D-E5D7E66F557D}"/>
            </a:ext>
          </a:extLst>
        </xdr:cNvPr>
        <xdr:cNvSpPr/>
      </xdr:nvSpPr>
      <xdr:spPr>
        <a:xfrm>
          <a:off x="55854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143</xdr:row>
      <xdr:rowOff>0</xdr:rowOff>
    </xdr:from>
    <xdr:to>
      <xdr:col>38</xdr:col>
      <xdr:colOff>83820</xdr:colOff>
      <xdr:row>143</xdr:row>
      <xdr:rowOff>114300</xdr:rowOff>
    </xdr:to>
    <xdr:sp macro="" textlink="">
      <xdr:nvSpPr>
        <xdr:cNvPr id="1014" name="Arrow: Down 1013">
          <a:extLst>
            <a:ext uri="{FF2B5EF4-FFF2-40B4-BE49-F238E27FC236}">
              <a16:creationId xmlns:a16="http://schemas.microsoft.com/office/drawing/2014/main" id="{46F27A80-7D11-4D2C-9D90-441C8E356C2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143</xdr:row>
      <xdr:rowOff>0</xdr:rowOff>
    </xdr:from>
    <xdr:to>
      <xdr:col>5</xdr:col>
      <xdr:colOff>83820</xdr:colOff>
      <xdr:row>143</xdr:row>
      <xdr:rowOff>114300</xdr:rowOff>
    </xdr:to>
    <xdr:sp macro="" textlink="">
      <xdr:nvSpPr>
        <xdr:cNvPr id="1017" name="Arrow: Down 1016">
          <a:extLst>
            <a:ext uri="{FF2B5EF4-FFF2-40B4-BE49-F238E27FC236}">
              <a16:creationId xmlns:a16="http://schemas.microsoft.com/office/drawing/2014/main" id="{3C2EACB0-0E20-425C-9A5B-BBBA525B3332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143</xdr:row>
      <xdr:rowOff>0</xdr:rowOff>
    </xdr:from>
    <xdr:to>
      <xdr:col>11</xdr:col>
      <xdr:colOff>83820</xdr:colOff>
      <xdr:row>143</xdr:row>
      <xdr:rowOff>114300</xdr:rowOff>
    </xdr:to>
    <xdr:sp macro="" textlink="">
      <xdr:nvSpPr>
        <xdr:cNvPr id="1018" name="Arrow: Down 1017">
          <a:extLst>
            <a:ext uri="{FF2B5EF4-FFF2-40B4-BE49-F238E27FC236}">
              <a16:creationId xmlns:a16="http://schemas.microsoft.com/office/drawing/2014/main" id="{FABB3758-4F9E-43D1-BD98-2CF8895FC508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143</xdr:row>
      <xdr:rowOff>0</xdr:rowOff>
    </xdr:from>
    <xdr:to>
      <xdr:col>59</xdr:col>
      <xdr:colOff>83820</xdr:colOff>
      <xdr:row>143</xdr:row>
      <xdr:rowOff>114300</xdr:rowOff>
    </xdr:to>
    <xdr:sp macro="" textlink="">
      <xdr:nvSpPr>
        <xdr:cNvPr id="1020" name="Arrow: Down 1019">
          <a:extLst>
            <a:ext uri="{FF2B5EF4-FFF2-40B4-BE49-F238E27FC236}">
              <a16:creationId xmlns:a16="http://schemas.microsoft.com/office/drawing/2014/main" id="{8B334531-90EA-4A03-9E27-6599A2918149}"/>
            </a:ext>
          </a:extLst>
        </xdr:cNvPr>
        <xdr:cNvSpPr/>
      </xdr:nvSpPr>
      <xdr:spPr>
        <a:xfrm rot="10800000">
          <a:off x="1531620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143</xdr:row>
      <xdr:rowOff>0</xdr:rowOff>
    </xdr:from>
    <xdr:to>
      <xdr:col>70</xdr:col>
      <xdr:colOff>83820</xdr:colOff>
      <xdr:row>143</xdr:row>
      <xdr:rowOff>114300</xdr:rowOff>
    </xdr:to>
    <xdr:sp macro="" textlink="">
      <xdr:nvSpPr>
        <xdr:cNvPr id="1021" name="Arrow: Down 1020">
          <a:extLst>
            <a:ext uri="{FF2B5EF4-FFF2-40B4-BE49-F238E27FC236}">
              <a16:creationId xmlns:a16="http://schemas.microsoft.com/office/drawing/2014/main" id="{7C07D284-5874-49CB-940F-CC744A2AF5F4}"/>
            </a:ext>
          </a:extLst>
        </xdr:cNvPr>
        <xdr:cNvSpPr/>
      </xdr:nvSpPr>
      <xdr:spPr>
        <a:xfrm rot="10800000">
          <a:off x="1763268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144</xdr:row>
      <xdr:rowOff>0</xdr:rowOff>
    </xdr:from>
    <xdr:to>
      <xdr:col>23</xdr:col>
      <xdr:colOff>83820</xdr:colOff>
      <xdr:row>144</xdr:row>
      <xdr:rowOff>114300</xdr:rowOff>
    </xdr:to>
    <xdr:sp macro="" textlink="">
      <xdr:nvSpPr>
        <xdr:cNvPr id="1023" name="Arrow: Down 1022">
          <a:extLst>
            <a:ext uri="{FF2B5EF4-FFF2-40B4-BE49-F238E27FC236}">
              <a16:creationId xmlns:a16="http://schemas.microsoft.com/office/drawing/2014/main" id="{AAF4BF62-B6BC-4F6B-9AE5-CE06B14D9EB2}"/>
            </a:ext>
          </a:extLst>
        </xdr:cNvPr>
        <xdr:cNvSpPr/>
      </xdr:nvSpPr>
      <xdr:spPr>
        <a:xfrm>
          <a:off x="55854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144</xdr:row>
      <xdr:rowOff>0</xdr:rowOff>
    </xdr:from>
    <xdr:to>
      <xdr:col>5</xdr:col>
      <xdr:colOff>83820</xdr:colOff>
      <xdr:row>144</xdr:row>
      <xdr:rowOff>114300</xdr:rowOff>
    </xdr:to>
    <xdr:sp macro="" textlink="">
      <xdr:nvSpPr>
        <xdr:cNvPr id="1025" name="Arrow: Down 1024">
          <a:extLst>
            <a:ext uri="{FF2B5EF4-FFF2-40B4-BE49-F238E27FC236}">
              <a16:creationId xmlns:a16="http://schemas.microsoft.com/office/drawing/2014/main" id="{5E36AA2B-3324-48E2-8081-D1307CD80C7B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11</xdr:col>
      <xdr:colOff>83820</xdr:colOff>
      <xdr:row>144</xdr:row>
      <xdr:rowOff>114300</xdr:rowOff>
    </xdr:to>
    <xdr:sp macro="" textlink="">
      <xdr:nvSpPr>
        <xdr:cNvPr id="1026" name="Arrow: Down 1025">
          <a:extLst>
            <a:ext uri="{FF2B5EF4-FFF2-40B4-BE49-F238E27FC236}">
              <a16:creationId xmlns:a16="http://schemas.microsoft.com/office/drawing/2014/main" id="{49253A47-471B-4537-9E4A-918ACE527AF9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144</xdr:row>
      <xdr:rowOff>0</xdr:rowOff>
    </xdr:from>
    <xdr:to>
      <xdr:col>59</xdr:col>
      <xdr:colOff>83820</xdr:colOff>
      <xdr:row>144</xdr:row>
      <xdr:rowOff>114300</xdr:rowOff>
    </xdr:to>
    <xdr:sp macro="" textlink="">
      <xdr:nvSpPr>
        <xdr:cNvPr id="1029" name="Arrow: Down 1028">
          <a:extLst>
            <a:ext uri="{FF2B5EF4-FFF2-40B4-BE49-F238E27FC236}">
              <a16:creationId xmlns:a16="http://schemas.microsoft.com/office/drawing/2014/main" id="{12CAADF9-475E-4BEF-806F-52E0C255B0ED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144</xdr:row>
      <xdr:rowOff>0</xdr:rowOff>
    </xdr:from>
    <xdr:to>
      <xdr:col>70</xdr:col>
      <xdr:colOff>83820</xdr:colOff>
      <xdr:row>144</xdr:row>
      <xdr:rowOff>114300</xdr:rowOff>
    </xdr:to>
    <xdr:sp macro="" textlink="">
      <xdr:nvSpPr>
        <xdr:cNvPr id="1030" name="Arrow: Down 1029">
          <a:extLst>
            <a:ext uri="{FF2B5EF4-FFF2-40B4-BE49-F238E27FC236}">
              <a16:creationId xmlns:a16="http://schemas.microsoft.com/office/drawing/2014/main" id="{08831B7E-64AA-4F7B-B7B9-6C6815274A79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144</xdr:row>
      <xdr:rowOff>0</xdr:rowOff>
    </xdr:from>
    <xdr:to>
      <xdr:col>38</xdr:col>
      <xdr:colOff>83820</xdr:colOff>
      <xdr:row>144</xdr:row>
      <xdr:rowOff>114300</xdr:rowOff>
    </xdr:to>
    <xdr:sp macro="" textlink="">
      <xdr:nvSpPr>
        <xdr:cNvPr id="1031" name="Arrow: Down 1030">
          <a:extLst>
            <a:ext uri="{FF2B5EF4-FFF2-40B4-BE49-F238E27FC236}">
              <a16:creationId xmlns:a16="http://schemas.microsoft.com/office/drawing/2014/main" id="{40CD1573-43A9-48F2-9C38-DDAE79E1761B}"/>
            </a:ext>
          </a:extLst>
        </xdr:cNvPr>
        <xdr:cNvSpPr/>
      </xdr:nvSpPr>
      <xdr:spPr>
        <a:xfrm>
          <a:off x="1268730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144</xdr:row>
      <xdr:rowOff>0</xdr:rowOff>
    </xdr:from>
    <xdr:to>
      <xdr:col>44</xdr:col>
      <xdr:colOff>83820</xdr:colOff>
      <xdr:row>144</xdr:row>
      <xdr:rowOff>114300</xdr:rowOff>
    </xdr:to>
    <xdr:sp macro="" textlink="">
      <xdr:nvSpPr>
        <xdr:cNvPr id="1032" name="Arrow: Down 1031">
          <a:extLst>
            <a:ext uri="{FF2B5EF4-FFF2-40B4-BE49-F238E27FC236}">
              <a16:creationId xmlns:a16="http://schemas.microsoft.com/office/drawing/2014/main" id="{2F271A85-D695-49FE-94F0-6FC114635A34}"/>
            </a:ext>
          </a:extLst>
        </xdr:cNvPr>
        <xdr:cNvSpPr/>
      </xdr:nvSpPr>
      <xdr:spPr>
        <a:xfrm>
          <a:off x="1449324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145</xdr:row>
      <xdr:rowOff>0</xdr:rowOff>
    </xdr:from>
    <xdr:to>
      <xdr:col>5</xdr:col>
      <xdr:colOff>83820</xdr:colOff>
      <xdr:row>145</xdr:row>
      <xdr:rowOff>114300</xdr:rowOff>
    </xdr:to>
    <xdr:sp macro="" textlink="">
      <xdr:nvSpPr>
        <xdr:cNvPr id="1041" name="Arrow: Down 1040">
          <a:extLst>
            <a:ext uri="{FF2B5EF4-FFF2-40B4-BE49-F238E27FC236}">
              <a16:creationId xmlns:a16="http://schemas.microsoft.com/office/drawing/2014/main" id="{061DDFF6-0D74-43E3-85AB-B2E1E1CA803B}"/>
            </a:ext>
          </a:extLst>
        </xdr:cNvPr>
        <xdr:cNvSpPr/>
      </xdr:nvSpPr>
      <xdr:spPr>
        <a:xfrm>
          <a:off x="192786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11</xdr:col>
      <xdr:colOff>83820</xdr:colOff>
      <xdr:row>145</xdr:row>
      <xdr:rowOff>114300</xdr:rowOff>
    </xdr:to>
    <xdr:sp macro="" textlink="">
      <xdr:nvSpPr>
        <xdr:cNvPr id="1042" name="Arrow: Down 1041">
          <a:extLst>
            <a:ext uri="{FF2B5EF4-FFF2-40B4-BE49-F238E27FC236}">
              <a16:creationId xmlns:a16="http://schemas.microsoft.com/office/drawing/2014/main" id="{DDD06988-826E-4A10-9111-54908FA5C8E5}"/>
            </a:ext>
          </a:extLst>
        </xdr:cNvPr>
        <xdr:cNvSpPr/>
      </xdr:nvSpPr>
      <xdr:spPr>
        <a:xfrm>
          <a:off x="36195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145</xdr:row>
      <xdr:rowOff>0</xdr:rowOff>
    </xdr:from>
    <xdr:to>
      <xdr:col>59</xdr:col>
      <xdr:colOff>83820</xdr:colOff>
      <xdr:row>145</xdr:row>
      <xdr:rowOff>114300</xdr:rowOff>
    </xdr:to>
    <xdr:sp macro="" textlink="">
      <xdr:nvSpPr>
        <xdr:cNvPr id="1043" name="Arrow: Down 1042">
          <a:extLst>
            <a:ext uri="{FF2B5EF4-FFF2-40B4-BE49-F238E27FC236}">
              <a16:creationId xmlns:a16="http://schemas.microsoft.com/office/drawing/2014/main" id="{A619A990-27A1-4AF3-B800-FAE5A2E56A04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145</xdr:row>
      <xdr:rowOff>0</xdr:rowOff>
    </xdr:from>
    <xdr:to>
      <xdr:col>70</xdr:col>
      <xdr:colOff>83820</xdr:colOff>
      <xdr:row>145</xdr:row>
      <xdr:rowOff>114300</xdr:rowOff>
    </xdr:to>
    <xdr:sp macro="" textlink="">
      <xdr:nvSpPr>
        <xdr:cNvPr id="1044" name="Arrow: Down 1043">
          <a:extLst>
            <a:ext uri="{FF2B5EF4-FFF2-40B4-BE49-F238E27FC236}">
              <a16:creationId xmlns:a16="http://schemas.microsoft.com/office/drawing/2014/main" id="{D65B4D1C-2E6D-4F50-B93D-59DD805FC331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145</xdr:row>
      <xdr:rowOff>0</xdr:rowOff>
    </xdr:from>
    <xdr:to>
      <xdr:col>38</xdr:col>
      <xdr:colOff>83820</xdr:colOff>
      <xdr:row>145</xdr:row>
      <xdr:rowOff>114300</xdr:rowOff>
    </xdr:to>
    <xdr:sp macro="" textlink="">
      <xdr:nvSpPr>
        <xdr:cNvPr id="956" name="Arrow: Down 955">
          <a:extLst>
            <a:ext uri="{FF2B5EF4-FFF2-40B4-BE49-F238E27FC236}">
              <a16:creationId xmlns:a16="http://schemas.microsoft.com/office/drawing/2014/main" id="{4042548F-17FB-48DC-A7ED-BFE8177CD795}"/>
            </a:ext>
          </a:extLst>
        </xdr:cNvPr>
        <xdr:cNvSpPr/>
      </xdr:nvSpPr>
      <xdr:spPr>
        <a:xfrm rot="10800000">
          <a:off x="874776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145</xdr:row>
      <xdr:rowOff>0</xdr:rowOff>
    </xdr:from>
    <xdr:to>
      <xdr:col>44</xdr:col>
      <xdr:colOff>83820</xdr:colOff>
      <xdr:row>145</xdr:row>
      <xdr:rowOff>114300</xdr:rowOff>
    </xdr:to>
    <xdr:sp macro="" textlink="">
      <xdr:nvSpPr>
        <xdr:cNvPr id="957" name="Arrow: Down 956">
          <a:extLst>
            <a:ext uri="{FF2B5EF4-FFF2-40B4-BE49-F238E27FC236}">
              <a16:creationId xmlns:a16="http://schemas.microsoft.com/office/drawing/2014/main" id="{2BEF22FE-1D6F-4F76-8A7C-953FE0E3D8D3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145</xdr:row>
      <xdr:rowOff>0</xdr:rowOff>
    </xdr:from>
    <xdr:to>
      <xdr:col>23</xdr:col>
      <xdr:colOff>83820</xdr:colOff>
      <xdr:row>145</xdr:row>
      <xdr:rowOff>114300</xdr:rowOff>
    </xdr:to>
    <xdr:sp macro="" textlink="">
      <xdr:nvSpPr>
        <xdr:cNvPr id="958" name="Arrow: Down 957">
          <a:extLst>
            <a:ext uri="{FF2B5EF4-FFF2-40B4-BE49-F238E27FC236}">
              <a16:creationId xmlns:a16="http://schemas.microsoft.com/office/drawing/2014/main" id="{A8F4120E-A402-493A-A0A5-946F9A4D7218}"/>
            </a:ext>
          </a:extLst>
        </xdr:cNvPr>
        <xdr:cNvSpPr/>
      </xdr:nvSpPr>
      <xdr:spPr>
        <a:xfrm rot="10800000">
          <a:off x="5585460" y="2661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126</xdr:row>
      <xdr:rowOff>0</xdr:rowOff>
    </xdr:from>
    <xdr:to>
      <xdr:col>14</xdr:col>
      <xdr:colOff>83820</xdr:colOff>
      <xdr:row>126</xdr:row>
      <xdr:rowOff>106680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3FFA67C6-A879-42B2-98B5-191183626840}"/>
            </a:ext>
          </a:extLst>
        </xdr:cNvPr>
        <xdr:cNvSpPr/>
      </xdr:nvSpPr>
      <xdr:spPr>
        <a:xfrm rot="10800000">
          <a:off x="5158740" y="232410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83820</xdr:colOff>
      <xdr:row>127</xdr:row>
      <xdr:rowOff>106680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E39B9FCB-ABA8-44F5-96EE-C6C08C848D48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128</xdr:row>
      <xdr:rowOff>0</xdr:rowOff>
    </xdr:from>
    <xdr:to>
      <xdr:col>14</xdr:col>
      <xdr:colOff>83820</xdr:colOff>
      <xdr:row>128</xdr:row>
      <xdr:rowOff>106680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AD8D530B-1014-4000-8E43-850CFD9156BF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130</xdr:row>
      <xdr:rowOff>0</xdr:rowOff>
    </xdr:from>
    <xdr:to>
      <xdr:col>14</xdr:col>
      <xdr:colOff>83820</xdr:colOff>
      <xdr:row>130</xdr:row>
      <xdr:rowOff>106680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56C90FFF-E144-4A5F-B680-18FBBC253A3A}"/>
            </a:ext>
          </a:extLst>
        </xdr:cNvPr>
        <xdr:cNvSpPr/>
      </xdr:nvSpPr>
      <xdr:spPr>
        <a:xfrm rot="10800000">
          <a:off x="5158740" y="23789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129</xdr:row>
      <xdr:rowOff>0</xdr:rowOff>
    </xdr:from>
    <xdr:to>
      <xdr:col>14</xdr:col>
      <xdr:colOff>83820</xdr:colOff>
      <xdr:row>129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0EE7A466-D247-4B24-ABCC-520B0DEE8D55}"/>
            </a:ext>
          </a:extLst>
        </xdr:cNvPr>
        <xdr:cNvSpPr/>
      </xdr:nvSpPr>
      <xdr:spPr>
        <a:xfrm>
          <a:off x="5158740" y="23789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131</xdr:row>
      <xdr:rowOff>0</xdr:rowOff>
    </xdr:from>
    <xdr:to>
      <xdr:col>14</xdr:col>
      <xdr:colOff>83820</xdr:colOff>
      <xdr:row>131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62E90C99-C367-4E2A-BDF6-D2A9708511ED}"/>
            </a:ext>
          </a:extLst>
        </xdr:cNvPr>
        <xdr:cNvSpPr/>
      </xdr:nvSpPr>
      <xdr:spPr>
        <a:xfrm>
          <a:off x="5158740" y="24155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14</xdr:col>
      <xdr:colOff>83820</xdr:colOff>
      <xdr:row>132</xdr:row>
      <xdr:rowOff>106680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C492A977-746E-49C1-9B01-734CF8C8D1C7}"/>
            </a:ext>
          </a:extLst>
        </xdr:cNvPr>
        <xdr:cNvSpPr/>
      </xdr:nvSpPr>
      <xdr:spPr>
        <a:xfrm rot="10800000">
          <a:off x="5158740" y="24338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133</xdr:row>
      <xdr:rowOff>0</xdr:rowOff>
    </xdr:from>
    <xdr:to>
      <xdr:col>14</xdr:col>
      <xdr:colOff>83820</xdr:colOff>
      <xdr:row>133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0B1C446-9DB0-46F1-A12E-45FD1939F0C0}"/>
            </a:ext>
          </a:extLst>
        </xdr:cNvPr>
        <xdr:cNvSpPr/>
      </xdr:nvSpPr>
      <xdr:spPr>
        <a:xfrm>
          <a:off x="5158740" y="24521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134</xdr:row>
      <xdr:rowOff>0</xdr:rowOff>
    </xdr:from>
    <xdr:to>
      <xdr:col>14</xdr:col>
      <xdr:colOff>83820</xdr:colOff>
      <xdr:row>134</xdr:row>
      <xdr:rowOff>106680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BC244D08-593A-408E-B723-287FEAA915C1}"/>
            </a:ext>
          </a:extLst>
        </xdr:cNvPr>
        <xdr:cNvSpPr/>
      </xdr:nvSpPr>
      <xdr:spPr>
        <a:xfrm rot="10800000">
          <a:off x="5158740" y="247040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135</xdr:row>
      <xdr:rowOff>0</xdr:rowOff>
    </xdr:from>
    <xdr:to>
      <xdr:col>14</xdr:col>
      <xdr:colOff>83820</xdr:colOff>
      <xdr:row>135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FF66B8B8-8A79-42D3-AD28-DFAC85131088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136</xdr:row>
      <xdr:rowOff>0</xdr:rowOff>
    </xdr:from>
    <xdr:to>
      <xdr:col>14</xdr:col>
      <xdr:colOff>83820</xdr:colOff>
      <xdr:row>136</xdr:row>
      <xdr:rowOff>106680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12C28A4A-2328-442F-A71D-3F6B05D5DCB4}"/>
            </a:ext>
          </a:extLst>
        </xdr:cNvPr>
        <xdr:cNvSpPr/>
      </xdr:nvSpPr>
      <xdr:spPr>
        <a:xfrm rot="10800000">
          <a:off x="5158740" y="250698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137</xdr:row>
      <xdr:rowOff>0</xdr:rowOff>
    </xdr:from>
    <xdr:to>
      <xdr:col>14</xdr:col>
      <xdr:colOff>83820</xdr:colOff>
      <xdr:row>137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C865E383-DE38-42C5-8698-B8EE40DB471D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138</xdr:row>
      <xdr:rowOff>0</xdr:rowOff>
    </xdr:from>
    <xdr:to>
      <xdr:col>14</xdr:col>
      <xdr:colOff>83820</xdr:colOff>
      <xdr:row>138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E98166D0-C5F7-4B67-BAA5-4C65FD6062B5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139</xdr:row>
      <xdr:rowOff>0</xdr:rowOff>
    </xdr:from>
    <xdr:to>
      <xdr:col>14</xdr:col>
      <xdr:colOff>83820</xdr:colOff>
      <xdr:row>139</xdr:row>
      <xdr:rowOff>106680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3147313-B904-443D-BB3C-ABAC7E8AD0EE}"/>
            </a:ext>
          </a:extLst>
        </xdr:cNvPr>
        <xdr:cNvSpPr/>
      </xdr:nvSpPr>
      <xdr:spPr>
        <a:xfrm rot="10800000">
          <a:off x="5158740" y="25618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140</xdr:row>
      <xdr:rowOff>0</xdr:rowOff>
    </xdr:from>
    <xdr:to>
      <xdr:col>14</xdr:col>
      <xdr:colOff>83820</xdr:colOff>
      <xdr:row>140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63D5775A-996D-477A-AC03-41AD7DA2578D}"/>
            </a:ext>
          </a:extLst>
        </xdr:cNvPr>
        <xdr:cNvSpPr/>
      </xdr:nvSpPr>
      <xdr:spPr>
        <a:xfrm>
          <a:off x="5158740" y="25801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141</xdr:row>
      <xdr:rowOff>0</xdr:rowOff>
    </xdr:from>
    <xdr:to>
      <xdr:col>14</xdr:col>
      <xdr:colOff>83820</xdr:colOff>
      <xdr:row>141</xdr:row>
      <xdr:rowOff>106680</xdr:rowOff>
    </xdr:to>
    <xdr:sp macro="" textlink="">
      <xdr:nvSpPr>
        <xdr:cNvPr id="141" name="Arrow: Down 140">
          <a:extLst>
            <a:ext uri="{FF2B5EF4-FFF2-40B4-BE49-F238E27FC236}">
              <a16:creationId xmlns:a16="http://schemas.microsoft.com/office/drawing/2014/main" id="{493CA8B5-EB76-4F73-B10E-C377B4F4A422}"/>
            </a:ext>
          </a:extLst>
        </xdr:cNvPr>
        <xdr:cNvSpPr/>
      </xdr:nvSpPr>
      <xdr:spPr>
        <a:xfrm rot="10800000">
          <a:off x="5158740" y="25984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142</xdr:row>
      <xdr:rowOff>0</xdr:rowOff>
    </xdr:from>
    <xdr:to>
      <xdr:col>14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C8A5454B-5E27-4C3C-ADA3-5C526FCE8327}"/>
            </a:ext>
          </a:extLst>
        </xdr:cNvPr>
        <xdr:cNvSpPr/>
      </xdr:nvSpPr>
      <xdr:spPr>
        <a:xfrm>
          <a:off x="5158740" y="26167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143</xdr:row>
      <xdr:rowOff>0</xdr:rowOff>
    </xdr:from>
    <xdr:to>
      <xdr:col>14</xdr:col>
      <xdr:colOff>83820</xdr:colOff>
      <xdr:row>143</xdr:row>
      <xdr:rowOff>106680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84DB2A74-F2E5-4F41-A85B-33F1F0721E55}"/>
            </a:ext>
          </a:extLst>
        </xdr:cNvPr>
        <xdr:cNvSpPr/>
      </xdr:nvSpPr>
      <xdr:spPr>
        <a:xfrm rot="10800000">
          <a:off x="5158740" y="26349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144</xdr:row>
      <xdr:rowOff>0</xdr:rowOff>
    </xdr:from>
    <xdr:to>
      <xdr:col>14</xdr:col>
      <xdr:colOff>83820</xdr:colOff>
      <xdr:row>144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47C47B60-28C8-440F-A197-466A75CECC6A}"/>
            </a:ext>
          </a:extLst>
        </xdr:cNvPr>
        <xdr:cNvSpPr/>
      </xdr:nvSpPr>
      <xdr:spPr>
        <a:xfrm>
          <a:off x="5158740" y="26532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145</xdr:row>
      <xdr:rowOff>0</xdr:rowOff>
    </xdr:from>
    <xdr:to>
      <xdr:col>14</xdr:col>
      <xdr:colOff>83820</xdr:colOff>
      <xdr:row>145</xdr:row>
      <xdr:rowOff>106680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FE3979E-0D29-44FC-BB57-065C5529D0F0}"/>
            </a:ext>
          </a:extLst>
        </xdr:cNvPr>
        <xdr:cNvSpPr/>
      </xdr:nvSpPr>
      <xdr:spPr>
        <a:xfrm rot="10800000">
          <a:off x="5158740" y="26715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146</xdr:row>
      <xdr:rowOff>0</xdr:rowOff>
    </xdr:from>
    <xdr:to>
      <xdr:col>14</xdr:col>
      <xdr:colOff>83820</xdr:colOff>
      <xdr:row>146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9502C296-0D87-4277-BFA5-0B5233685F8D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15240</xdr:colOff>
      <xdr:row>27</xdr:row>
      <xdr:rowOff>15240</xdr:rowOff>
    </xdr:from>
    <xdr:to>
      <xdr:col>12</xdr:col>
      <xdr:colOff>129540</xdr:colOff>
      <xdr:row>27</xdr:row>
      <xdr:rowOff>160020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4655820" y="521208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15240</xdr:colOff>
      <xdr:row>32</xdr:row>
      <xdr:rowOff>15240</xdr:rowOff>
    </xdr:from>
    <xdr:to>
      <xdr:col>34</xdr:col>
      <xdr:colOff>121920</xdr:colOff>
      <xdr:row>32</xdr:row>
      <xdr:rowOff>144780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180820" y="618744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83820</xdr:colOff>
      <xdr:row>80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33253388-9ADF-49C6-8437-FE7758963339}"/>
            </a:ext>
          </a:extLst>
        </xdr:cNvPr>
        <xdr:cNvSpPr/>
      </xdr:nvSpPr>
      <xdr:spPr>
        <a:xfrm rot="10800000">
          <a:off x="11612880" y="1496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83820</xdr:colOff>
      <xdr:row>81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FE111041-65D6-49E3-BB5F-C5EC9246C73C}"/>
            </a:ext>
          </a:extLst>
        </xdr:cNvPr>
        <xdr:cNvSpPr/>
      </xdr:nvSpPr>
      <xdr:spPr>
        <a:xfrm rot="10800000">
          <a:off x="11612880" y="1514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82</xdr:row>
      <xdr:rowOff>0</xdr:rowOff>
    </xdr:from>
    <xdr:to>
      <xdr:col>28</xdr:col>
      <xdr:colOff>83820</xdr:colOff>
      <xdr:row>82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07C901A3-A957-4AB9-AF7D-E83C4A262861}"/>
            </a:ext>
          </a:extLst>
        </xdr:cNvPr>
        <xdr:cNvSpPr/>
      </xdr:nvSpPr>
      <xdr:spPr>
        <a:xfrm rot="10800000">
          <a:off x="11612880" y="1533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83820</xdr:colOff>
      <xdr:row>83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C29D740F-96A2-4B7F-9864-186F40C24CAD}"/>
            </a:ext>
          </a:extLst>
        </xdr:cNvPr>
        <xdr:cNvSpPr/>
      </xdr:nvSpPr>
      <xdr:spPr>
        <a:xfrm rot="10800000">
          <a:off x="11612880" y="15537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83820</xdr:colOff>
      <xdr:row>84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A59AB5D6-B694-49B7-A53D-3E333701720A}"/>
            </a:ext>
          </a:extLst>
        </xdr:cNvPr>
        <xdr:cNvSpPr/>
      </xdr:nvSpPr>
      <xdr:spPr>
        <a:xfrm rot="10800000">
          <a:off x="11612880" y="1573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85</xdr:row>
      <xdr:rowOff>0</xdr:rowOff>
    </xdr:from>
    <xdr:to>
      <xdr:col>28</xdr:col>
      <xdr:colOff>83820</xdr:colOff>
      <xdr:row>85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3247D568-6607-4EB0-90B0-426766102067}"/>
            </a:ext>
          </a:extLst>
        </xdr:cNvPr>
        <xdr:cNvSpPr/>
      </xdr:nvSpPr>
      <xdr:spPr>
        <a:xfrm rot="10800000">
          <a:off x="11612880" y="1591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86</xdr:row>
      <xdr:rowOff>0</xdr:rowOff>
    </xdr:from>
    <xdr:to>
      <xdr:col>28</xdr:col>
      <xdr:colOff>83820</xdr:colOff>
      <xdr:row>86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40D2FC6-A766-4A4E-A7EF-DEE4CF19647D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87</xdr:row>
      <xdr:rowOff>0</xdr:rowOff>
    </xdr:from>
    <xdr:to>
      <xdr:col>28</xdr:col>
      <xdr:colOff>83820</xdr:colOff>
      <xdr:row>87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BA0A0827-6DE6-4E3E-B382-3045EFFABB32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88</xdr:row>
      <xdr:rowOff>0</xdr:rowOff>
    </xdr:from>
    <xdr:to>
      <xdr:col>28</xdr:col>
      <xdr:colOff>83820</xdr:colOff>
      <xdr:row>88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544421F5-0F30-43A3-8B82-7AF3B0567B48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89</xdr:row>
      <xdr:rowOff>0</xdr:rowOff>
    </xdr:from>
    <xdr:to>
      <xdr:col>28</xdr:col>
      <xdr:colOff>83820</xdr:colOff>
      <xdr:row>89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12CEA806-8C89-4DB7-8EC7-E4924D43B6FB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90</xdr:row>
      <xdr:rowOff>0</xdr:rowOff>
    </xdr:from>
    <xdr:to>
      <xdr:col>28</xdr:col>
      <xdr:colOff>83820</xdr:colOff>
      <xdr:row>90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F40614E-6EFC-4C96-96E4-31D8502791C9}"/>
            </a:ext>
          </a:extLst>
        </xdr:cNvPr>
        <xdr:cNvSpPr/>
      </xdr:nvSpPr>
      <xdr:spPr>
        <a:xfrm rot="10800000">
          <a:off x="11612880" y="1683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91</xdr:row>
      <xdr:rowOff>0</xdr:rowOff>
    </xdr:from>
    <xdr:to>
      <xdr:col>28</xdr:col>
      <xdr:colOff>83820</xdr:colOff>
      <xdr:row>91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D331026C-DF8F-4967-ADC1-FF548A66FCF6}"/>
            </a:ext>
          </a:extLst>
        </xdr:cNvPr>
        <xdr:cNvSpPr/>
      </xdr:nvSpPr>
      <xdr:spPr>
        <a:xfrm rot="10800000">
          <a:off x="116128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92</xdr:row>
      <xdr:rowOff>0</xdr:rowOff>
    </xdr:from>
    <xdr:to>
      <xdr:col>28</xdr:col>
      <xdr:colOff>83820</xdr:colOff>
      <xdr:row>92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7B966DE7-D619-4358-89D3-F17782EEB327}"/>
            </a:ext>
          </a:extLst>
        </xdr:cNvPr>
        <xdr:cNvSpPr/>
      </xdr:nvSpPr>
      <xdr:spPr>
        <a:xfrm>
          <a:off x="1161288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93</xdr:row>
      <xdr:rowOff>0</xdr:rowOff>
    </xdr:from>
    <xdr:to>
      <xdr:col>28</xdr:col>
      <xdr:colOff>83820</xdr:colOff>
      <xdr:row>93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47EECA7C-C20F-4BA7-83BE-633A52919536}"/>
            </a:ext>
          </a:extLst>
        </xdr:cNvPr>
        <xdr:cNvSpPr/>
      </xdr:nvSpPr>
      <xdr:spPr>
        <a:xfrm>
          <a:off x="11612880" y="1738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94</xdr:row>
      <xdr:rowOff>0</xdr:rowOff>
    </xdr:from>
    <xdr:to>
      <xdr:col>28</xdr:col>
      <xdr:colOff>83820</xdr:colOff>
      <xdr:row>94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EF07D103-A5A8-4642-ABD3-CC78B307FA0A}"/>
            </a:ext>
          </a:extLst>
        </xdr:cNvPr>
        <xdr:cNvSpPr/>
      </xdr:nvSpPr>
      <xdr:spPr>
        <a:xfrm>
          <a:off x="11612880" y="1774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95</xdr:row>
      <xdr:rowOff>0</xdr:rowOff>
    </xdr:from>
    <xdr:to>
      <xdr:col>28</xdr:col>
      <xdr:colOff>83820</xdr:colOff>
      <xdr:row>95</xdr:row>
      <xdr:rowOff>114300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252B8931-8A02-4BD8-8FEA-9A7E8039C915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96</xdr:row>
      <xdr:rowOff>0</xdr:rowOff>
    </xdr:from>
    <xdr:to>
      <xdr:col>28</xdr:col>
      <xdr:colOff>83820</xdr:colOff>
      <xdr:row>96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80843F92-C6E3-4872-85D6-01F129A8B45F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97</xdr:row>
      <xdr:rowOff>0</xdr:rowOff>
    </xdr:from>
    <xdr:to>
      <xdr:col>28</xdr:col>
      <xdr:colOff>83820</xdr:colOff>
      <xdr:row>97</xdr:row>
      <xdr:rowOff>114300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B203A764-4AC8-43FE-86C3-0BBCD1F3CB79}"/>
            </a:ext>
          </a:extLst>
        </xdr:cNvPr>
        <xdr:cNvSpPr/>
      </xdr:nvSpPr>
      <xdr:spPr>
        <a:xfrm rot="10800000">
          <a:off x="11612880" y="1811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98</xdr:row>
      <xdr:rowOff>0</xdr:rowOff>
    </xdr:from>
    <xdr:to>
      <xdr:col>28</xdr:col>
      <xdr:colOff>83820</xdr:colOff>
      <xdr:row>98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305A3BE3-82E9-4896-AA2B-F7059E12D31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99</xdr:row>
      <xdr:rowOff>0</xdr:rowOff>
    </xdr:from>
    <xdr:to>
      <xdr:col>28</xdr:col>
      <xdr:colOff>83820</xdr:colOff>
      <xdr:row>99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28B87D41-8C52-45E0-86DD-48F54F219C7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100</xdr:row>
      <xdr:rowOff>0</xdr:rowOff>
    </xdr:from>
    <xdr:to>
      <xdr:col>28</xdr:col>
      <xdr:colOff>83820</xdr:colOff>
      <xdr:row>100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E2BDB706-C169-40FC-92C9-D94EC45B51F9}"/>
            </a:ext>
          </a:extLst>
        </xdr:cNvPr>
        <xdr:cNvSpPr/>
      </xdr:nvSpPr>
      <xdr:spPr>
        <a:xfrm>
          <a:off x="11612880" y="1866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227"/>
  <sheetViews>
    <sheetView tabSelected="1" topLeftCell="A114" zoomScaleNormal="100" workbookViewId="0">
      <selection activeCell="BB147" sqref="BB147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5.109375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12.5546875" hidden="1" customWidth="1" outlineLevel="1"/>
    <col min="33" max="33" width="10.33203125" hidden="1" customWidth="1" outlineLevel="1"/>
    <col min="34" max="34" width="8.109375" hidden="1" customWidth="1" outlineLevel="1"/>
    <col min="35" max="35" width="2.21875" hidden="1" customWidth="1" outlineLevel="1"/>
    <col min="36" max="36" width="3.5546875" customWidth="1" collapsed="1"/>
    <col min="37" max="37" width="9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10.21875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2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7.77734375" customWidth="1"/>
    <col min="59" max="59" width="1.109375" customWidth="1"/>
    <col min="60" max="60" width="3.88671875" customWidth="1"/>
    <col min="61" max="61" width="1.44140625" hidden="1" customWidth="1" outlineLevel="1"/>
    <col min="62" max="62" width="15.10937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549" t="s">
        <v>5</v>
      </c>
      <c r="C1" s="549"/>
      <c r="D1" s="549"/>
    </row>
    <row r="2" spans="2:89" ht="15.6" x14ac:dyDescent="0.3">
      <c r="B2" s="549" t="s">
        <v>6</v>
      </c>
      <c r="C2" s="549"/>
      <c r="D2" s="549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554" t="s">
        <v>13</v>
      </c>
      <c r="C3" s="554"/>
      <c r="D3" s="167"/>
      <c r="E3" s="167"/>
      <c r="F3" s="167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550" t="s">
        <v>11</v>
      </c>
      <c r="K4" s="551"/>
      <c r="L4" s="551"/>
      <c r="M4" s="551"/>
      <c r="N4" s="551"/>
      <c r="O4" s="551"/>
      <c r="P4" s="551"/>
      <c r="Q4" s="551"/>
      <c r="R4" s="551"/>
      <c r="S4" s="551"/>
      <c r="T4" s="551"/>
      <c r="U4" s="551"/>
      <c r="V4" s="551"/>
      <c r="W4" s="551"/>
      <c r="X4" s="551"/>
      <c r="Y4" s="551"/>
      <c r="Z4" s="551"/>
      <c r="AA4" s="551"/>
      <c r="AB4" s="551"/>
      <c r="AC4" s="11"/>
      <c r="AD4" s="326"/>
      <c r="AE4" s="448"/>
      <c r="AF4" s="448"/>
      <c r="AG4" s="448"/>
      <c r="AH4" s="448"/>
      <c r="AI4" s="12"/>
      <c r="AK4" s="565" t="s">
        <v>14</v>
      </c>
      <c r="AL4" s="566"/>
      <c r="AM4" s="566"/>
      <c r="AN4" s="566"/>
      <c r="AO4" s="566"/>
      <c r="AP4" s="566"/>
      <c r="AQ4" s="566"/>
      <c r="AR4" s="566"/>
      <c r="AS4" s="566"/>
      <c r="AT4" s="566"/>
      <c r="AU4" s="566"/>
      <c r="AV4" s="566"/>
      <c r="AW4" s="566"/>
      <c r="AX4" s="566"/>
      <c r="AY4" s="566"/>
      <c r="AZ4" s="566"/>
      <c r="BA4" s="566"/>
      <c r="BB4" s="566"/>
      <c r="BC4" s="566"/>
      <c r="BD4" s="566"/>
      <c r="BE4" s="566"/>
      <c r="BF4" s="566"/>
      <c r="BG4" s="566"/>
      <c r="BH4" s="566"/>
      <c r="BI4" s="566"/>
      <c r="BJ4" s="566"/>
      <c r="BK4" s="566"/>
      <c r="BL4" s="566"/>
      <c r="BM4" s="566"/>
      <c r="BN4" s="566"/>
      <c r="BO4" s="566"/>
      <c r="BP4" s="566"/>
      <c r="BQ4" s="566"/>
      <c r="BR4" s="566"/>
      <c r="BS4" s="566"/>
      <c r="BT4" s="567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4" t="s">
        <v>7</v>
      </c>
      <c r="E6" s="335"/>
      <c r="F6" s="555" t="s">
        <v>12</v>
      </c>
      <c r="G6" s="555"/>
      <c r="H6" s="555"/>
      <c r="I6" s="555"/>
      <c r="J6" s="555"/>
      <c r="K6" s="555"/>
      <c r="L6" s="555"/>
      <c r="M6" s="336"/>
      <c r="N6" s="336"/>
      <c r="O6" s="337"/>
      <c r="P6" s="561" t="s">
        <v>124</v>
      </c>
      <c r="Q6" s="555"/>
      <c r="R6" s="555"/>
      <c r="S6" s="555"/>
      <c r="T6" s="562"/>
      <c r="U6" s="3"/>
      <c r="V6" s="8" t="s">
        <v>7</v>
      </c>
      <c r="W6" s="30"/>
      <c r="X6" s="556">
        <v>1.2500000000000001E-2</v>
      </c>
      <c r="Y6" s="556"/>
      <c r="Z6" s="556"/>
      <c r="AA6" s="556"/>
      <c r="AB6" s="556"/>
      <c r="AC6" s="556"/>
      <c r="AD6" s="556"/>
      <c r="AE6" s="556"/>
      <c r="AF6" s="556"/>
      <c r="AG6" s="556"/>
      <c r="AH6" s="556"/>
      <c r="AI6" s="557"/>
      <c r="AJ6" s="3"/>
      <c r="AK6" s="572" t="s">
        <v>27</v>
      </c>
      <c r="AL6" s="573"/>
      <c r="AM6" s="573"/>
      <c r="AN6" s="573"/>
      <c r="AO6" s="573"/>
      <c r="AP6" s="573"/>
      <c r="AQ6" s="573"/>
      <c r="AR6" s="573"/>
      <c r="AS6" s="573"/>
      <c r="AT6" s="573"/>
      <c r="AU6" s="573"/>
      <c r="AV6" s="573"/>
      <c r="AW6" s="573"/>
      <c r="AX6" s="574"/>
      <c r="AY6" s="3"/>
      <c r="AZ6" s="575" t="s">
        <v>7</v>
      </c>
      <c r="BA6" s="569"/>
      <c r="BB6" s="569"/>
      <c r="BC6" s="97"/>
      <c r="BD6" s="568" t="s">
        <v>26</v>
      </c>
      <c r="BE6" s="568"/>
      <c r="BF6" s="568"/>
      <c r="BG6" s="568"/>
      <c r="BH6" s="568"/>
      <c r="BI6" s="568"/>
      <c r="BJ6" s="568"/>
      <c r="BK6" s="568"/>
      <c r="BL6" s="568"/>
      <c r="BM6" s="568"/>
      <c r="BN6" s="568"/>
      <c r="BO6" s="568"/>
      <c r="BP6" s="568"/>
      <c r="BQ6" s="569"/>
      <c r="BR6" s="569"/>
      <c r="BS6" s="569"/>
      <c r="BT6" s="570"/>
      <c r="BU6" s="3"/>
    </row>
    <row r="7" spans="2:89" ht="16.2" x14ac:dyDescent="0.3">
      <c r="D7" s="552" t="s">
        <v>20</v>
      </c>
      <c r="E7" s="553"/>
      <c r="F7" s="553"/>
      <c r="G7" s="553"/>
      <c r="H7" s="553"/>
      <c r="I7" s="553"/>
      <c r="J7" s="553"/>
      <c r="K7" s="466"/>
      <c r="L7" s="466"/>
      <c r="M7" s="466"/>
      <c r="N7" s="466"/>
      <c r="O7" s="467"/>
      <c r="P7" s="449"/>
      <c r="Q7" s="450"/>
      <c r="R7" s="450"/>
      <c r="S7" s="450"/>
      <c r="T7" s="338"/>
      <c r="U7" s="3"/>
      <c r="V7" s="558" t="s">
        <v>35</v>
      </c>
      <c r="W7" s="559"/>
      <c r="X7" s="559"/>
      <c r="Y7" s="559"/>
      <c r="Z7" s="559"/>
      <c r="AA7" s="559"/>
      <c r="AB7" s="559"/>
      <c r="AC7" s="559"/>
      <c r="AD7" s="559"/>
      <c r="AE7" s="559"/>
      <c r="AF7" s="559"/>
      <c r="AG7" s="559"/>
      <c r="AH7" s="559"/>
      <c r="AI7" s="560"/>
      <c r="AJ7" s="3"/>
      <c r="AK7" s="552" t="s">
        <v>76</v>
      </c>
      <c r="AL7" s="553"/>
      <c r="AM7" s="553"/>
      <c r="AN7" s="553"/>
      <c r="AO7" s="553"/>
      <c r="AP7" s="553"/>
      <c r="AQ7" s="553"/>
      <c r="AR7" s="553"/>
      <c r="AS7" s="553"/>
      <c r="AT7" s="553"/>
      <c r="AU7" s="553"/>
      <c r="AV7" s="553"/>
      <c r="AW7" s="553"/>
      <c r="AX7" s="571"/>
      <c r="AZ7" s="552" t="s">
        <v>25</v>
      </c>
      <c r="BA7" s="553"/>
      <c r="BB7" s="553"/>
      <c r="BC7" s="553"/>
      <c r="BD7" s="553"/>
      <c r="BE7" s="553"/>
      <c r="BF7" s="553"/>
      <c r="BG7" s="553"/>
      <c r="BH7" s="553"/>
      <c r="BI7" s="553"/>
      <c r="BJ7" s="553"/>
      <c r="BK7" s="553"/>
      <c r="BL7" s="553"/>
      <c r="BM7" s="553"/>
      <c r="BN7" s="553"/>
      <c r="BO7" s="553"/>
      <c r="BP7" s="553"/>
      <c r="BQ7" s="553"/>
      <c r="BR7" s="553"/>
      <c r="BS7" s="553"/>
      <c r="BT7" s="571"/>
      <c r="BV7" s="175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9"/>
      <c r="N8" s="332" t="s">
        <v>115</v>
      </c>
      <c r="O8" s="339"/>
      <c r="P8" s="453" t="s">
        <v>1</v>
      </c>
      <c r="Q8" s="329"/>
      <c r="R8" s="53" t="s">
        <v>79</v>
      </c>
      <c r="S8" s="329"/>
      <c r="T8" s="339"/>
      <c r="V8" s="456" t="s">
        <v>1</v>
      </c>
      <c r="W8" s="457"/>
      <c r="X8" s="458" t="s">
        <v>15</v>
      </c>
      <c r="Y8" s="457"/>
      <c r="Z8" s="459" t="s">
        <v>2</v>
      </c>
      <c r="AA8" s="457"/>
      <c r="AB8" s="460" t="s">
        <v>3</v>
      </c>
      <c r="AC8" s="457"/>
      <c r="AD8" s="461" t="s">
        <v>115</v>
      </c>
      <c r="AE8" s="462"/>
      <c r="AF8" s="456" t="s">
        <v>1</v>
      </c>
      <c r="AG8" s="455"/>
      <c r="AH8" s="461" t="s">
        <v>125</v>
      </c>
      <c r="AI8" s="48"/>
      <c r="AK8" s="20" t="s">
        <v>1</v>
      </c>
      <c r="AL8" s="327"/>
      <c r="AM8" s="345" t="s">
        <v>15</v>
      </c>
      <c r="AN8" s="327"/>
      <c r="AO8" s="73" t="s">
        <v>2</v>
      </c>
      <c r="AP8" s="327"/>
      <c r="AQ8" s="328" t="s">
        <v>3</v>
      </c>
      <c r="AR8" s="327"/>
      <c r="AS8" s="345" t="s">
        <v>15</v>
      </c>
      <c r="AT8" s="327"/>
      <c r="AU8" s="346" t="s">
        <v>16</v>
      </c>
      <c r="AV8" s="343"/>
      <c r="AW8" s="347" t="s">
        <v>115</v>
      </c>
      <c r="AX8" s="348"/>
      <c r="AZ8" s="563" t="s">
        <v>1</v>
      </c>
      <c r="BA8" s="564"/>
      <c r="BB8" s="564"/>
      <c r="BC8" s="64"/>
      <c r="BD8" s="564" t="s">
        <v>24</v>
      </c>
      <c r="BE8" s="564"/>
      <c r="BF8" s="564"/>
      <c r="BG8" s="564"/>
      <c r="BH8" s="576"/>
      <c r="BI8" s="577" t="s">
        <v>124</v>
      </c>
      <c r="BJ8" s="578"/>
      <c r="BK8" s="578"/>
      <c r="BL8" s="579"/>
      <c r="BM8" s="563" t="s">
        <v>24</v>
      </c>
      <c r="BN8" s="564"/>
      <c r="BO8" s="564"/>
      <c r="BP8" s="64"/>
      <c r="BQ8" s="105"/>
      <c r="BR8" s="465"/>
      <c r="BS8" s="106"/>
      <c r="BT8" s="182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49"/>
      <c r="AZ9" s="451" t="s">
        <v>36</v>
      </c>
      <c r="BA9" s="64"/>
      <c r="BB9" s="98" t="s">
        <v>2</v>
      </c>
      <c r="BC9" s="65"/>
      <c r="BD9" s="452" t="s">
        <v>36</v>
      </c>
      <c r="BE9" s="64"/>
      <c r="BF9" s="63" t="s">
        <v>10</v>
      </c>
      <c r="BG9" s="156"/>
      <c r="BH9" s="463" t="s">
        <v>15</v>
      </c>
      <c r="BI9" s="64"/>
      <c r="BJ9" s="452" t="s">
        <v>126</v>
      </c>
      <c r="BK9" s="64"/>
      <c r="BL9" s="63" t="s">
        <v>10</v>
      </c>
      <c r="BM9" s="464" t="s">
        <v>115</v>
      </c>
      <c r="BN9" s="64"/>
      <c r="BO9" s="104" t="s">
        <v>2</v>
      </c>
      <c r="BP9" s="353"/>
      <c r="BQ9" s="105" t="s">
        <v>22</v>
      </c>
      <c r="BR9" s="64"/>
      <c r="BS9" s="106" t="s">
        <v>15</v>
      </c>
      <c r="BT9" s="183"/>
    </row>
    <row r="10" spans="2:89" x14ac:dyDescent="0.3">
      <c r="B10" s="171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2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49"/>
      <c r="AY10" s="1"/>
      <c r="AZ10" s="66"/>
      <c r="BA10" s="67"/>
      <c r="BB10" s="67"/>
      <c r="BC10" s="67"/>
      <c r="BD10" s="67"/>
      <c r="BE10" s="67"/>
      <c r="BF10" s="67"/>
      <c r="BG10" s="67"/>
      <c r="BH10" s="184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4"/>
      <c r="BU10" s="1"/>
      <c r="BV10">
        <v>1</v>
      </c>
    </row>
    <row r="11" spans="2:89" x14ac:dyDescent="0.3">
      <c r="B11" s="477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4"/>
      <c r="Q11" s="60"/>
      <c r="R11" s="60"/>
      <c r="S11" s="60"/>
      <c r="T11" s="42"/>
      <c r="U11" s="478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2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49"/>
      <c r="AY11" s="1"/>
      <c r="AZ11" s="66"/>
      <c r="BA11" s="67"/>
      <c r="BB11" s="67"/>
      <c r="BC11" s="67"/>
      <c r="BD11" s="67"/>
      <c r="BE11" s="67"/>
      <c r="BF11" s="67"/>
      <c r="BG11" s="67"/>
      <c r="BH11" s="184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4"/>
      <c r="BU11" s="1"/>
      <c r="BV11">
        <f>+BV10+1</f>
        <v>2</v>
      </c>
    </row>
    <row r="12" spans="2:89" x14ac:dyDescent="0.3">
      <c r="B12" s="391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4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2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2">
        <f t="shared" ref="AU12:AU43" si="9">+AO12/H12</f>
        <v>5.2977767195452243E-3</v>
      </c>
      <c r="AV12" s="342"/>
      <c r="AW12" s="24">
        <f t="shared" ref="AW12:AW43" si="10">+AO12/BV12</f>
        <v>59.333333333333336</v>
      </c>
      <c r="AX12" s="350"/>
      <c r="AY12" s="1"/>
      <c r="AZ12" s="66"/>
      <c r="BA12" s="67"/>
      <c r="BB12" s="67"/>
      <c r="BC12" s="67"/>
      <c r="BD12" s="67"/>
      <c r="BE12" s="67"/>
      <c r="BF12" s="67"/>
      <c r="BG12" s="67"/>
      <c r="BH12" s="184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4"/>
      <c r="BU12" s="1"/>
      <c r="BV12">
        <f t="shared" ref="BV12:BV76" si="11">+BV11+1</f>
        <v>3</v>
      </c>
    </row>
    <row r="13" spans="2:89" x14ac:dyDescent="0.3">
      <c r="B13" s="171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4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2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2">
        <f t="shared" si="9"/>
        <v>6.740238078917906E-3</v>
      </c>
      <c r="AV13" s="342"/>
      <c r="AW13" s="24">
        <f t="shared" si="10"/>
        <v>73.75</v>
      </c>
      <c r="AX13" s="352"/>
      <c r="AY13" s="1"/>
      <c r="AZ13" s="66"/>
      <c r="BA13" s="67"/>
      <c r="BB13" s="67"/>
      <c r="BC13" s="67"/>
      <c r="BD13" s="67"/>
      <c r="BE13" s="67"/>
      <c r="BF13" s="67"/>
      <c r="BG13" s="67"/>
      <c r="BH13" s="184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4"/>
      <c r="BU13" s="1"/>
      <c r="BV13">
        <f t="shared" si="11"/>
        <v>4</v>
      </c>
    </row>
    <row r="14" spans="2:89" x14ac:dyDescent="0.3">
      <c r="B14" s="171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4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2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2">
        <f t="shared" si="9"/>
        <v>6.8907685576782849E-3</v>
      </c>
      <c r="AV14" s="342"/>
      <c r="AW14" s="24">
        <f t="shared" si="10"/>
        <v>75.599999999999994</v>
      </c>
      <c r="AX14" s="352"/>
      <c r="AY14" s="1"/>
      <c r="AZ14" s="66"/>
      <c r="BA14" s="67"/>
      <c r="BB14" s="67"/>
      <c r="BC14" s="67"/>
      <c r="BD14" s="67"/>
      <c r="BE14" s="67"/>
      <c r="BF14" s="67"/>
      <c r="BG14" s="67"/>
      <c r="BH14" s="184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4"/>
      <c r="BU14" s="1"/>
      <c r="BV14">
        <f t="shared" si="11"/>
        <v>5</v>
      </c>
      <c r="CK14" s="56"/>
    </row>
    <row r="15" spans="2:89" x14ac:dyDescent="0.3">
      <c r="B15" s="171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4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2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2">
        <f t="shared" si="9"/>
        <v>5.7761944554397381E-3</v>
      </c>
      <c r="AV15" s="342"/>
      <c r="AW15" s="24">
        <f t="shared" si="10"/>
        <v>65.666666666666671</v>
      </c>
      <c r="AX15" s="352"/>
      <c r="AY15" s="1"/>
      <c r="AZ15" s="66"/>
      <c r="BA15" s="67"/>
      <c r="BB15" s="67"/>
      <c r="BC15" s="67"/>
      <c r="BD15" s="67"/>
      <c r="BE15" s="67"/>
      <c r="BF15" s="67"/>
      <c r="BG15" s="67"/>
      <c r="BH15" s="184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4"/>
      <c r="BU15" s="1"/>
      <c r="BV15">
        <f t="shared" si="11"/>
        <v>6</v>
      </c>
      <c r="CK15" s="56"/>
    </row>
    <row r="16" spans="2:89" x14ac:dyDescent="0.3">
      <c r="B16" s="171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4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2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2">
        <f t="shared" si="9"/>
        <v>2.1864575408205068E-2</v>
      </c>
      <c r="AV16" s="342"/>
      <c r="AW16" s="24">
        <f t="shared" si="10"/>
        <v>266.85714285714283</v>
      </c>
      <c r="AX16" s="352"/>
      <c r="AY16" s="1"/>
      <c r="AZ16" s="66"/>
      <c r="BA16" s="67"/>
      <c r="BB16" s="67"/>
      <c r="BC16" s="67"/>
      <c r="BD16" s="67"/>
      <c r="BE16" s="67"/>
      <c r="BF16" s="67"/>
      <c r="BG16" s="67"/>
      <c r="BH16" s="184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4"/>
      <c r="BU16" s="1"/>
      <c r="BV16">
        <f t="shared" si="11"/>
        <v>7</v>
      </c>
      <c r="CK16" s="56"/>
    </row>
    <row r="17" spans="2:89" x14ac:dyDescent="0.3">
      <c r="B17" s="171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4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2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2">
        <f t="shared" si="9"/>
        <v>2.4220655744002458E-2</v>
      </c>
      <c r="AV17" s="342"/>
      <c r="AW17" s="24">
        <f t="shared" si="10"/>
        <v>315.25</v>
      </c>
      <c r="AX17" s="352"/>
      <c r="AY17" s="1"/>
      <c r="AZ17" s="66"/>
      <c r="BA17" s="67"/>
      <c r="BB17" s="67"/>
      <c r="BC17" s="67"/>
      <c r="BD17" s="67"/>
      <c r="BE17" s="67"/>
      <c r="BF17" s="67"/>
      <c r="BG17" s="67"/>
      <c r="BH17" s="184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4"/>
      <c r="BU17" s="1"/>
      <c r="BV17">
        <f t="shared" si="11"/>
        <v>8</v>
      </c>
      <c r="CK17" s="56"/>
    </row>
    <row r="18" spans="2:89" x14ac:dyDescent="0.3">
      <c r="B18" s="477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4"/>
      <c r="Q18" s="60"/>
      <c r="R18" s="60"/>
      <c r="S18" s="60"/>
      <c r="T18" s="42"/>
      <c r="U18" s="478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2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2">
        <f t="shared" si="9"/>
        <v>2.6145430416417162E-2</v>
      </c>
      <c r="AV18" s="342"/>
      <c r="AW18" s="24">
        <f t="shared" si="10"/>
        <v>359</v>
      </c>
      <c r="AX18" s="352"/>
      <c r="AY18" s="1"/>
      <c r="AZ18" s="66"/>
      <c r="BA18" s="67"/>
      <c r="BB18" s="67"/>
      <c r="BC18" s="67"/>
      <c r="BD18" s="67"/>
      <c r="BE18" s="67"/>
      <c r="BF18" s="67"/>
      <c r="BG18" s="67"/>
      <c r="BH18" s="184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4"/>
      <c r="BU18" s="1"/>
      <c r="BV18">
        <f t="shared" si="11"/>
        <v>9</v>
      </c>
      <c r="CK18" s="56"/>
    </row>
    <row r="19" spans="2:89" x14ac:dyDescent="0.3">
      <c r="B19" s="391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4"/>
      <c r="Q19" s="60"/>
      <c r="R19" s="60"/>
      <c r="S19" s="60"/>
      <c r="T19" s="42"/>
      <c r="U19" s="392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2"/>
      <c r="AD19" s="33">
        <f t="shared" si="5"/>
        <v>258.3</v>
      </c>
      <c r="AE19" s="50"/>
      <c r="AF19" s="33"/>
      <c r="AG19" s="33"/>
      <c r="AH19" s="33"/>
      <c r="AI19" s="49"/>
      <c r="AJ19" s="392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2">
        <f t="shared" si="9"/>
        <v>3.1772027513920734E-2</v>
      </c>
      <c r="AV19" s="342"/>
      <c r="AW19" s="24">
        <f t="shared" si="10"/>
        <v>455.9</v>
      </c>
      <c r="AX19" s="352"/>
      <c r="AY19" s="392"/>
      <c r="AZ19" s="66"/>
      <c r="BA19" s="67"/>
      <c r="BB19" s="67"/>
      <c r="BC19" s="67"/>
      <c r="BD19" s="67"/>
      <c r="BE19" s="67"/>
      <c r="BF19" s="67"/>
      <c r="BG19" s="67"/>
      <c r="BH19" s="184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4"/>
      <c r="BU19" s="1"/>
      <c r="BV19">
        <f t="shared" si="11"/>
        <v>10</v>
      </c>
      <c r="CK19" s="56"/>
    </row>
    <row r="20" spans="2:89" x14ac:dyDescent="0.3">
      <c r="B20" s="172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4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2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2">
        <f t="shared" si="9"/>
        <v>3.3605136593344888E-2</v>
      </c>
      <c r="AV20" s="342"/>
      <c r="AW20" s="24">
        <f t="shared" si="10"/>
        <v>500.54545454545456</v>
      </c>
      <c r="AX20" s="352"/>
      <c r="AY20" s="10"/>
      <c r="AZ20" s="66"/>
      <c r="BA20" s="67"/>
      <c r="BB20" s="67"/>
      <c r="BC20" s="67"/>
      <c r="BD20" s="67"/>
      <c r="BE20" s="67"/>
      <c r="BF20" s="67"/>
      <c r="BG20" s="67"/>
      <c r="BH20" s="184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4"/>
      <c r="BU20" s="1"/>
      <c r="BV20">
        <f t="shared" si="11"/>
        <v>11</v>
      </c>
      <c r="CK20" s="56"/>
    </row>
    <row r="21" spans="2:89" x14ac:dyDescent="0.3">
      <c r="B21" s="172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4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2">
        <f t="shared" si="9"/>
        <v>3.8449301644872896E-2</v>
      </c>
      <c r="AV21" s="342"/>
      <c r="AW21" s="24">
        <f t="shared" si="10"/>
        <v>604.25</v>
      </c>
      <c r="AX21" s="352"/>
      <c r="AY21" s="1"/>
      <c r="AZ21" s="66"/>
      <c r="BA21" s="67"/>
      <c r="BB21" s="67"/>
      <c r="BC21" s="67"/>
      <c r="BD21" s="67"/>
      <c r="BE21" s="67"/>
      <c r="BF21" s="67"/>
      <c r="BG21" s="67"/>
      <c r="BH21" s="184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4"/>
      <c r="BU21" s="1"/>
      <c r="BV21">
        <f t="shared" si="11"/>
        <v>12</v>
      </c>
      <c r="CK21" s="56"/>
    </row>
    <row r="22" spans="2:89" x14ac:dyDescent="0.3">
      <c r="B22" s="172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4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2">
        <f t="shared" si="9"/>
        <v>4.1281694790731849E-2</v>
      </c>
      <c r="AV22" s="342"/>
      <c r="AW22" s="24">
        <f t="shared" si="10"/>
        <v>682.92307692307691</v>
      </c>
      <c r="AX22" s="352"/>
      <c r="AY22" s="1"/>
      <c r="AZ22" s="66"/>
      <c r="BA22" s="67"/>
      <c r="BB22" s="67"/>
      <c r="BC22" s="67"/>
      <c r="BD22" s="67"/>
      <c r="BE22" s="67"/>
      <c r="BF22" s="67"/>
      <c r="BG22" s="67"/>
      <c r="BH22" s="184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4"/>
      <c r="BU22" s="1"/>
      <c r="BV22">
        <f t="shared" si="11"/>
        <v>13</v>
      </c>
    </row>
    <row r="23" spans="2:89" x14ac:dyDescent="0.3">
      <c r="B23" s="172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4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2">
        <f t="shared" si="9"/>
        <v>4.2482552465115141E-2</v>
      </c>
      <c r="AV23" s="342"/>
      <c r="AW23" s="24">
        <f t="shared" si="10"/>
        <v>743.07142857142856</v>
      </c>
      <c r="AX23" s="352"/>
      <c r="AY23" s="1"/>
      <c r="AZ23" s="66"/>
      <c r="BA23" s="67"/>
      <c r="BB23" s="67"/>
      <c r="BC23" s="67"/>
      <c r="BD23" s="67"/>
      <c r="BE23" s="67"/>
      <c r="BF23" s="67"/>
      <c r="BG23" s="67"/>
      <c r="BH23" s="184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4"/>
      <c r="BU23" s="1"/>
      <c r="BV23">
        <f t="shared" si="11"/>
        <v>14</v>
      </c>
    </row>
    <row r="24" spans="2:89" x14ac:dyDescent="0.3">
      <c r="B24" s="172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0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4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+Z23+V24+21+653</f>
        <v>7795</v>
      </c>
      <c r="AA24" s="340" t="s">
        <v>47</v>
      </c>
      <c r="AB24" s="46">
        <f t="shared" si="4"/>
        <v>2.7891981636735116E-2</v>
      </c>
      <c r="AC24" s="33"/>
      <c r="AD24" s="33">
        <f t="shared" si="5"/>
        <v>519.66666666666663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2">
        <f t="shared" si="9"/>
        <v>4.3789874441355278E-2</v>
      </c>
      <c r="AV24" s="342"/>
      <c r="AW24" s="24">
        <f t="shared" si="10"/>
        <v>815.86666666666667</v>
      </c>
      <c r="AX24" s="352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4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4"/>
      <c r="BU24" s="1"/>
      <c r="BV24">
        <f t="shared" si="11"/>
        <v>15</v>
      </c>
    </row>
    <row r="25" spans="2:89" x14ac:dyDescent="0.3">
      <c r="B25" s="477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78"/>
      <c r="V25" s="34">
        <f>1331-1</f>
        <v>1330</v>
      </c>
      <c r="W25" s="33"/>
      <c r="X25" s="33"/>
      <c r="Y25" s="33"/>
      <c r="Z25" s="33">
        <f t="shared" ref="Z25:Z34" si="15">+Z24+V25</f>
        <v>9125</v>
      </c>
      <c r="AA25" s="33"/>
      <c r="AB25" s="46">
        <f t="shared" si="4"/>
        <v>2.9091361220657575E-2</v>
      </c>
      <c r="AC25" s="33"/>
      <c r="AD25" s="33">
        <f t="shared" si="5"/>
        <v>570.3125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2">
        <f t="shared" si="9"/>
        <v>4.726349918862998E-2</v>
      </c>
      <c r="AV25" s="342"/>
      <c r="AW25" s="24">
        <f t="shared" si="10"/>
        <v>926.5625</v>
      </c>
      <c r="AX25" s="352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4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4"/>
      <c r="BU25" s="1"/>
      <c r="BV25">
        <f t="shared" si="11"/>
        <v>16</v>
      </c>
    </row>
    <row r="26" spans="2:89" x14ac:dyDescent="0.3">
      <c r="B26" s="391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2"/>
      <c r="V26" s="34">
        <v>1165</v>
      </c>
      <c r="W26" s="33"/>
      <c r="X26" s="33"/>
      <c r="Y26" s="33"/>
      <c r="Z26" s="33">
        <f t="shared" si="15"/>
        <v>10290</v>
      </c>
      <c r="AA26" s="33"/>
      <c r="AB26" s="46">
        <f t="shared" si="4"/>
        <v>3.0355504553325682E-2</v>
      </c>
      <c r="AC26" s="33"/>
      <c r="AD26" s="33">
        <f t="shared" si="5"/>
        <v>605.29411764705878</v>
      </c>
      <c r="AE26" s="50"/>
      <c r="AF26" s="33">
        <f>SUM(V20:V26)</f>
        <v>7033</v>
      </c>
      <c r="AG26" s="33"/>
      <c r="AH26" s="33"/>
      <c r="AI26" s="50"/>
      <c r="AJ26" s="392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2">
        <f t="shared" si="9"/>
        <v>5.3032157954823696E-2</v>
      </c>
      <c r="AV26" s="342"/>
      <c r="AW26" s="24">
        <f t="shared" si="10"/>
        <v>1057.4705882352941</v>
      </c>
      <c r="AX26" s="352"/>
      <c r="AY26" s="392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4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4"/>
      <c r="BU26" s="1"/>
      <c r="BV26">
        <f t="shared" si="11"/>
        <v>17</v>
      </c>
    </row>
    <row r="27" spans="2:89" x14ac:dyDescent="0.3">
      <c r="B27" s="172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11545</v>
      </c>
      <c r="AA27" s="33"/>
      <c r="AB27" s="46">
        <f t="shared" si="4"/>
        <v>3.1186435183809525E-2</v>
      </c>
      <c r="AC27" s="33"/>
      <c r="AD27" s="33">
        <f t="shared" si="5"/>
        <v>641.38888888888891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2">
        <f t="shared" si="9"/>
        <v>5.3137147379880227E-2</v>
      </c>
      <c r="AV27" s="342"/>
      <c r="AW27" s="24">
        <f t="shared" si="10"/>
        <v>1092.8333333333333</v>
      </c>
      <c r="AX27" s="352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4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4"/>
      <c r="BU27" s="1"/>
      <c r="BV27">
        <f t="shared" si="11"/>
        <v>18</v>
      </c>
    </row>
    <row r="28" spans="2:89" x14ac:dyDescent="0.3">
      <c r="B28" s="172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13515</v>
      </c>
      <c r="AA28" s="33"/>
      <c r="AB28" s="46">
        <f t="shared" si="4"/>
        <v>3.3481728117962704E-2</v>
      </c>
      <c r="AC28" s="33"/>
      <c r="AD28" s="33">
        <f t="shared" si="5"/>
        <v>711.31578947368416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2">
        <f t="shared" si="9"/>
        <v>5.3694633757212257E-2</v>
      </c>
      <c r="AV28" s="342"/>
      <c r="AW28" s="24">
        <f t="shared" si="10"/>
        <v>1140.7368421052631</v>
      </c>
      <c r="AX28" s="352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4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4"/>
      <c r="BU28" s="1"/>
      <c r="BV28">
        <f t="shared" si="11"/>
        <v>19</v>
      </c>
    </row>
    <row r="29" spans="2:89" x14ac:dyDescent="0.3">
      <c r="B29" s="172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15465</v>
      </c>
      <c r="AA29" s="33"/>
      <c r="AB29" s="46">
        <f t="shared" si="4"/>
        <v>3.5503732885203448E-2</v>
      </c>
      <c r="AC29" s="33"/>
      <c r="AD29" s="33">
        <f t="shared" si="5"/>
        <v>773.25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2">
        <f t="shared" si="9"/>
        <v>5.2551952762702372E-2</v>
      </c>
      <c r="AV29" s="342"/>
      <c r="AW29" s="24">
        <f t="shared" si="10"/>
        <v>1144.55</v>
      </c>
      <c r="AX29" s="352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4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4"/>
      <c r="BU29" s="1"/>
      <c r="BV29">
        <f t="shared" si="11"/>
        <v>20</v>
      </c>
    </row>
    <row r="30" spans="2:89" x14ac:dyDescent="0.3">
      <c r="B30" s="172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17365</v>
      </c>
      <c r="AA30" s="33"/>
      <c r="AB30" s="46">
        <f t="shared" si="4"/>
        <v>3.7015799660644097E-2</v>
      </c>
      <c r="AC30" s="33"/>
      <c r="AD30" s="33">
        <f t="shared" si="5"/>
        <v>826.90476190476193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2">
        <f t="shared" si="9"/>
        <v>5.5268969398282755E-2</v>
      </c>
      <c r="AV30" s="342"/>
      <c r="AW30" s="24">
        <f t="shared" si="10"/>
        <v>1234.6666666666667</v>
      </c>
      <c r="AX30" s="352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4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4"/>
      <c r="BU30" s="1"/>
      <c r="BV30">
        <f t="shared" si="11"/>
        <v>21</v>
      </c>
    </row>
    <row r="31" spans="2:89" x14ac:dyDescent="0.3">
      <c r="B31" s="172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19400</v>
      </c>
      <c r="AA31" s="33"/>
      <c r="AB31" s="46">
        <f t="shared" si="4"/>
        <v>3.8578098775841362E-2</v>
      </c>
      <c r="AC31" s="33"/>
      <c r="AD31" s="33">
        <f t="shared" si="5"/>
        <v>881.81818181818187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2">
        <f t="shared" si="9"/>
        <v>5.4315576802233555E-2</v>
      </c>
      <c r="AV31" s="342"/>
      <c r="AW31" s="24">
        <f t="shared" si="10"/>
        <v>1241.5454545454545</v>
      </c>
      <c r="AX31" s="352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4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4"/>
      <c r="BU31" s="1"/>
      <c r="BV31">
        <f t="shared" si="11"/>
        <v>22</v>
      </c>
    </row>
    <row r="32" spans="2:89" x14ac:dyDescent="0.3">
      <c r="B32" s="477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78"/>
      <c r="V32" s="34">
        <v>1830</v>
      </c>
      <c r="W32" s="33"/>
      <c r="X32" s="33"/>
      <c r="Y32" s="33"/>
      <c r="Z32" s="33">
        <f t="shared" si="15"/>
        <v>21230</v>
      </c>
      <c r="AA32" s="33"/>
      <c r="AB32" s="46">
        <f t="shared" si="4"/>
        <v>3.9840188860885868E-2</v>
      </c>
      <c r="AC32" s="33"/>
      <c r="AD32" s="33">
        <f t="shared" si="5"/>
        <v>923.04347826086962</v>
      </c>
      <c r="AE32" s="50"/>
      <c r="AF32" s="33"/>
      <c r="AG32" s="33"/>
      <c r="AH32" s="232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2">
        <f t="shared" si="9"/>
        <v>5.7148058001910376E-2</v>
      </c>
      <c r="AV32" s="342"/>
      <c r="AW32" s="24">
        <f t="shared" si="10"/>
        <v>1324.0434782608695</v>
      </c>
      <c r="AX32" s="352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4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4"/>
      <c r="BU32" s="1"/>
      <c r="BV32">
        <f t="shared" si="11"/>
        <v>23</v>
      </c>
    </row>
    <row r="33" spans="2:74" x14ac:dyDescent="0.3">
      <c r="B33" s="391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2"/>
      <c r="V33" s="34">
        <v>1528</v>
      </c>
      <c r="W33" s="33"/>
      <c r="X33" s="33"/>
      <c r="Y33" s="33"/>
      <c r="Z33" s="33">
        <f t="shared" si="15"/>
        <v>22758</v>
      </c>
      <c r="AA33" s="33"/>
      <c r="AB33" s="46">
        <f t="shared" si="4"/>
        <v>4.0617526325182937E-2</v>
      </c>
      <c r="AC33" s="33"/>
      <c r="AD33" s="33">
        <f t="shared" si="5"/>
        <v>948.25</v>
      </c>
      <c r="AE33" s="50"/>
      <c r="AF33" s="33">
        <f>SUM(V27:V33)</f>
        <v>12468</v>
      </c>
      <c r="AG33" s="33"/>
      <c r="AH33" s="232">
        <f>+(AF33-AF26)/AF26</f>
        <v>0.77278544006824967</v>
      </c>
      <c r="AI33" s="50"/>
      <c r="AJ33" s="392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2">
        <f t="shared" si="9"/>
        <v>5.8243797965375689E-2</v>
      </c>
      <c r="AV33" s="342"/>
      <c r="AW33" s="24">
        <f t="shared" si="10"/>
        <v>1359.75</v>
      </c>
      <c r="AX33" s="352"/>
      <c r="AY33" s="392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4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4"/>
      <c r="BU33" s="1"/>
      <c r="BV33">
        <f t="shared" si="11"/>
        <v>24</v>
      </c>
    </row>
    <row r="34" spans="2:74" x14ac:dyDescent="0.3">
      <c r="B34" s="172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24293</v>
      </c>
      <c r="AA34" s="33"/>
      <c r="AB34" s="46">
        <f t="shared" si="4"/>
        <v>4.1389168587643389E-2</v>
      </c>
      <c r="AC34" s="33"/>
      <c r="AD34" s="33">
        <f t="shared" si="5"/>
        <v>971.72</v>
      </c>
      <c r="AE34" s="50"/>
      <c r="AF34" s="33"/>
      <c r="AG34" s="33"/>
      <c r="AH34" s="232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2">
        <f t="shared" si="9"/>
        <v>6.1767707486783167E-2</v>
      </c>
      <c r="AV34" s="342"/>
      <c r="AW34" s="24">
        <f t="shared" si="10"/>
        <v>1450.16</v>
      </c>
      <c r="AX34" s="352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4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4"/>
      <c r="BU34" s="1"/>
      <c r="BV34">
        <f t="shared" si="11"/>
        <v>25</v>
      </c>
    </row>
    <row r="35" spans="2:74" x14ac:dyDescent="0.3">
      <c r="B35" s="172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1" t="s">
        <v>68</v>
      </c>
      <c r="J35" s="38">
        <f t="shared" si="1"/>
        <v>5.2339161857835798E-2</v>
      </c>
      <c r="K35" s="16"/>
      <c r="L35" s="16"/>
      <c r="M35" s="16"/>
      <c r="N35" s="16">
        <f t="shared" si="2"/>
        <v>24763.538461538461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+Z34+V35+3778+317+73+3+2024</f>
        <v>32895</v>
      </c>
      <c r="AA35" s="341" t="s">
        <v>68</v>
      </c>
      <c r="AB35" s="46">
        <f t="shared" si="4"/>
        <v>5.1090933941340559E-2</v>
      </c>
      <c r="AC35" s="33"/>
      <c r="AD35" s="33">
        <f t="shared" si="5"/>
        <v>1265.1923076923076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2">
        <f t="shared" si="9"/>
        <v>6.0293359343451598E-2</v>
      </c>
      <c r="AV35" s="342"/>
      <c r="AW35" s="24">
        <f t="shared" si="10"/>
        <v>1493.0769230769231</v>
      </c>
      <c r="AX35" s="352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4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4"/>
      <c r="BU35" s="1"/>
      <c r="BV35">
        <f t="shared" si="11"/>
        <v>26</v>
      </c>
    </row>
    <row r="36" spans="2:74" x14ac:dyDescent="0.3">
      <c r="B36" s="172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>
        <f t="shared" si="2"/>
        <v>24970.14814814815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35513</v>
      </c>
      <c r="AA36" s="33"/>
      <c r="AB36" s="46">
        <f t="shared" si="4"/>
        <v>5.2674749404474086E-2</v>
      </c>
      <c r="AC36" s="33"/>
      <c r="AD36" s="33">
        <f t="shared" si="5"/>
        <v>1315.2962962962963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2">
        <f t="shared" si="9"/>
        <v>7.2235884626680152E-2</v>
      </c>
      <c r="AV36" s="342"/>
      <c r="AW36" s="24">
        <f t="shared" si="10"/>
        <v>1803.7407407407406</v>
      </c>
      <c r="AX36" s="352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4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4"/>
      <c r="BU36" s="1"/>
      <c r="BV36">
        <f t="shared" si="11"/>
        <v>27</v>
      </c>
    </row>
    <row r="37" spans="2:74" x14ac:dyDescent="0.3">
      <c r="B37" s="172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>
        <f t="shared" si="2"/>
        <v>25134.321428571428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37689</v>
      </c>
      <c r="AA37" s="33"/>
      <c r="AB37" s="46">
        <f t="shared" si="4"/>
        <v>5.3553692233584985E-2</v>
      </c>
      <c r="AC37" s="33"/>
      <c r="AD37" s="33">
        <f t="shared" si="5"/>
        <v>1346.0357142857142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2">
        <f t="shared" si="9"/>
        <v>8.1715241395871607E-2</v>
      </c>
      <c r="AV37" s="342"/>
      <c r="AW37" s="24">
        <f t="shared" si="10"/>
        <v>2053.8571428571427</v>
      </c>
      <c r="AX37" s="352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4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4"/>
      <c r="BU37" s="1"/>
      <c r="BV37">
        <f t="shared" si="11"/>
        <v>28</v>
      </c>
    </row>
    <row r="38" spans="2:74" x14ac:dyDescent="0.3">
      <c r="B38" s="172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>
        <f t="shared" si="2"/>
        <v>25376.758620689656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40217</v>
      </c>
      <c r="AA38" s="33"/>
      <c r="AB38" s="46">
        <f t="shared" si="4"/>
        <v>5.4648157559319822E-2</v>
      </c>
      <c r="AC38" s="33"/>
      <c r="AD38" s="33">
        <f t="shared" si="5"/>
        <v>1386.7931034482758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2">
        <f t="shared" si="9"/>
        <v>8.2222940893513743E-2</v>
      </c>
      <c r="AV38" s="342"/>
      <c r="AW38" s="24">
        <f t="shared" si="10"/>
        <v>2086.5517241379312</v>
      </c>
      <c r="AX38" s="352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4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4"/>
      <c r="BU38" s="1"/>
      <c r="BV38">
        <f t="shared" si="11"/>
        <v>29</v>
      </c>
    </row>
    <row r="39" spans="2:74" x14ac:dyDescent="0.3">
      <c r="B39" s="296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>
        <f t="shared" si="2"/>
        <v>25499.433333333334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42084</v>
      </c>
      <c r="AA39" s="33"/>
      <c r="AB39" s="46">
        <f t="shared" si="4"/>
        <v>5.5012987216709393E-2</v>
      </c>
      <c r="AC39" s="33"/>
      <c r="AD39" s="33">
        <f t="shared" si="5"/>
        <v>1402.8</v>
      </c>
      <c r="AE39" s="50"/>
      <c r="AF39" s="33"/>
      <c r="AG39" s="33"/>
      <c r="AH39" s="232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2">
        <f t="shared" si="9"/>
        <v>8.9242506042617936E-2</v>
      </c>
      <c r="AV39" s="342"/>
      <c r="AW39" s="24">
        <f t="shared" si="10"/>
        <v>2275.6333333333332</v>
      </c>
      <c r="AX39" s="352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4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4"/>
      <c r="BU39" s="90"/>
      <c r="BV39" s="110">
        <f t="shared" si="11"/>
        <v>30</v>
      </c>
    </row>
    <row r="40" spans="2:74" x14ac:dyDescent="0.3">
      <c r="B40" s="391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>
        <f t="shared" si="2"/>
        <v>25521.483870967742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2"/>
      <c r="V40" s="34">
        <v>1570</v>
      </c>
      <c r="W40" s="33"/>
      <c r="X40" s="33"/>
      <c r="Y40" s="33"/>
      <c r="Z40" s="33">
        <f t="shared" si="19"/>
        <v>43654</v>
      </c>
      <c r="AA40" s="33"/>
      <c r="AB40" s="46">
        <f t="shared" si="4"/>
        <v>5.5176789700265176E-2</v>
      </c>
      <c r="AC40" s="33"/>
      <c r="AD40" s="33">
        <f t="shared" si="5"/>
        <v>1408.1935483870968</v>
      </c>
      <c r="AE40" s="50"/>
      <c r="AF40" s="33">
        <f>SUM(V34:V40)</f>
        <v>14701</v>
      </c>
      <c r="AG40" s="33"/>
      <c r="AH40" s="232">
        <f>+(AF40-AF33)/AF33</f>
        <v>0.17909849213987808</v>
      </c>
      <c r="AI40" s="50"/>
      <c r="AJ40" s="392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2">
        <f t="shared" si="9"/>
        <v>8.9744756473357043E-2</v>
      </c>
      <c r="AV40" s="342"/>
      <c r="AW40" s="24">
        <f t="shared" si="10"/>
        <v>2290.4193548387098</v>
      </c>
      <c r="AX40" s="352"/>
      <c r="AY40" s="392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4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4"/>
      <c r="BU40" s="1"/>
      <c r="BV40">
        <f t="shared" si="11"/>
        <v>31</v>
      </c>
    </row>
    <row r="41" spans="2:74" x14ac:dyDescent="0.3">
      <c r="B41" s="172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>
        <f t="shared" si="2"/>
        <v>25603.40625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45606</v>
      </c>
      <c r="AA41" s="33"/>
      <c r="AB41" s="46">
        <f t="shared" si="4"/>
        <v>5.5663980256533248E-2</v>
      </c>
      <c r="AC41" s="33"/>
      <c r="AD41" s="33">
        <f t="shared" si="5"/>
        <v>1425.1875</v>
      </c>
      <c r="AE41" s="50"/>
      <c r="AF41" s="33"/>
      <c r="AG41" s="33"/>
      <c r="AH41" s="232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2">
        <f t="shared" si="9"/>
        <v>8.8353722466126938E-2</v>
      </c>
      <c r="AV41" s="342"/>
      <c r="AW41" s="24">
        <f t="shared" si="10"/>
        <v>2262.15625</v>
      </c>
      <c r="AX41" s="352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4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4"/>
      <c r="BU41" s="1"/>
      <c r="BV41">
        <f t="shared" si="11"/>
        <v>32</v>
      </c>
    </row>
    <row r="42" spans="2:74" x14ac:dyDescent="0.3">
      <c r="B42" s="172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>
        <f t="shared" ref="N42:N68" si="22">+H42/BV42</f>
        <v>25618.60606060606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48289</v>
      </c>
      <c r="AA42" s="33"/>
      <c r="AB42" s="46">
        <f t="shared" ref="AB42:AB68" si="23">+Z42/H42</f>
        <v>5.711876074917141E-2</v>
      </c>
      <c r="AC42" s="33"/>
      <c r="AD42" s="33">
        <f t="shared" ref="AD42:AD68" si="24">+Z42/BV42</f>
        <v>1463.3030303030303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2">
        <f t="shared" si="9"/>
        <v>9.8085671635435426E-2</v>
      </c>
      <c r="AV42" s="342"/>
      <c r="AW42" s="24">
        <f t="shared" si="10"/>
        <v>2512.818181818182</v>
      </c>
      <c r="AX42" s="352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4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4"/>
      <c r="BU42" s="1"/>
      <c r="BV42">
        <f t="shared" si="11"/>
        <v>33</v>
      </c>
    </row>
    <row r="43" spans="2:74" x14ac:dyDescent="0.3">
      <c r="B43" s="172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>
        <f t="shared" si="22"/>
        <v>25753.647058823528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50647</v>
      </c>
      <c r="AA43" s="33"/>
      <c r="AB43" s="46">
        <f t="shared" si="23"/>
        <v>5.7841036792047731E-2</v>
      </c>
      <c r="AC43" s="33"/>
      <c r="AD43" s="33">
        <f t="shared" si="24"/>
        <v>1489.6176470588234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2">
        <f t="shared" si="9"/>
        <v>9.5988689209066905E-2</v>
      </c>
      <c r="AV43" s="342"/>
      <c r="AW43" s="24">
        <f t="shared" si="10"/>
        <v>2472.0588235294117</v>
      </c>
      <c r="AX43" s="352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4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4"/>
      <c r="BU43" s="1"/>
      <c r="BV43">
        <f t="shared" si="11"/>
        <v>34</v>
      </c>
    </row>
    <row r="44" spans="2:74" x14ac:dyDescent="0.3">
      <c r="B44" s="172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>
        <f t="shared" si="22"/>
        <v>25929.257142857143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52987</v>
      </c>
      <c r="AA44" s="33"/>
      <c r="AB44" s="46">
        <f t="shared" si="23"/>
        <v>5.8386334686465591E-2</v>
      </c>
      <c r="AC44" s="33"/>
      <c r="AD44" s="33">
        <f t="shared" si="24"/>
        <v>1513.9142857142858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2">
        <f t="shared" ref="AU44:AU68" si="25">+AO44/H44</f>
        <v>9.4677385942410333E-2</v>
      </c>
      <c r="AV44" s="342"/>
      <c r="AW44" s="24">
        <f t="shared" ref="AW44:AW68" si="26">+AO44/BV44</f>
        <v>2454.9142857142856</v>
      </c>
      <c r="AX44" s="352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4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4"/>
      <c r="BU44" s="1"/>
      <c r="BV44">
        <f t="shared" si="11"/>
        <v>35</v>
      </c>
    </row>
    <row r="45" spans="2:74" x14ac:dyDescent="0.3">
      <c r="B45" s="172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>
        <f t="shared" si="22"/>
        <v>26285.777777777777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54944</v>
      </c>
      <c r="AA45" s="33"/>
      <c r="AB45" s="46">
        <f t="shared" si="23"/>
        <v>5.8062661684392065E-2</v>
      </c>
      <c r="AC45" s="33"/>
      <c r="AD45" s="33">
        <f t="shared" si="24"/>
        <v>1526.2222222222222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2">
        <f t="shared" si="25"/>
        <v>0.11670020120724346</v>
      </c>
      <c r="AV45" s="342"/>
      <c r="AW45" s="24">
        <f t="shared" si="26"/>
        <v>3067.5555555555557</v>
      </c>
      <c r="AX45" s="352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4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4"/>
      <c r="BU45" s="1"/>
      <c r="BV45">
        <f t="shared" si="11"/>
        <v>36</v>
      </c>
    </row>
    <row r="46" spans="2:74" x14ac:dyDescent="0.3">
      <c r="B46" s="477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>
        <f t="shared" si="22"/>
        <v>26532.62162162162</v>
      </c>
      <c r="O46" s="41"/>
      <c r="P46" s="17"/>
      <c r="Q46" s="16"/>
      <c r="R46" s="60"/>
      <c r="S46" s="16"/>
      <c r="T46" s="41"/>
      <c r="U46" s="478"/>
      <c r="V46" s="34">
        <v>2065</v>
      </c>
      <c r="W46" s="33"/>
      <c r="X46" s="33"/>
      <c r="Y46" s="33"/>
      <c r="Z46" s="33">
        <f t="shared" si="19"/>
        <v>57009</v>
      </c>
      <c r="AA46" s="33"/>
      <c r="AB46" s="46">
        <f t="shared" si="23"/>
        <v>5.8071298259052856E-2</v>
      </c>
      <c r="AC46" s="33"/>
      <c r="AD46" s="33">
        <f t="shared" si="24"/>
        <v>1540.7837837837837</v>
      </c>
      <c r="AE46" s="50"/>
      <c r="AF46" s="33"/>
      <c r="AG46" s="33"/>
      <c r="AH46" s="232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2">
        <f t="shared" si="25"/>
        <v>0.12036381527278506</v>
      </c>
      <c r="AV46" s="342"/>
      <c r="AW46" s="24">
        <f t="shared" si="26"/>
        <v>3193.5675675675675</v>
      </c>
      <c r="AX46" s="352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4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4"/>
      <c r="BU46" s="1"/>
      <c r="BV46">
        <f t="shared" si="11"/>
        <v>37</v>
      </c>
    </row>
    <row r="47" spans="2:74" x14ac:dyDescent="0.3">
      <c r="B47" s="391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>
        <f t="shared" si="22"/>
        <v>26532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2"/>
      <c r="V47" s="34">
        <v>1156</v>
      </c>
      <c r="W47" s="33"/>
      <c r="X47" s="33"/>
      <c r="Y47" s="33"/>
      <c r="Z47" s="33">
        <f t="shared" si="19"/>
        <v>58165</v>
      </c>
      <c r="AA47" s="33"/>
      <c r="AB47" s="46">
        <f t="shared" si="23"/>
        <v>5.7691010656446634E-2</v>
      </c>
      <c r="AC47" s="33"/>
      <c r="AD47" s="33">
        <f t="shared" si="24"/>
        <v>1530.6578947368421</v>
      </c>
      <c r="AE47" s="50"/>
      <c r="AF47" s="33">
        <f>SUM(V41:V47)</f>
        <v>14511</v>
      </c>
      <c r="AG47" s="33"/>
      <c r="AH47" s="232">
        <f>+(AF47-AF40)/AF40</f>
        <v>-1.2924290864567036E-2</v>
      </c>
      <c r="AI47" s="50"/>
      <c r="AJ47" s="392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2">
        <f t="shared" si="25"/>
        <v>0.1178130479976513</v>
      </c>
      <c r="AV47" s="342"/>
      <c r="AW47" s="24">
        <f t="shared" si="26"/>
        <v>3125.8157894736842</v>
      </c>
      <c r="AX47" s="352"/>
      <c r="AY47" s="392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4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4"/>
      <c r="BU47" s="1"/>
      <c r="BV47">
        <f t="shared" si="11"/>
        <v>38</v>
      </c>
    </row>
    <row r="48" spans="2:74" x14ac:dyDescent="0.3">
      <c r="B48" s="172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>
        <f t="shared" si="22"/>
        <v>26446.461538461539</v>
      </c>
      <c r="O48" s="41"/>
      <c r="P48" s="17">
        <f>+P47/7</f>
        <v>31007.142857142859</v>
      </c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59548</v>
      </c>
      <c r="AA48" s="33"/>
      <c r="AB48" s="46">
        <f t="shared" si="23"/>
        <v>5.7734445594970776E-2</v>
      </c>
      <c r="AC48" s="33"/>
      <c r="AD48" s="33">
        <f t="shared" si="24"/>
        <v>1526.8717948717949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2">
        <f t="shared" si="25"/>
        <v>0.13360810229084014</v>
      </c>
      <c r="AV48" s="342"/>
      <c r="AW48" s="24">
        <f t="shared" si="26"/>
        <v>3533.4615384615386</v>
      </c>
      <c r="AX48" s="352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4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4"/>
      <c r="BU48" s="1"/>
      <c r="BV48">
        <f t="shared" si="11"/>
        <v>39</v>
      </c>
    </row>
    <row r="49" spans="2:78" x14ac:dyDescent="0.3">
      <c r="B49" s="172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>
        <f t="shared" si="22"/>
        <v>26420.525000000001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62018</v>
      </c>
      <c r="AA49" s="33"/>
      <c r="AB49" s="46">
        <f t="shared" si="23"/>
        <v>5.8683542435284688E-2</v>
      </c>
      <c r="AC49" s="33"/>
      <c r="AD49" s="33">
        <f t="shared" si="24"/>
        <v>1550.45</v>
      </c>
      <c r="AE49" s="50"/>
      <c r="AF49" s="33"/>
      <c r="AG49" s="232">
        <f>+AG51/AG50</f>
        <v>6.194382152455194E-2</v>
      </c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2">
        <f t="shared" si="25"/>
        <v>0.13431886762280462</v>
      </c>
      <c r="AV49" s="342"/>
      <c r="AW49" s="24">
        <f t="shared" si="26"/>
        <v>3548.7750000000001</v>
      </c>
      <c r="AX49" s="352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4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4"/>
      <c r="BU49" s="1"/>
      <c r="BV49">
        <f t="shared" si="11"/>
        <v>40</v>
      </c>
    </row>
    <row r="50" spans="2:78" x14ac:dyDescent="0.3">
      <c r="B50" s="172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>
        <f t="shared" si="22"/>
        <v>26469.512195121952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64408</v>
      </c>
      <c r="AA50" s="33"/>
      <c r="AB50" s="46">
        <f t="shared" si="23"/>
        <v>5.9348537203409352E-2</v>
      </c>
      <c r="AC50" s="33"/>
      <c r="AD50" s="33">
        <f t="shared" si="24"/>
        <v>1570.9268292682927</v>
      </c>
      <c r="AE50" s="50"/>
      <c r="AF50" s="33"/>
      <c r="AG50" s="33">
        <f>SUM(D22:D51)</f>
        <v>898992</v>
      </c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2">
        <f t="shared" si="25"/>
        <v>0.13583137525915687</v>
      </c>
      <c r="AV50" s="342"/>
      <c r="AW50" s="24">
        <f t="shared" si="26"/>
        <v>3595.3902439024391</v>
      </c>
      <c r="AX50" s="352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4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4"/>
      <c r="BU50" s="1"/>
      <c r="BV50">
        <f t="shared" si="11"/>
        <v>41</v>
      </c>
    </row>
    <row r="51" spans="2:78" x14ac:dyDescent="0.3">
      <c r="B51" s="172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>
        <f t="shared" si="22"/>
        <v>26573.309523809523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66609</v>
      </c>
      <c r="AA51" s="33"/>
      <c r="AB51" s="46">
        <f t="shared" si="23"/>
        <v>5.9681259122338112E-2</v>
      </c>
      <c r="AC51" s="33"/>
      <c r="AD51" s="33">
        <f t="shared" si="24"/>
        <v>1585.9285714285713</v>
      </c>
      <c r="AE51" s="50"/>
      <c r="AF51" s="33"/>
      <c r="AG51" s="33">
        <f>SUM(V22:V51)</f>
        <v>55687</v>
      </c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2">
        <f t="shared" si="25"/>
        <v>0.1364813781103309</v>
      </c>
      <c r="AV51" s="342"/>
      <c r="AW51" s="24">
        <f t="shared" si="26"/>
        <v>3626.7619047619046</v>
      </c>
      <c r="AX51" s="352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4"/>
      <c r="BI51" s="67"/>
      <c r="BJ51" s="67">
        <f>SUM(AZ22:AZ51)</f>
        <v>6376446</v>
      </c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4"/>
      <c r="BU51" s="1"/>
      <c r="BV51">
        <f t="shared" si="11"/>
        <v>42</v>
      </c>
    </row>
    <row r="52" spans="2:78" x14ac:dyDescent="0.3">
      <c r="B52" s="172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>
        <f t="shared" si="22"/>
        <v>26792.697674418603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68506</v>
      </c>
      <c r="AA52" s="33"/>
      <c r="AB52" s="46">
        <f t="shared" si="23"/>
        <v>5.9462574842503078E-2</v>
      </c>
      <c r="AC52" s="33"/>
      <c r="AD52" s="33">
        <f t="shared" si="24"/>
        <v>1593.1627906976744</v>
      </c>
      <c r="AE52" s="50"/>
      <c r="AF52" s="33"/>
      <c r="AG52" s="33">
        <f>+V52</f>
        <v>1897</v>
      </c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2">
        <f t="shared" si="25"/>
        <v>0.14023519077568863</v>
      </c>
      <c r="AV52" s="342"/>
      <c r="AW52" s="24">
        <f t="shared" si="26"/>
        <v>3757.2790697674418</v>
      </c>
      <c r="AX52" s="352"/>
      <c r="AY52" s="504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4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4"/>
      <c r="BU52" s="1"/>
      <c r="BV52">
        <f t="shared" si="11"/>
        <v>43</v>
      </c>
    </row>
    <row r="53" spans="2:78" x14ac:dyDescent="0.3">
      <c r="B53" s="477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>
        <f t="shared" si="22"/>
        <v>26859.772727272728</v>
      </c>
      <c r="O53" s="41"/>
      <c r="P53" s="17"/>
      <c r="Q53" s="16"/>
      <c r="R53" s="60"/>
      <c r="S53" s="16"/>
      <c r="T53" s="41"/>
      <c r="U53" s="478"/>
      <c r="V53" s="34">
        <v>1691</v>
      </c>
      <c r="W53" s="33"/>
      <c r="X53" s="33"/>
      <c r="Y53" s="33"/>
      <c r="Z53" s="33">
        <f t="shared" si="29"/>
        <v>70197</v>
      </c>
      <c r="AA53" s="33"/>
      <c r="AB53" s="46">
        <f t="shared" si="23"/>
        <v>5.9396867569785843E-2</v>
      </c>
      <c r="AC53" s="33"/>
      <c r="AD53" s="33">
        <f t="shared" si="24"/>
        <v>1595.3863636363637</v>
      </c>
      <c r="AE53" s="50"/>
      <c r="AF53" s="33"/>
      <c r="AG53" s="33">
        <f t="shared" ref="AG53:AG82" si="35">+V53</f>
        <v>1691</v>
      </c>
      <c r="AH53" s="232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2">
        <f t="shared" si="25"/>
        <v>0.14665222578543446</v>
      </c>
      <c r="AV53" s="342"/>
      <c r="AW53" s="24">
        <f t="shared" si="26"/>
        <v>3939.0454545454545</v>
      </c>
      <c r="AX53" s="352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4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4"/>
      <c r="BU53" s="1"/>
      <c r="BV53">
        <f t="shared" si="11"/>
        <v>44</v>
      </c>
    </row>
    <row r="54" spans="2:78" x14ac:dyDescent="0.3">
      <c r="B54" s="391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>
        <f t="shared" si="22"/>
        <v>26870.62222222222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2"/>
      <c r="V54" s="34">
        <v>1153</v>
      </c>
      <c r="W54" s="33"/>
      <c r="X54" s="33"/>
      <c r="Y54" s="33"/>
      <c r="Z54" s="33">
        <f t="shared" si="29"/>
        <v>71350</v>
      </c>
      <c r="AA54" s="33"/>
      <c r="AB54" s="46">
        <f t="shared" si="23"/>
        <v>5.9007027914831395E-2</v>
      </c>
      <c r="AC54" s="33"/>
      <c r="AD54" s="33">
        <f t="shared" si="24"/>
        <v>1585.5555555555557</v>
      </c>
      <c r="AE54" s="50"/>
      <c r="AF54" s="33">
        <f>SUM(V48:V54)</f>
        <v>13185</v>
      </c>
      <c r="AG54" s="33">
        <f t="shared" si="35"/>
        <v>1153</v>
      </c>
      <c r="AH54" s="232">
        <f>+(AF54-AF47)/AF47</f>
        <v>-9.1378953897043619E-2</v>
      </c>
      <c r="AI54" s="50"/>
      <c r="AJ54" s="392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2">
        <f t="shared" si="25"/>
        <v>0.14742494487991015</v>
      </c>
      <c r="AV54" s="342"/>
      <c r="AW54" s="24">
        <f t="shared" si="26"/>
        <v>3961.4</v>
      </c>
      <c r="AX54" s="352"/>
      <c r="AY54" s="392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4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4"/>
      <c r="BU54" s="1"/>
      <c r="BV54">
        <f t="shared" si="11"/>
        <v>45</v>
      </c>
    </row>
    <row r="55" spans="2:78" x14ac:dyDescent="0.3">
      <c r="B55" s="172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>
        <f t="shared" si="22"/>
        <v>26823.717391304348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72674</v>
      </c>
      <c r="AA55" s="33"/>
      <c r="AB55" s="46">
        <f t="shared" si="23"/>
        <v>5.8898233312342826E-2</v>
      </c>
      <c r="AC55" s="33"/>
      <c r="AD55" s="33">
        <f t="shared" si="24"/>
        <v>1579.8695652173913</v>
      </c>
      <c r="AE55" s="50"/>
      <c r="AF55" s="33"/>
      <c r="AG55" s="33">
        <f t="shared" si="35"/>
        <v>1324</v>
      </c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2">
        <f t="shared" si="25"/>
        <v>0.15238542140270089</v>
      </c>
      <c r="AV55" s="342"/>
      <c r="AW55" s="24">
        <f t="shared" si="26"/>
        <v>4087.5434782608695</v>
      </c>
      <c r="AX55" s="352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4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4"/>
      <c r="BU55" s="1"/>
      <c r="BV55">
        <f t="shared" si="11"/>
        <v>46</v>
      </c>
    </row>
    <row r="56" spans="2:78" x14ac:dyDescent="0.3">
      <c r="B56" s="172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>
        <f t="shared" si="22"/>
        <v>26780.617021276597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75024</v>
      </c>
      <c r="AA56" s="33"/>
      <c r="AB56" s="46">
        <f t="shared" si="23"/>
        <v>5.9604874595710296E-2</v>
      </c>
      <c r="AC56" s="33"/>
      <c r="AD56" s="33">
        <f t="shared" si="24"/>
        <v>1596.2553191489362</v>
      </c>
      <c r="AE56" s="50"/>
      <c r="AF56" s="33"/>
      <c r="AG56" s="33">
        <f t="shared" si="35"/>
        <v>2350</v>
      </c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2">
        <f t="shared" si="25"/>
        <v>0.15939282857004392</v>
      </c>
      <c r="AV56" s="342"/>
      <c r="AW56" s="24">
        <f t="shared" si="26"/>
        <v>4268.6382978723404</v>
      </c>
      <c r="AX56" s="352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4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4"/>
      <c r="BU56" s="1"/>
      <c r="BV56">
        <f t="shared" si="11"/>
        <v>47</v>
      </c>
    </row>
    <row r="57" spans="2:78" x14ac:dyDescent="0.3">
      <c r="B57" s="172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>
        <f t="shared" si="22"/>
        <v>26753.083333333332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77552</v>
      </c>
      <c r="AA57" s="33"/>
      <c r="AB57" s="46">
        <f t="shared" si="23"/>
        <v>6.0391792846307434E-2</v>
      </c>
      <c r="AC57" s="33"/>
      <c r="AD57" s="33">
        <f t="shared" si="24"/>
        <v>1615.6666666666667</v>
      </c>
      <c r="AE57" s="50"/>
      <c r="AF57" s="33"/>
      <c r="AG57" s="33">
        <f t="shared" si="35"/>
        <v>2528</v>
      </c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2">
        <f t="shared" si="25"/>
        <v>0.16065749430750972</v>
      </c>
      <c r="AV57" s="342"/>
      <c r="AW57" s="24">
        <f t="shared" si="26"/>
        <v>4298.083333333333</v>
      </c>
      <c r="AX57" s="352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4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4"/>
      <c r="BU57" s="1"/>
      <c r="BV57">
        <f t="shared" si="11"/>
        <v>48</v>
      </c>
    </row>
    <row r="58" spans="2:78" x14ac:dyDescent="0.3">
      <c r="B58" s="172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>
        <f t="shared" si="22"/>
        <v>26809.775510204083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79681</v>
      </c>
      <c r="AA58" s="33"/>
      <c r="AB58" s="46">
        <f t="shared" si="23"/>
        <v>6.0654847949917753E-2</v>
      </c>
      <c r="AC58" s="33"/>
      <c r="AD58" s="33">
        <f t="shared" si="24"/>
        <v>1626.1428571428571</v>
      </c>
      <c r="AE58" s="50"/>
      <c r="AF58" s="33"/>
      <c r="AG58" s="33">
        <f t="shared" si="35"/>
        <v>2129</v>
      </c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2">
        <f t="shared" si="25"/>
        <v>0.16537525529448213</v>
      </c>
      <c r="AV58" s="342"/>
      <c r="AW58" s="24">
        <f t="shared" si="26"/>
        <v>4433.6734693877552</v>
      </c>
      <c r="AX58" s="352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4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4"/>
      <c r="BU58" s="1"/>
      <c r="BV58">
        <f t="shared" si="11"/>
        <v>49</v>
      </c>
      <c r="BX58" s="1"/>
      <c r="BZ58" s="1"/>
    </row>
    <row r="59" spans="2:78" x14ac:dyDescent="0.3">
      <c r="B59" s="172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>
        <f t="shared" si="22"/>
        <v>26856.82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81368</v>
      </c>
      <c r="AA59" s="33"/>
      <c r="AB59" s="46">
        <f t="shared" si="23"/>
        <v>6.0593919905632905E-2</v>
      </c>
      <c r="AC59" s="33"/>
      <c r="AD59" s="33">
        <f t="shared" si="24"/>
        <v>1627.36</v>
      </c>
      <c r="AE59" s="50"/>
      <c r="AF59" s="33"/>
      <c r="AG59" s="33">
        <f t="shared" si="35"/>
        <v>1687</v>
      </c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2">
        <f t="shared" si="25"/>
        <v>0.16633391443960976</v>
      </c>
      <c r="AV59" s="342"/>
      <c r="AW59" s="24">
        <f t="shared" si="26"/>
        <v>4467.2</v>
      </c>
      <c r="AX59" s="352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4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4"/>
      <c r="BU59" s="1"/>
      <c r="BV59">
        <f t="shared" si="11"/>
        <v>50</v>
      </c>
    </row>
    <row r="60" spans="2:78" x14ac:dyDescent="0.3">
      <c r="B60" s="477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>
        <f t="shared" si="22"/>
        <v>26830.686274509804</v>
      </c>
      <c r="O60" s="41"/>
      <c r="P60" s="17"/>
      <c r="Q60" s="16"/>
      <c r="R60" s="60"/>
      <c r="S60" s="16"/>
      <c r="T60" s="41"/>
      <c r="U60" s="478"/>
      <c r="V60" s="34">
        <v>1422</v>
      </c>
      <c r="W60" s="33"/>
      <c r="X60" s="33"/>
      <c r="Y60" s="33"/>
      <c r="Z60" s="33">
        <f t="shared" si="29"/>
        <v>82790</v>
      </c>
      <c r="AA60" s="33"/>
      <c r="AB60" s="46">
        <f t="shared" si="23"/>
        <v>6.0502862905730564E-2</v>
      </c>
      <c r="AC60" s="33"/>
      <c r="AD60" s="33">
        <f t="shared" si="24"/>
        <v>1623.3333333333333</v>
      </c>
      <c r="AE60" s="50"/>
      <c r="AF60" s="33"/>
      <c r="AG60" s="33">
        <f t="shared" si="35"/>
        <v>1422</v>
      </c>
      <c r="AH60" s="232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2">
        <f t="shared" si="25"/>
        <v>0.17398720370661336</v>
      </c>
      <c r="AV60" s="342"/>
      <c r="AW60" s="24">
        <f t="shared" si="26"/>
        <v>4668.1960784313724</v>
      </c>
      <c r="AX60" s="352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4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4"/>
      <c r="BU60" s="1"/>
      <c r="BV60">
        <f t="shared" si="11"/>
        <v>51</v>
      </c>
    </row>
    <row r="61" spans="2:78" x14ac:dyDescent="0.3">
      <c r="B61" s="391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>
        <f t="shared" si="22"/>
        <v>26705.653846153848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2"/>
      <c r="V61" s="34">
        <v>750</v>
      </c>
      <c r="W61" s="33"/>
      <c r="X61" s="33"/>
      <c r="Y61" s="33"/>
      <c r="Z61" s="33">
        <f t="shared" si="29"/>
        <v>83540</v>
      </c>
      <c r="AA61" s="33"/>
      <c r="AB61" s="46">
        <f t="shared" si="23"/>
        <v>6.0157241264094177E-2</v>
      </c>
      <c r="AC61" s="33"/>
      <c r="AD61" s="33">
        <f t="shared" si="24"/>
        <v>1606.5384615384614</v>
      </c>
      <c r="AE61" s="50"/>
      <c r="AF61" s="33">
        <f>SUM(V55:V61)</f>
        <v>12190</v>
      </c>
      <c r="AG61" s="33">
        <f t="shared" si="35"/>
        <v>750</v>
      </c>
      <c r="AH61" s="232">
        <f>+(AF61-AF54)/AF54</f>
        <v>-7.5464543041334847E-2</v>
      </c>
      <c r="AI61" s="50"/>
      <c r="AJ61" s="392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2">
        <f t="shared" si="25"/>
        <v>0.18458782136309368</v>
      </c>
      <c r="AV61" s="342"/>
      <c r="AW61" s="24">
        <f t="shared" si="26"/>
        <v>4929.5384615384619</v>
      </c>
      <c r="AX61" s="352"/>
      <c r="AY61" s="392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4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4"/>
      <c r="BU61" s="1"/>
      <c r="BV61">
        <f t="shared" si="11"/>
        <v>52</v>
      </c>
    </row>
    <row r="62" spans="2:78" x14ac:dyDescent="0.3">
      <c r="B62" s="172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>
        <f t="shared" si="22"/>
        <v>26545.094339622643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84600</v>
      </c>
      <c r="AA62" s="33"/>
      <c r="AB62" s="46">
        <f t="shared" si="23"/>
        <v>6.0132632970594714E-2</v>
      </c>
      <c r="AC62" s="33"/>
      <c r="AD62" s="33">
        <f t="shared" si="24"/>
        <v>1596.2264150943397</v>
      </c>
      <c r="AE62" s="50"/>
      <c r="AF62" s="33"/>
      <c r="AG62" s="33">
        <f t="shared" si="35"/>
        <v>1060</v>
      </c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2">
        <f t="shared" si="25"/>
        <v>0.18638628464201182</v>
      </c>
      <c r="AV62" s="342"/>
      <c r="AW62" s="24">
        <f t="shared" si="26"/>
        <v>4947.6415094339627</v>
      </c>
      <c r="AX62" s="352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4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4"/>
      <c r="BU62" s="1"/>
      <c r="BV62">
        <f t="shared" si="11"/>
        <v>53</v>
      </c>
    </row>
    <row r="63" spans="2:78" x14ac:dyDescent="0.3">
      <c r="B63" s="172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>
        <f t="shared" si="22"/>
        <v>26475.777777777777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86471</v>
      </c>
      <c r="AA63" s="33"/>
      <c r="AB63" s="46">
        <f t="shared" si="23"/>
        <v>6.0482257717046746E-2</v>
      </c>
      <c r="AC63" s="33"/>
      <c r="AD63" s="33">
        <f t="shared" si="24"/>
        <v>1601.3148148148148</v>
      </c>
      <c r="AE63" s="50"/>
      <c r="AF63" s="33"/>
      <c r="AG63" s="33">
        <f t="shared" si="35"/>
        <v>1871</v>
      </c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2">
        <f t="shared" si="25"/>
        <v>0.19741244967447535</v>
      </c>
      <c r="AV63" s="342"/>
      <c r="AW63" s="24">
        <f t="shared" si="26"/>
        <v>5226.6481481481478</v>
      </c>
      <c r="AX63" s="352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4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4"/>
      <c r="BU63" s="1"/>
      <c r="BV63">
        <f t="shared" si="11"/>
        <v>54</v>
      </c>
    </row>
    <row r="64" spans="2:78" x14ac:dyDescent="0.3">
      <c r="B64" s="172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>
        <f t="shared" si="22"/>
        <v>26389.163636363635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88293</v>
      </c>
      <c r="AA64" s="33"/>
      <c r="AB64" s="46">
        <f t="shared" si="23"/>
        <v>6.0832821185555504E-2</v>
      </c>
      <c r="AC64" s="33"/>
      <c r="AD64" s="33">
        <f t="shared" si="24"/>
        <v>1605.3272727272727</v>
      </c>
      <c r="AE64" s="50"/>
      <c r="AF64" s="33"/>
      <c r="AG64" s="33">
        <f t="shared" si="35"/>
        <v>1822</v>
      </c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2">
        <f t="shared" si="25"/>
        <v>0.21376474089915695</v>
      </c>
      <c r="AV64" s="342"/>
      <c r="AW64" s="24">
        <f t="shared" si="26"/>
        <v>5641.0727272727272</v>
      </c>
      <c r="AX64" s="352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4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4"/>
      <c r="BU64" s="1"/>
      <c r="BV64">
        <f t="shared" si="11"/>
        <v>55</v>
      </c>
    </row>
    <row r="65" spans="2:74" x14ac:dyDescent="0.3">
      <c r="B65" s="172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>
        <f t="shared" si="22"/>
        <v>26404.446428571428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:Z96" si="38">+Z64+V65</f>
        <v>90046</v>
      </c>
      <c r="AA65" s="33"/>
      <c r="AB65" s="46">
        <f t="shared" si="23"/>
        <v>6.0897481417158499E-2</v>
      </c>
      <c r="AC65" s="33"/>
      <c r="AD65" s="33">
        <f t="shared" si="24"/>
        <v>1607.9642857142858</v>
      </c>
      <c r="AE65" s="50"/>
      <c r="AF65" s="33"/>
      <c r="AG65" s="33">
        <f t="shared" si="35"/>
        <v>1753</v>
      </c>
      <c r="AH65" s="33"/>
      <c r="AI65" s="50"/>
      <c r="AJ65" s="1"/>
      <c r="AK65" s="23">
        <f t="shared" ref="AK65:AK96" si="39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:AQ96" si="40">+AK65/AO64</f>
        <v>2.4502109527846091E-2</v>
      </c>
      <c r="AR65" s="25"/>
      <c r="AS65" s="25"/>
      <c r="AT65" s="24"/>
      <c r="AU65" s="342">
        <f t="shared" si="25"/>
        <v>0.21496717611819979</v>
      </c>
      <c r="AV65" s="342"/>
      <c r="AW65" s="24">
        <f t="shared" si="26"/>
        <v>5676.0892857142853</v>
      </c>
      <c r="AX65" s="352"/>
      <c r="AY65" s="1"/>
      <c r="AZ65" s="66">
        <f t="shared" ref="AZ65:AZ96" si="41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:BF96" si="42">+BD65/AZ65</f>
        <v>7.4533158980363404E-2</v>
      </c>
      <c r="BG65" s="67"/>
      <c r="BH65" s="184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4"/>
      <c r="BU65" s="1"/>
      <c r="BV65">
        <f t="shared" si="11"/>
        <v>56</v>
      </c>
    </row>
    <row r="66" spans="2:74" x14ac:dyDescent="0.3">
      <c r="B66" s="172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>
        <f t="shared" si="22"/>
        <v>26409.491228070176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si="38"/>
        <v>91648</v>
      </c>
      <c r="AA66" s="33"/>
      <c r="AB66" s="46">
        <f t="shared" si="23"/>
        <v>6.0881886562579507E-2</v>
      </c>
      <c r="AC66" s="33"/>
      <c r="AD66" s="33">
        <f t="shared" si="24"/>
        <v>1607.859649122807</v>
      </c>
      <c r="AE66" s="50"/>
      <c r="AF66" s="33"/>
      <c r="AG66" s="33">
        <f t="shared" si="35"/>
        <v>1602</v>
      </c>
      <c r="AH66" s="33"/>
      <c r="AI66" s="50"/>
      <c r="AJ66" s="1"/>
      <c r="AK66" s="23">
        <f t="shared" si="39"/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si="40"/>
        <v>2.6366871053699573E-2</v>
      </c>
      <c r="AR66" s="25"/>
      <c r="AS66" s="25"/>
      <c r="AT66" s="24"/>
      <c r="AU66" s="342">
        <f t="shared" si="25"/>
        <v>0.2167229883461621</v>
      </c>
      <c r="AV66" s="342"/>
      <c r="AW66" s="24">
        <f t="shared" si="26"/>
        <v>5723.5438596491231</v>
      </c>
      <c r="AX66" s="352"/>
      <c r="AY66" s="1"/>
      <c r="AZ66" s="66">
        <f t="shared" si="41"/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si="42"/>
        <v>5.8617100241126839E-2</v>
      </c>
      <c r="BG66" s="67"/>
      <c r="BH66" s="184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4"/>
      <c r="BU66" s="1"/>
      <c r="BV66">
        <f t="shared" si="11"/>
        <v>57</v>
      </c>
    </row>
    <row r="67" spans="2:74" x14ac:dyDescent="0.3">
      <c r="B67" s="477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>
        <f t="shared" si="22"/>
        <v>26359.120689655174</v>
      </c>
      <c r="O67" s="41"/>
      <c r="P67" s="17"/>
      <c r="Q67" s="16"/>
      <c r="R67" s="60"/>
      <c r="S67" s="16"/>
      <c r="T67" s="41"/>
      <c r="U67" s="478"/>
      <c r="V67" s="34">
        <v>1218</v>
      </c>
      <c r="W67" s="33"/>
      <c r="X67" s="33"/>
      <c r="Y67" s="33"/>
      <c r="Z67" s="33">
        <f t="shared" si="38"/>
        <v>92866</v>
      </c>
      <c r="AA67" s="33"/>
      <c r="AB67" s="46">
        <f t="shared" si="23"/>
        <v>6.0743222427099432E-2</v>
      </c>
      <c r="AC67" s="33"/>
      <c r="AD67" s="33">
        <f t="shared" si="24"/>
        <v>1601.1379310344828</v>
      </c>
      <c r="AE67" s="50"/>
      <c r="AF67" s="33"/>
      <c r="AG67" s="33">
        <f t="shared" si="35"/>
        <v>1218</v>
      </c>
      <c r="AH67" s="232"/>
      <c r="AI67" s="50"/>
      <c r="AJ67" s="1"/>
      <c r="AK67" s="23">
        <f t="shared" si="39"/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si="40"/>
        <v>3.981706831125361E-2</v>
      </c>
      <c r="AR67" s="25"/>
      <c r="AS67" s="25"/>
      <c r="AT67" s="24"/>
      <c r="AU67" s="342">
        <f t="shared" si="25"/>
        <v>0.22189008711896491</v>
      </c>
      <c r="AV67" s="342"/>
      <c r="AW67" s="24">
        <f t="shared" si="26"/>
        <v>5848.8275862068967</v>
      </c>
      <c r="AX67" s="352"/>
      <c r="AY67" s="1"/>
      <c r="AZ67" s="66">
        <f t="shared" si="41"/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si="42"/>
        <v>5.4029558916556447E-2</v>
      </c>
      <c r="BG67" s="67"/>
      <c r="BH67" s="184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4"/>
      <c r="BU67" s="1"/>
      <c r="BV67">
        <f t="shared" si="11"/>
        <v>58</v>
      </c>
    </row>
    <row r="68" spans="2:74" x14ac:dyDescent="0.3">
      <c r="B68" s="391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>
        <f t="shared" si="22"/>
        <v>26249.491525423728</v>
      </c>
      <c r="O68" s="41"/>
      <c r="P68" s="17">
        <f>SUM(D62:D68)</f>
        <v>160026</v>
      </c>
      <c r="Q68" s="16"/>
      <c r="R68" s="60">
        <f>+(P68-P61)/P61</f>
        <v>-0.10856970966376256</v>
      </c>
      <c r="S68" s="16"/>
      <c r="T68" s="41"/>
      <c r="U68" s="392"/>
      <c r="V68" s="34">
        <v>865</v>
      </c>
      <c r="W68" s="33"/>
      <c r="X68" s="33"/>
      <c r="Y68" s="33"/>
      <c r="Z68" s="33">
        <f t="shared" si="38"/>
        <v>93731</v>
      </c>
      <c r="AA68" s="33"/>
      <c r="AB68" s="46">
        <f t="shared" si="23"/>
        <v>6.0521592024381426E-2</v>
      </c>
      <c r="AC68" s="33"/>
      <c r="AD68" s="33">
        <f t="shared" si="24"/>
        <v>1588.6610169491526</v>
      </c>
      <c r="AE68" s="50"/>
      <c r="AF68" s="33">
        <f>SUM(V62:V68)</f>
        <v>10191</v>
      </c>
      <c r="AG68" s="33">
        <f t="shared" si="35"/>
        <v>865</v>
      </c>
      <c r="AH68" s="232">
        <f>+(AF68-AF61)/AF61</f>
        <v>-0.16398687448728466</v>
      </c>
      <c r="AI68" s="50"/>
      <c r="AJ68" s="392"/>
      <c r="AK68" s="23">
        <f t="shared" si="39"/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si="40"/>
        <v>2.109765588152061E-2</v>
      </c>
      <c r="AR68" s="25"/>
      <c r="AS68" s="25"/>
      <c r="AT68" s="24"/>
      <c r="AU68" s="342">
        <f t="shared" si="25"/>
        <v>0.22366147528281419</v>
      </c>
      <c r="AV68" s="342"/>
      <c r="AW68" s="24">
        <f t="shared" si="26"/>
        <v>5871</v>
      </c>
      <c r="AX68" s="352"/>
      <c r="AY68" s="392"/>
      <c r="AZ68" s="66">
        <f t="shared" si="41"/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si="42"/>
        <v>5.6838736408966868E-2</v>
      </c>
      <c r="BG68" s="67"/>
      <c r="BH68" s="184"/>
      <c r="BI68" s="67"/>
      <c r="BJ68" s="67">
        <f>SUM(AZ62:AZ68)</f>
        <v>2431055</v>
      </c>
      <c r="BK68" s="67"/>
      <c r="BL68" s="157">
        <f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4"/>
      <c r="BU68" s="1"/>
      <c r="BV68">
        <f t="shared" si="11"/>
        <v>59</v>
      </c>
    </row>
    <row r="69" spans="2:74" x14ac:dyDescent="0.3">
      <c r="B69" s="172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>
        <f t="shared" ref="N69:N96" si="43">+H69/BV69</f>
        <v>26189.166666666668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si="38"/>
        <v>94734</v>
      </c>
      <c r="AA69" s="33"/>
      <c r="AB69" s="46">
        <f t="shared" ref="AB69:AB96" si="44">+Z69/H69</f>
        <v>6.0288287141629808E-2</v>
      </c>
      <c r="AC69" s="33"/>
      <c r="AD69" s="33">
        <f t="shared" ref="AD69:AD96" si="45">+Z69/BV69</f>
        <v>1578.9</v>
      </c>
      <c r="AE69" s="50"/>
      <c r="AF69" s="33"/>
      <c r="AG69" s="33">
        <f t="shared" si="35"/>
        <v>1003</v>
      </c>
      <c r="AH69" s="232"/>
      <c r="AI69" s="50"/>
      <c r="AJ69" s="10"/>
      <c r="AK69" s="23">
        <f t="shared" si="39"/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si="40"/>
        <v>2.8851955460479403E-2</v>
      </c>
      <c r="AR69" s="25"/>
      <c r="AS69" s="25"/>
      <c r="AT69" s="24"/>
      <c r="AU69" s="342">
        <f t="shared" ref="AU69:AU96" si="46">+AO69/H69</f>
        <v>0.22680052184427404</v>
      </c>
      <c r="AV69" s="342"/>
      <c r="AW69" s="24">
        <f t="shared" ref="AW69:AW96" si="47">+AO69/BV69</f>
        <v>5939.7166666666662</v>
      </c>
      <c r="AX69" s="352"/>
      <c r="AY69" s="10"/>
      <c r="AZ69" s="66">
        <f t="shared" si="41"/>
        <v>425164</v>
      </c>
      <c r="BA69" s="67"/>
      <c r="BB69" s="67">
        <v>12300744</v>
      </c>
      <c r="BC69" s="67"/>
      <c r="BD69" s="67">
        <f t="shared" ref="BD69:BD96" si="48">+D69</f>
        <v>22630</v>
      </c>
      <c r="BE69" s="67"/>
      <c r="BF69" s="157">
        <f t="shared" si="42"/>
        <v>5.3226519648888429E-2</v>
      </c>
      <c r="BG69" s="67"/>
      <c r="BH69" s="184"/>
      <c r="BI69" s="67"/>
      <c r="BJ69" s="67"/>
      <c r="BK69" s="67"/>
      <c r="BL69" s="157"/>
      <c r="BM69" s="66">
        <f t="shared" ref="BM69:BM96" si="49">+BB69/BV69</f>
        <v>205012.4</v>
      </c>
      <c r="BN69" s="67"/>
      <c r="BO69" s="67">
        <f t="shared" ref="BO69:BO96" si="50">+BO68+BD69</f>
        <v>1297972</v>
      </c>
      <c r="BP69" s="67"/>
      <c r="BQ69" s="74">
        <f t="shared" ref="BQ69:BQ96" si="51">+BO69/BB69</f>
        <v>0.10551979620094525</v>
      </c>
      <c r="BR69" s="67"/>
      <c r="BS69" s="86"/>
      <c r="BT69" s="184"/>
      <c r="BU69" s="1"/>
      <c r="BV69">
        <f t="shared" si="11"/>
        <v>60</v>
      </c>
    </row>
    <row r="70" spans="2:74" x14ac:dyDescent="0.3">
      <c r="B70" s="172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>
        <f t="shared" si="43"/>
        <v>26092.442622950821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si="38"/>
        <v>96286</v>
      </c>
      <c r="AA70" s="33"/>
      <c r="AB70" s="46">
        <f t="shared" si="44"/>
        <v>6.0494873523456012E-2</v>
      </c>
      <c r="AC70" s="33"/>
      <c r="AD70" s="33">
        <f t="shared" si="45"/>
        <v>1578.4590163934427</v>
      </c>
      <c r="AE70" s="50"/>
      <c r="AF70" s="33"/>
      <c r="AG70" s="33">
        <f t="shared" si="35"/>
        <v>1552</v>
      </c>
      <c r="AH70" s="232"/>
      <c r="AI70" s="50"/>
      <c r="AJ70" s="10"/>
      <c r="AK70" s="23">
        <f t="shared" si="39"/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si="40"/>
        <v>1.346023800237385E-2</v>
      </c>
      <c r="AR70" s="25"/>
      <c r="AS70" s="25"/>
      <c r="AT70" s="24"/>
      <c r="AU70" s="342">
        <f t="shared" si="46"/>
        <v>0.22692331615397712</v>
      </c>
      <c r="AV70" s="342"/>
      <c r="AW70" s="24">
        <f t="shared" si="47"/>
        <v>5920.9836065573772</v>
      </c>
      <c r="AX70" s="352"/>
      <c r="AY70" s="10"/>
      <c r="AZ70" s="66">
        <f t="shared" si="41"/>
        <v>344729</v>
      </c>
      <c r="BA70" s="67"/>
      <c r="BB70" s="67">
        <v>12645473</v>
      </c>
      <c r="BC70" s="67"/>
      <c r="BD70" s="67">
        <f t="shared" si="48"/>
        <v>20289</v>
      </c>
      <c r="BE70" s="67"/>
      <c r="BF70" s="157">
        <f t="shared" si="42"/>
        <v>5.8854926623521667E-2</v>
      </c>
      <c r="BG70" s="67"/>
      <c r="BH70" s="184"/>
      <c r="BI70" s="67"/>
      <c r="BJ70" s="67"/>
      <c r="BK70" s="67"/>
      <c r="BL70" s="157"/>
      <c r="BM70" s="66">
        <f t="shared" si="49"/>
        <v>207302.83606557376</v>
      </c>
      <c r="BN70" s="67"/>
      <c r="BO70" s="67">
        <f t="shared" si="50"/>
        <v>1318261</v>
      </c>
      <c r="BP70" s="67"/>
      <c r="BQ70" s="74">
        <f t="shared" si="51"/>
        <v>0.10424766238479177</v>
      </c>
      <c r="BR70" s="67"/>
      <c r="BS70" s="86"/>
      <c r="BT70" s="184"/>
      <c r="BU70" s="1"/>
      <c r="BV70">
        <f t="shared" si="11"/>
        <v>61</v>
      </c>
    </row>
    <row r="71" spans="2:74" x14ac:dyDescent="0.3">
      <c r="B71" s="172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>
        <f t="shared" si="43"/>
        <v>26028.693548387098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si="38"/>
        <v>97689</v>
      </c>
      <c r="AA71" s="33"/>
      <c r="AB71" s="46">
        <f t="shared" si="44"/>
        <v>6.0534311079769906E-2</v>
      </c>
      <c r="AC71" s="33"/>
      <c r="AD71" s="33">
        <f t="shared" si="45"/>
        <v>1575.6290322580646</v>
      </c>
      <c r="AE71" s="50"/>
      <c r="AF71" s="33"/>
      <c r="AG71" s="33">
        <f t="shared" si="35"/>
        <v>1403</v>
      </c>
      <c r="AH71" s="232"/>
      <c r="AI71" s="50"/>
      <c r="AJ71" s="10"/>
      <c r="AK71" s="23">
        <f t="shared" si="39"/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si="40"/>
        <v>2.4630378204773245E-2</v>
      </c>
      <c r="AR71" s="25"/>
      <c r="AS71" s="25"/>
      <c r="AT71" s="24"/>
      <c r="AU71" s="342">
        <f t="shared" si="46"/>
        <v>0.2293226024133416</v>
      </c>
      <c r="AV71" s="342"/>
      <c r="AW71" s="24">
        <f t="shared" si="47"/>
        <v>5968.9677419354839</v>
      </c>
      <c r="AX71" s="352"/>
      <c r="AY71" s="10"/>
      <c r="AZ71" s="66">
        <f t="shared" si="41"/>
        <v>323101</v>
      </c>
      <c r="BA71" s="67"/>
      <c r="BB71" s="67">
        <v>12968574</v>
      </c>
      <c r="BC71" s="67"/>
      <c r="BD71" s="67">
        <f t="shared" si="48"/>
        <v>22140</v>
      </c>
      <c r="BE71" s="67"/>
      <c r="BF71" s="157">
        <f t="shared" si="42"/>
        <v>6.8523464798932843E-2</v>
      </c>
      <c r="BG71" s="67"/>
      <c r="BH71" s="184"/>
      <c r="BI71" s="67"/>
      <c r="BJ71" s="67"/>
      <c r="BK71" s="67"/>
      <c r="BL71" s="157"/>
      <c r="BM71" s="66">
        <f t="shared" si="49"/>
        <v>209170.54838709679</v>
      </c>
      <c r="BN71" s="67"/>
      <c r="BO71" s="67">
        <f t="shared" si="50"/>
        <v>1340401</v>
      </c>
      <c r="BP71" s="67"/>
      <c r="BQ71" s="74">
        <f t="shared" si="51"/>
        <v>0.10335762436178411</v>
      </c>
      <c r="BR71" s="67"/>
      <c r="BS71" s="86"/>
      <c r="BT71" s="184"/>
      <c r="BU71" s="1"/>
      <c r="BV71">
        <f t="shared" si="11"/>
        <v>62</v>
      </c>
    </row>
    <row r="72" spans="2:74" x14ac:dyDescent="0.3">
      <c r="B72" s="172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>
        <f t="shared" si="43"/>
        <v>26062.761904761905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si="38"/>
        <v>99107</v>
      </c>
      <c r="AA72" s="33"/>
      <c r="AB72" s="46">
        <f t="shared" si="44"/>
        <v>6.0359181804118749E-2</v>
      </c>
      <c r="AC72" s="33"/>
      <c r="AD72" s="33">
        <f t="shared" si="45"/>
        <v>1573.1269841269841</v>
      </c>
      <c r="AE72" s="50"/>
      <c r="AF72" s="33"/>
      <c r="AG72" s="33">
        <f t="shared" si="35"/>
        <v>1418</v>
      </c>
      <c r="AH72" s="232"/>
      <c r="AI72" s="50"/>
      <c r="AJ72" s="10"/>
      <c r="AK72" s="23">
        <f t="shared" si="39"/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si="40"/>
        <v>3.2677071736616263E-2</v>
      </c>
      <c r="AR72" s="25"/>
      <c r="AS72" s="25"/>
      <c r="AT72" s="24"/>
      <c r="AU72" s="342">
        <f t="shared" si="46"/>
        <v>0.23275256188663021</v>
      </c>
      <c r="AV72" s="342"/>
      <c r="AW72" s="24">
        <f t="shared" si="47"/>
        <v>6066.1746031746034</v>
      </c>
      <c r="AX72" s="352"/>
      <c r="AY72" s="10"/>
      <c r="AZ72" s="66">
        <f t="shared" si="41"/>
        <v>470540</v>
      </c>
      <c r="BA72" s="67"/>
      <c r="BB72" s="67">
        <v>13439114</v>
      </c>
      <c r="BC72" s="67"/>
      <c r="BD72" s="67">
        <f t="shared" si="48"/>
        <v>28175</v>
      </c>
      <c r="BE72" s="67"/>
      <c r="BF72" s="157">
        <f t="shared" si="42"/>
        <v>5.9878012496280872E-2</v>
      </c>
      <c r="BG72" s="67"/>
      <c r="BH72" s="184"/>
      <c r="BI72" s="67"/>
      <c r="BJ72" s="67"/>
      <c r="BK72" s="67"/>
      <c r="BL72" s="157"/>
      <c r="BM72" s="66">
        <f t="shared" si="49"/>
        <v>213319.26984126985</v>
      </c>
      <c r="BN72" s="67"/>
      <c r="BO72" s="67">
        <f t="shared" si="50"/>
        <v>1368576</v>
      </c>
      <c r="BP72" s="67"/>
      <c r="BQ72" s="74">
        <f t="shared" si="51"/>
        <v>0.10183528467724881</v>
      </c>
      <c r="BR72" s="67"/>
      <c r="BS72" s="86"/>
      <c r="BT72" s="184"/>
      <c r="BU72" s="1"/>
      <c r="BV72">
        <f t="shared" si="11"/>
        <v>63</v>
      </c>
    </row>
    <row r="73" spans="2:74" x14ac:dyDescent="0.3">
      <c r="B73" s="172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>
        <f t="shared" si="43"/>
        <v>26030.5625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si="38"/>
        <v>100400</v>
      </c>
      <c r="AA73" s="33"/>
      <c r="AB73" s="46">
        <f t="shared" si="44"/>
        <v>6.0265697293325877E-2</v>
      </c>
      <c r="AC73" s="33"/>
      <c r="AD73" s="33">
        <f t="shared" si="45"/>
        <v>1568.75</v>
      </c>
      <c r="AE73" s="50"/>
      <c r="AF73" s="33"/>
      <c r="AG73" s="33">
        <f t="shared" si="35"/>
        <v>1293</v>
      </c>
      <c r="AH73" s="232"/>
      <c r="AI73" s="50"/>
      <c r="AJ73" s="10"/>
      <c r="AK73" s="23">
        <f t="shared" si="39"/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si="40"/>
        <v>0.13456873791437821</v>
      </c>
      <c r="AR73" s="25"/>
      <c r="AS73" s="25"/>
      <c r="AT73" s="24"/>
      <c r="AU73" s="342">
        <f t="shared" si="46"/>
        <v>0.26026917877783085</v>
      </c>
      <c r="AV73" s="342"/>
      <c r="AW73" s="24">
        <f t="shared" si="47"/>
        <v>6774.953125</v>
      </c>
      <c r="AX73" s="352"/>
      <c r="AY73" s="10"/>
      <c r="AZ73" s="66">
        <f t="shared" si="41"/>
        <v>470791</v>
      </c>
      <c r="BA73" s="67"/>
      <c r="BB73" s="67">
        <v>13909905</v>
      </c>
      <c r="BC73" s="67"/>
      <c r="BD73" s="67">
        <f t="shared" si="48"/>
        <v>24002</v>
      </c>
      <c r="BE73" s="67"/>
      <c r="BF73" s="157">
        <f t="shared" si="42"/>
        <v>5.0982283008808582E-2</v>
      </c>
      <c r="BG73" s="67"/>
      <c r="BH73" s="184"/>
      <c r="BI73" s="67"/>
      <c r="BJ73" s="67"/>
      <c r="BK73" s="67"/>
      <c r="BL73" s="157"/>
      <c r="BM73" s="66">
        <f t="shared" si="49"/>
        <v>217342.265625</v>
      </c>
      <c r="BN73" s="67"/>
      <c r="BO73" s="67">
        <f t="shared" si="50"/>
        <v>1392578</v>
      </c>
      <c r="BP73" s="67"/>
      <c r="BQ73" s="74">
        <f t="shared" si="51"/>
        <v>0.10011412730712395</v>
      </c>
      <c r="BR73" s="67"/>
      <c r="BS73" s="86"/>
      <c r="BT73" s="184"/>
      <c r="BU73" s="1"/>
      <c r="BV73">
        <f t="shared" si="11"/>
        <v>64</v>
      </c>
    </row>
    <row r="74" spans="2:74" x14ac:dyDescent="0.3">
      <c r="B74" s="476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>
        <f t="shared" si="43"/>
        <v>25967.446153846155</v>
      </c>
      <c r="O74" s="41"/>
      <c r="P74" s="17"/>
      <c r="Q74" s="16"/>
      <c r="R74" s="60"/>
      <c r="S74" s="16"/>
      <c r="T74" s="41"/>
      <c r="U74" s="478"/>
      <c r="V74" s="34">
        <v>1036</v>
      </c>
      <c r="W74" s="33"/>
      <c r="X74" s="33"/>
      <c r="Y74" s="33"/>
      <c r="Z74" s="33">
        <f t="shared" si="38"/>
        <v>101436</v>
      </c>
      <c r="AA74" s="33"/>
      <c r="AB74" s="46">
        <f t="shared" si="44"/>
        <v>6.0096546919101074E-2</v>
      </c>
      <c r="AC74" s="33"/>
      <c r="AD74" s="33">
        <f t="shared" si="45"/>
        <v>1560.5538461538461</v>
      </c>
      <c r="AE74" s="50"/>
      <c r="AF74" s="33"/>
      <c r="AG74" s="33">
        <f t="shared" si="35"/>
        <v>1036</v>
      </c>
      <c r="AH74" s="232"/>
      <c r="AI74" s="50"/>
      <c r="AJ74" s="10"/>
      <c r="AK74" s="23">
        <f t="shared" si="39"/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si="40"/>
        <v>3.0712850873045709E-2</v>
      </c>
      <c r="AR74" s="25"/>
      <c r="AS74" s="25"/>
      <c r="AT74" s="24"/>
      <c r="AU74" s="342">
        <f t="shared" si="46"/>
        <v>0.26477767429515298</v>
      </c>
      <c r="AV74" s="342"/>
      <c r="AW74" s="24">
        <f t="shared" si="47"/>
        <v>6875.6</v>
      </c>
      <c r="AX74" s="352"/>
      <c r="AY74" s="10"/>
      <c r="AZ74" s="66">
        <f t="shared" si="41"/>
        <v>448064</v>
      </c>
      <c r="BA74" s="67"/>
      <c r="BB74" s="67">
        <v>14357969</v>
      </c>
      <c r="BC74" s="67"/>
      <c r="BD74" s="67">
        <f t="shared" si="48"/>
        <v>21928</v>
      </c>
      <c r="BE74" s="67"/>
      <c r="BF74" s="157">
        <f t="shared" si="42"/>
        <v>4.8939437223253821E-2</v>
      </c>
      <c r="BG74" s="67"/>
      <c r="BH74" s="184"/>
      <c r="BI74" s="67"/>
      <c r="BJ74" s="67"/>
      <c r="BK74" s="67"/>
      <c r="BL74" s="157"/>
      <c r="BM74" s="66">
        <f t="shared" si="49"/>
        <v>220891.83076923076</v>
      </c>
      <c r="BN74" s="67"/>
      <c r="BO74" s="67">
        <f t="shared" si="50"/>
        <v>1414506</v>
      </c>
      <c r="BP74" s="67"/>
      <c r="BQ74" s="74">
        <f t="shared" si="51"/>
        <v>9.8517137068620225E-2</v>
      </c>
      <c r="BR74" s="67"/>
      <c r="BS74" s="86"/>
      <c r="BT74" s="184"/>
      <c r="BU74" s="1"/>
      <c r="BV74">
        <f t="shared" si="11"/>
        <v>65</v>
      </c>
    </row>
    <row r="75" spans="2:74" x14ac:dyDescent="0.3">
      <c r="B75" s="391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>
        <f t="shared" si="43"/>
        <v>25871.090909090908</v>
      </c>
      <c r="O75" s="41"/>
      <c r="P75" s="17">
        <f>SUM(D69:D75)</f>
        <v>158772</v>
      </c>
      <c r="Q75" s="16"/>
      <c r="R75" s="60">
        <f>+(P75-P68)/P68</f>
        <v>-7.8362266131753594E-3</v>
      </c>
      <c r="S75" s="16"/>
      <c r="T75" s="41"/>
      <c r="U75" s="392"/>
      <c r="V75" s="34">
        <v>617</v>
      </c>
      <c r="W75" s="33"/>
      <c r="X75" s="33"/>
      <c r="Y75" s="33"/>
      <c r="Z75" s="33">
        <f t="shared" si="38"/>
        <v>102053</v>
      </c>
      <c r="AA75" s="33"/>
      <c r="AB75" s="46">
        <f t="shared" si="44"/>
        <v>5.9767776364398777E-2</v>
      </c>
      <c r="AC75" s="33"/>
      <c r="AD75" s="33">
        <f t="shared" si="45"/>
        <v>1546.2575757575758</v>
      </c>
      <c r="AE75" s="50"/>
      <c r="AF75" s="33">
        <f>SUM(V69:V75)</f>
        <v>8322</v>
      </c>
      <c r="AG75" s="33">
        <f t="shared" si="35"/>
        <v>617</v>
      </c>
      <c r="AH75" s="232">
        <f>+(AF75-AF68)/AF68</f>
        <v>-0.1833971151015602</v>
      </c>
      <c r="AI75" s="50"/>
      <c r="AJ75" s="392"/>
      <c r="AK75" s="23">
        <f t="shared" si="39"/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si="40"/>
        <v>1.0713470600607723E-2</v>
      </c>
      <c r="AR75" s="25"/>
      <c r="AS75" s="25"/>
      <c r="AT75" s="24"/>
      <c r="AU75" s="342">
        <f t="shared" si="46"/>
        <v>0.26454121014915444</v>
      </c>
      <c r="AV75" s="342"/>
      <c r="AW75" s="24">
        <f t="shared" si="47"/>
        <v>6843.969696969697</v>
      </c>
      <c r="AX75" s="352"/>
      <c r="AY75" s="392"/>
      <c r="AZ75" s="66">
        <f t="shared" si="41"/>
        <v>391787</v>
      </c>
      <c r="BA75" s="67"/>
      <c r="BB75" s="67">
        <v>14749756</v>
      </c>
      <c r="BC75" s="67"/>
      <c r="BD75" s="67">
        <f t="shared" si="48"/>
        <v>19608</v>
      </c>
      <c r="BE75" s="67"/>
      <c r="BF75" s="157">
        <f t="shared" si="42"/>
        <v>5.0047602396199979E-2</v>
      </c>
      <c r="BG75" s="67"/>
      <c r="BH75" s="184"/>
      <c r="BI75" s="67"/>
      <c r="BJ75" s="67">
        <f>SUM(AZ69:AZ75)</f>
        <v>2874176</v>
      </c>
      <c r="BK75" s="67"/>
      <c r="BL75" s="157">
        <f>+P75/BJ75</f>
        <v>5.5240875993676102E-2</v>
      </c>
      <c r="BM75" s="66">
        <f t="shared" si="49"/>
        <v>223481.15151515152</v>
      </c>
      <c r="BN75" s="67"/>
      <c r="BO75" s="67">
        <f t="shared" si="50"/>
        <v>1434114</v>
      </c>
      <c r="BP75" s="67"/>
      <c r="BQ75" s="74">
        <f t="shared" si="51"/>
        <v>9.7229676206169111E-2</v>
      </c>
      <c r="BR75" s="67"/>
      <c r="BS75" s="86"/>
      <c r="BT75" s="184"/>
      <c r="BU75" s="1"/>
      <c r="BV75">
        <f t="shared" si="11"/>
        <v>66</v>
      </c>
    </row>
    <row r="76" spans="2:74" x14ac:dyDescent="0.3">
      <c r="B76" s="172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>
        <f t="shared" si="43"/>
        <v>25780.328358208953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si="38"/>
        <v>102558</v>
      </c>
      <c r="AA76" s="33"/>
      <c r="AB76" s="46">
        <f t="shared" si="44"/>
        <v>5.937536545856438E-2</v>
      </c>
      <c r="AC76" s="33"/>
      <c r="AD76" s="33">
        <f t="shared" si="45"/>
        <v>1530.7164179104477</v>
      </c>
      <c r="AE76" s="50"/>
      <c r="AF76" s="33"/>
      <c r="AG76" s="33">
        <f t="shared" si="35"/>
        <v>505</v>
      </c>
      <c r="AH76" s="232"/>
      <c r="AI76" s="50"/>
      <c r="AJ76" s="10"/>
      <c r="AK76" s="23">
        <f t="shared" si="39"/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si="40"/>
        <v>2.8709193229164362E-2</v>
      </c>
      <c r="AR76" s="25"/>
      <c r="AS76" s="25"/>
      <c r="AT76" s="24"/>
      <c r="AU76" s="342">
        <f t="shared" si="46"/>
        <v>0.26901802948215753</v>
      </c>
      <c r="AV76" s="342"/>
      <c r="AW76" s="24">
        <f t="shared" si="47"/>
        <v>6935.373134328358</v>
      </c>
      <c r="AX76" s="352"/>
      <c r="AY76" s="10"/>
      <c r="AZ76" s="66">
        <f t="shared" si="41"/>
        <v>437891</v>
      </c>
      <c r="BA76" s="67"/>
      <c r="BB76" s="67">
        <v>15187647</v>
      </c>
      <c r="BC76" s="67"/>
      <c r="BD76" s="67">
        <f t="shared" si="48"/>
        <v>19790</v>
      </c>
      <c r="BE76" s="67"/>
      <c r="BF76" s="157">
        <f t="shared" si="42"/>
        <v>4.5193895284442932E-2</v>
      </c>
      <c r="BG76" s="67"/>
      <c r="BH76" s="184"/>
      <c r="BI76" s="67"/>
      <c r="BJ76" s="67"/>
      <c r="BK76" s="67"/>
      <c r="BL76" s="157"/>
      <c r="BM76" s="66">
        <f t="shared" si="49"/>
        <v>226681.29850746269</v>
      </c>
      <c r="BN76" s="67"/>
      <c r="BO76" s="67">
        <f t="shared" si="50"/>
        <v>1453904</v>
      </c>
      <c r="BP76" s="67"/>
      <c r="BQ76" s="74">
        <f t="shared" si="51"/>
        <v>9.572937796091785E-2</v>
      </c>
      <c r="BR76" s="67"/>
      <c r="BS76" s="86"/>
      <c r="BT76" s="184"/>
      <c r="BU76" s="1"/>
      <c r="BV76">
        <f t="shared" si="11"/>
        <v>67</v>
      </c>
    </row>
    <row r="77" spans="2:74" x14ac:dyDescent="0.3">
      <c r="B77" s="172">
        <f t="shared" ref="B77:B152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>
        <f t="shared" si="43"/>
        <v>25681.073529411766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si="38"/>
        <v>103332</v>
      </c>
      <c r="AA77" s="33"/>
      <c r="AB77" s="46">
        <f t="shared" si="44"/>
        <v>5.917152308893079E-2</v>
      </c>
      <c r="AC77" s="33"/>
      <c r="AD77" s="33">
        <f t="shared" si="45"/>
        <v>1519.5882352941176</v>
      </c>
      <c r="AE77" s="50"/>
      <c r="AF77" s="33"/>
      <c r="AG77" s="33">
        <f t="shared" si="35"/>
        <v>774</v>
      </c>
      <c r="AH77" s="232"/>
      <c r="AI77" s="50"/>
      <c r="AJ77" s="10"/>
      <c r="AK77" s="23">
        <f t="shared" si="39"/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si="40"/>
        <v>3.2924441001140593E-2</v>
      </c>
      <c r="AR77" s="25"/>
      <c r="AS77" s="25"/>
      <c r="AT77" s="24"/>
      <c r="AU77" s="342">
        <f t="shared" si="46"/>
        <v>0.27484706349892601</v>
      </c>
      <c r="AV77" s="342"/>
      <c r="AW77" s="24">
        <f t="shared" si="47"/>
        <v>7058.3676470588234</v>
      </c>
      <c r="AX77" s="352"/>
      <c r="AY77" s="10"/>
      <c r="AZ77" s="66">
        <f t="shared" si="41"/>
        <v>344512</v>
      </c>
      <c r="BA77" s="67"/>
      <c r="BB77" s="67">
        <v>15532159</v>
      </c>
      <c r="BC77" s="67"/>
      <c r="BD77" s="67">
        <f t="shared" si="48"/>
        <v>19031</v>
      </c>
      <c r="BE77" s="67"/>
      <c r="BF77" s="157">
        <f t="shared" si="42"/>
        <v>5.5240456065391047E-2</v>
      </c>
      <c r="BG77" s="67"/>
      <c r="BH77" s="184"/>
      <c r="BI77" s="67"/>
      <c r="BJ77" s="67"/>
      <c r="BK77" s="67"/>
      <c r="BL77" s="157"/>
      <c r="BM77" s="66">
        <f t="shared" si="49"/>
        <v>228414.10294117648</v>
      </c>
      <c r="BN77" s="67"/>
      <c r="BO77" s="67">
        <f t="shared" si="50"/>
        <v>1472935</v>
      </c>
      <c r="BP77" s="67"/>
      <c r="BQ77" s="74">
        <f t="shared" si="51"/>
        <v>9.4831310959410081E-2</v>
      </c>
      <c r="BR77" s="67"/>
      <c r="BS77" s="86"/>
      <c r="BT77" s="184"/>
      <c r="BU77" s="1"/>
      <c r="BV77">
        <f t="shared" ref="BV77:BV152" si="53">+BV76+1</f>
        <v>68</v>
      </c>
    </row>
    <row r="78" spans="2:74" x14ac:dyDescent="0.3">
      <c r="B78" s="172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>
        <f t="shared" si="43"/>
        <v>25606.652173913044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si="38"/>
        <v>104860</v>
      </c>
      <c r="AA78" s="33"/>
      <c r="AB78" s="46">
        <f t="shared" si="44"/>
        <v>5.9348255859692257E-2</v>
      </c>
      <c r="AC78" s="33"/>
      <c r="AD78" s="33">
        <f t="shared" si="45"/>
        <v>1519.7101449275362</v>
      </c>
      <c r="AE78" s="50"/>
      <c r="AF78" s="33"/>
      <c r="AG78" s="33">
        <f t="shared" si="35"/>
        <v>1528</v>
      </c>
      <c r="AH78" s="232"/>
      <c r="AI78" s="50"/>
      <c r="AJ78" s="10"/>
      <c r="AK78" s="23">
        <f t="shared" si="39"/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si="40"/>
        <v>2.1170117236738208E-2</v>
      </c>
      <c r="AR78" s="25"/>
      <c r="AS78" s="25"/>
      <c r="AT78" s="24"/>
      <c r="AU78" s="342">
        <f t="shared" si="46"/>
        <v>0.27740187530527338</v>
      </c>
      <c r="AV78" s="342"/>
      <c r="AW78" s="24">
        <f t="shared" si="47"/>
        <v>7103.333333333333</v>
      </c>
      <c r="AX78" s="352"/>
      <c r="AY78" s="10"/>
      <c r="AZ78" s="66">
        <f t="shared" si="41"/>
        <v>343314</v>
      </c>
      <c r="BA78" s="67"/>
      <c r="BB78" s="67">
        <v>15875473</v>
      </c>
      <c r="BC78" s="67"/>
      <c r="BD78" s="67">
        <f t="shared" si="48"/>
        <v>20546</v>
      </c>
      <c r="BE78" s="67"/>
      <c r="BF78" s="157">
        <f t="shared" si="42"/>
        <v>5.9846088420512998E-2</v>
      </c>
      <c r="BG78" s="67"/>
      <c r="BH78" s="184"/>
      <c r="BI78" s="67"/>
      <c r="BJ78" s="67"/>
      <c r="BK78" s="67"/>
      <c r="BL78" s="157"/>
      <c r="BM78" s="66">
        <f t="shared" si="49"/>
        <v>230079.31884057971</v>
      </c>
      <c r="BN78" s="67"/>
      <c r="BO78" s="67">
        <f t="shared" si="50"/>
        <v>1493481</v>
      </c>
      <c r="BP78" s="67"/>
      <c r="BQ78" s="74">
        <f t="shared" si="51"/>
        <v>9.4074740324272543E-2</v>
      </c>
      <c r="BR78" s="67"/>
      <c r="BS78" s="86"/>
      <c r="BT78" s="184"/>
      <c r="BU78" s="1"/>
      <c r="BV78">
        <f t="shared" si="53"/>
        <v>69</v>
      </c>
    </row>
    <row r="79" spans="2:74" x14ac:dyDescent="0.3">
      <c r="B79" s="172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>
        <f t="shared" si="43"/>
        <v>25564.528571428571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si="38"/>
        <v>106083</v>
      </c>
      <c r="AA79" s="33"/>
      <c r="AB79" s="46">
        <f t="shared" si="44"/>
        <v>5.9280241540035666E-2</v>
      </c>
      <c r="AC79" s="33"/>
      <c r="AD79" s="33">
        <f t="shared" si="45"/>
        <v>1515.4714285714285</v>
      </c>
      <c r="AE79" s="50"/>
      <c r="AF79" s="33"/>
      <c r="AG79" s="33">
        <f t="shared" si="35"/>
        <v>1223</v>
      </c>
      <c r="AH79" s="232"/>
      <c r="AI79" s="50"/>
      <c r="AJ79" s="10"/>
      <c r="AK79" s="23">
        <f t="shared" si="39"/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si="40"/>
        <v>1.7536163874890334E-2</v>
      </c>
      <c r="AR79" s="25"/>
      <c r="AS79" s="25"/>
      <c r="AT79" s="24"/>
      <c r="AU79" s="342">
        <f t="shared" si="46"/>
        <v>0.2786925187075619</v>
      </c>
      <c r="AV79" s="342"/>
      <c r="AW79" s="24">
        <f t="shared" si="47"/>
        <v>7124.6428571428569</v>
      </c>
      <c r="AX79" s="352"/>
      <c r="AY79" s="10"/>
      <c r="AZ79" s="66">
        <f t="shared" si="41"/>
        <v>455839</v>
      </c>
      <c r="BA79" s="67"/>
      <c r="BB79" s="67">
        <v>16331312</v>
      </c>
      <c r="BC79" s="67"/>
      <c r="BD79" s="67">
        <f t="shared" si="48"/>
        <v>22658</v>
      </c>
      <c r="BE79" s="67"/>
      <c r="BF79" s="157">
        <f t="shared" si="42"/>
        <v>4.9706146249004581E-2</v>
      </c>
      <c r="BG79" s="67"/>
      <c r="BH79" s="184"/>
      <c r="BI79" s="67"/>
      <c r="BJ79" s="67"/>
      <c r="BK79" s="67"/>
      <c r="BL79" s="157"/>
      <c r="BM79" s="66">
        <f t="shared" si="49"/>
        <v>233304.45714285714</v>
      </c>
      <c r="BN79" s="67"/>
      <c r="BO79" s="67">
        <f t="shared" si="50"/>
        <v>1516139</v>
      </c>
      <c r="BP79" s="67"/>
      <c r="BQ79" s="74">
        <f t="shared" si="51"/>
        <v>9.2836325703654424E-2</v>
      </c>
      <c r="BR79" s="67"/>
      <c r="BS79" s="86"/>
      <c r="BT79" s="184"/>
      <c r="BU79" s="1"/>
      <c r="BV79">
        <f t="shared" si="53"/>
        <v>70</v>
      </c>
    </row>
    <row r="80" spans="2:74" x14ac:dyDescent="0.3">
      <c r="B80" s="172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>
        <f t="shared" si="43"/>
        <v>25557.549295774646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si="38"/>
        <v>107295</v>
      </c>
      <c r="AA80" s="33"/>
      <c r="AB80" s="46">
        <f t="shared" si="44"/>
        <v>5.912918979866482E-2</v>
      </c>
      <c r="AC80" s="33"/>
      <c r="AD80" s="33">
        <f t="shared" si="45"/>
        <v>1511.1971830985915</v>
      </c>
      <c r="AE80" s="50"/>
      <c r="AF80" s="33"/>
      <c r="AG80" s="33">
        <f t="shared" si="35"/>
        <v>1212</v>
      </c>
      <c r="AH80" s="232"/>
      <c r="AI80" s="50"/>
      <c r="AJ80" s="10"/>
      <c r="AK80" s="23">
        <f t="shared" si="39"/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si="40"/>
        <v>4.1794576169231538E-2</v>
      </c>
      <c r="AR80" s="25"/>
      <c r="AS80" s="25"/>
      <c r="AT80" s="24"/>
      <c r="AU80" s="342">
        <f t="shared" si="46"/>
        <v>0.28632922330493016</v>
      </c>
      <c r="AV80" s="342"/>
      <c r="AW80" s="24">
        <f t="shared" si="47"/>
        <v>7317.8732394366198</v>
      </c>
      <c r="AX80" s="352"/>
      <c r="AY80" s="10"/>
      <c r="AZ80" s="66">
        <f t="shared" si="41"/>
        <v>479466</v>
      </c>
      <c r="BA80" s="67"/>
      <c r="BB80" s="67">
        <v>16810778</v>
      </c>
      <c r="BC80" s="67"/>
      <c r="BD80" s="67">
        <f t="shared" si="48"/>
        <v>25069</v>
      </c>
      <c r="BE80" s="67"/>
      <c r="BF80" s="157">
        <f t="shared" si="42"/>
        <v>5.2285250674708947E-2</v>
      </c>
      <c r="BG80" s="67"/>
      <c r="BH80" s="184"/>
      <c r="BI80" s="67"/>
      <c r="BJ80" s="67"/>
      <c r="BK80" s="67"/>
      <c r="BL80" s="157"/>
      <c r="BM80" s="66">
        <f t="shared" si="49"/>
        <v>236771.52112676058</v>
      </c>
      <c r="BN80" s="67"/>
      <c r="BO80" s="67">
        <f t="shared" si="50"/>
        <v>1541208</v>
      </c>
      <c r="BP80" s="67"/>
      <c r="BQ80" s="74">
        <f t="shared" si="51"/>
        <v>9.1679754500356855E-2</v>
      </c>
      <c r="BR80" s="67"/>
      <c r="BS80" s="86"/>
      <c r="BT80" s="184"/>
      <c r="BU80" s="1"/>
      <c r="BV80">
        <f t="shared" si="53"/>
        <v>71</v>
      </c>
    </row>
    <row r="81" spans="2:74" x14ac:dyDescent="0.3">
      <c r="B81" s="476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>
        <f t="shared" si="43"/>
        <v>25526.055555555555</v>
      </c>
      <c r="O81" s="41"/>
      <c r="P81" s="17"/>
      <c r="Q81" s="16"/>
      <c r="R81" s="60"/>
      <c r="S81" s="16"/>
      <c r="T81" s="41"/>
      <c r="U81" s="478"/>
      <c r="V81" s="34">
        <v>1015</v>
      </c>
      <c r="W81" s="33"/>
      <c r="X81" s="33"/>
      <c r="Y81" s="33"/>
      <c r="Z81" s="33">
        <f t="shared" si="38"/>
        <v>108310</v>
      </c>
      <c r="AA81" s="33"/>
      <c r="AB81" s="46">
        <f t="shared" si="44"/>
        <v>5.8932158643999921E-2</v>
      </c>
      <c r="AC81" s="33"/>
      <c r="AD81" s="33">
        <f t="shared" si="45"/>
        <v>1504.3055555555557</v>
      </c>
      <c r="AE81" s="50"/>
      <c r="AF81" s="33"/>
      <c r="AG81" s="33">
        <f t="shared" si="35"/>
        <v>1015</v>
      </c>
      <c r="AH81" s="232"/>
      <c r="AI81" s="50"/>
      <c r="AJ81" s="10"/>
      <c r="AK81" s="23">
        <f t="shared" si="39"/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si="40"/>
        <v>3.0157688391724679E-2</v>
      </c>
      <c r="AR81" s="25"/>
      <c r="AS81" s="25"/>
      <c r="AT81" s="24"/>
      <c r="AU81" s="342">
        <f t="shared" si="46"/>
        <v>0.2912263939460551</v>
      </c>
      <c r="AV81" s="342"/>
      <c r="AW81" s="24">
        <f t="shared" si="47"/>
        <v>7433.8611111111113</v>
      </c>
      <c r="AX81" s="352"/>
      <c r="AY81" s="504"/>
      <c r="AZ81" s="66">
        <f t="shared" si="41"/>
        <v>460063</v>
      </c>
      <c r="BA81" s="67"/>
      <c r="BB81" s="67">
        <v>17270841</v>
      </c>
      <c r="BC81" s="67"/>
      <c r="BD81" s="67">
        <f t="shared" si="48"/>
        <v>23290</v>
      </c>
      <c r="BE81" s="67"/>
      <c r="BF81" s="157">
        <f t="shared" si="42"/>
        <v>5.0623501563916248E-2</v>
      </c>
      <c r="BG81" s="67"/>
      <c r="BH81" s="184"/>
      <c r="BI81" s="67"/>
      <c r="BJ81" s="67"/>
      <c r="BK81" s="67"/>
      <c r="BL81" s="157"/>
      <c r="BM81" s="66">
        <f t="shared" si="49"/>
        <v>239872.79166666666</v>
      </c>
      <c r="BN81" s="67"/>
      <c r="BO81" s="67">
        <f t="shared" si="50"/>
        <v>1564498</v>
      </c>
      <c r="BP81" s="67"/>
      <c r="BQ81" s="74">
        <f t="shared" si="51"/>
        <v>9.0586092478067509E-2</v>
      </c>
      <c r="BR81" s="67"/>
      <c r="BS81" s="86"/>
      <c r="BT81" s="184"/>
      <c r="BU81" s="1"/>
      <c r="BV81">
        <f t="shared" si="53"/>
        <v>72</v>
      </c>
    </row>
    <row r="82" spans="2:74" x14ac:dyDescent="0.3">
      <c r="B82" s="391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>
        <f t="shared" si="43"/>
        <v>25455.150684931508</v>
      </c>
      <c r="O82" s="41"/>
      <c r="P82" s="17">
        <f>SUM(D76:D82)</f>
        <v>150734</v>
      </c>
      <c r="Q82" s="16"/>
      <c r="R82" s="60">
        <f>+(P82-P75)/P75</f>
        <v>-5.0626054971909404E-2</v>
      </c>
      <c r="S82" s="16"/>
      <c r="T82" s="41"/>
      <c r="U82" s="392"/>
      <c r="V82" s="34">
        <v>638</v>
      </c>
      <c r="W82" s="33"/>
      <c r="X82" s="33"/>
      <c r="Y82" s="33"/>
      <c r="Z82" s="33">
        <f t="shared" si="38"/>
        <v>108948</v>
      </c>
      <c r="AA82" s="33"/>
      <c r="AB82" s="46">
        <f t="shared" si="44"/>
        <v>5.8630112806515464E-2</v>
      </c>
      <c r="AC82" s="33"/>
      <c r="AD82" s="33">
        <f t="shared" si="45"/>
        <v>1492.4383561643835</v>
      </c>
      <c r="AE82" s="50"/>
      <c r="AF82" s="33">
        <f>SUM(V76:V82)</f>
        <v>6895</v>
      </c>
      <c r="AG82" s="33">
        <f t="shared" si="35"/>
        <v>638</v>
      </c>
      <c r="AH82" s="232">
        <f>+(AF82-AF75)/AF75</f>
        <v>-0.17147320355683729</v>
      </c>
      <c r="AI82" s="50"/>
      <c r="AJ82" s="392"/>
      <c r="AK82" s="23">
        <f t="shared" si="39"/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si="40"/>
        <v>0.12074815315803437</v>
      </c>
      <c r="AR82" s="25"/>
      <c r="AS82" s="25"/>
      <c r="AT82" s="24"/>
      <c r="AU82" s="342">
        <f t="shared" si="46"/>
        <v>0.32281703086707431</v>
      </c>
      <c r="AV82" s="342"/>
      <c r="AW82" s="24">
        <f t="shared" si="47"/>
        <v>8217.3561643835619</v>
      </c>
      <c r="AX82" s="352"/>
      <c r="AY82" s="392"/>
      <c r="AZ82" s="66">
        <f t="shared" si="41"/>
        <v>401726</v>
      </c>
      <c r="BA82" s="67"/>
      <c r="BB82" s="67">
        <v>17672567</v>
      </c>
      <c r="BC82" s="67"/>
      <c r="BD82" s="67">
        <f t="shared" si="48"/>
        <v>20350</v>
      </c>
      <c r="BE82" s="67"/>
      <c r="BF82" s="157">
        <f t="shared" si="42"/>
        <v>5.0656417558236209E-2</v>
      </c>
      <c r="BG82" s="67"/>
      <c r="BH82" s="184"/>
      <c r="BI82" s="67"/>
      <c r="BJ82" s="67">
        <f>SUM(AZ76:AZ82)</f>
        <v>2922811</v>
      </c>
      <c r="BK82" s="67"/>
      <c r="BL82" s="157">
        <f>+P82/BJ82</f>
        <v>5.1571586394056956E-2</v>
      </c>
      <c r="BM82" s="66">
        <f t="shared" si="49"/>
        <v>242089.95890410958</v>
      </c>
      <c r="BN82" s="67"/>
      <c r="BO82" s="67">
        <f t="shared" si="50"/>
        <v>1584848</v>
      </c>
      <c r="BP82" s="67"/>
      <c r="BQ82" s="74">
        <f t="shared" si="51"/>
        <v>8.9678426456100011E-2</v>
      </c>
      <c r="BR82" s="67"/>
      <c r="BS82" s="86"/>
      <c r="BT82" s="184"/>
      <c r="BU82" s="1"/>
      <c r="BV82">
        <f t="shared" si="53"/>
        <v>73</v>
      </c>
    </row>
    <row r="83" spans="2:74" x14ac:dyDescent="0.3">
      <c r="B83" s="172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>
        <f t="shared" si="43"/>
        <v>25410.527027027027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si="38"/>
        <v>109678</v>
      </c>
      <c r="AA83" s="33"/>
      <c r="AB83" s="46">
        <f t="shared" si="44"/>
        <v>5.8327603105544149E-2</v>
      </c>
      <c r="AC83" s="33"/>
      <c r="AD83" s="33">
        <f t="shared" si="45"/>
        <v>1482.1351351351352</v>
      </c>
      <c r="AE83" s="50"/>
      <c r="AF83" s="33">
        <f>SUM(D52:D82)</f>
        <v>742147</v>
      </c>
      <c r="AG83" s="33"/>
      <c r="AH83" s="232"/>
      <c r="AI83" s="50"/>
      <c r="AJ83" s="10"/>
      <c r="AK83" s="23">
        <f t="shared" si="39"/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si="40"/>
        <v>2.5774046580325307E-2</v>
      </c>
      <c r="AR83" s="25"/>
      <c r="AS83" s="25"/>
      <c r="AT83" s="24"/>
      <c r="AU83" s="342">
        <f t="shared" si="46"/>
        <v>0.32723615824256708</v>
      </c>
      <c r="AV83" s="342"/>
      <c r="AW83" s="24">
        <f t="shared" si="47"/>
        <v>8315.2432432432433</v>
      </c>
      <c r="AX83" s="352"/>
      <c r="AY83" s="10"/>
      <c r="AZ83" s="66">
        <f t="shared" si="41"/>
        <v>477486</v>
      </c>
      <c r="BA83" s="67"/>
      <c r="BB83" s="67">
        <v>18150053</v>
      </c>
      <c r="BC83" s="67"/>
      <c r="BD83" s="67">
        <f t="shared" si="48"/>
        <v>22153</v>
      </c>
      <c r="BE83" s="67"/>
      <c r="BF83" s="157">
        <f t="shared" si="42"/>
        <v>4.6395077552011998E-2</v>
      </c>
      <c r="BG83" s="67"/>
      <c r="BH83" s="184"/>
      <c r="BI83" s="67"/>
      <c r="BJ83" s="67">
        <f>SUM(AZ76:AZ83)</f>
        <v>3400297</v>
      </c>
      <c r="BK83" s="67"/>
      <c r="BL83" s="157"/>
      <c r="BM83" s="66">
        <f t="shared" si="49"/>
        <v>245270.98648648648</v>
      </c>
      <c r="BN83" s="67"/>
      <c r="BO83" s="67">
        <f t="shared" si="50"/>
        <v>1607001</v>
      </c>
      <c r="BP83" s="67"/>
      <c r="BQ83" s="74">
        <f t="shared" si="51"/>
        <v>8.8539741454198503E-2</v>
      </c>
      <c r="BR83" s="67"/>
      <c r="BS83" s="86"/>
      <c r="BT83" s="184"/>
      <c r="BU83" s="1"/>
      <c r="BV83">
        <f t="shared" si="53"/>
        <v>74</v>
      </c>
    </row>
    <row r="84" spans="2:74" x14ac:dyDescent="0.3">
      <c r="B84" s="172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>
        <f t="shared" si="43"/>
        <v>25363.48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si="38"/>
        <v>110812</v>
      </c>
      <c r="AA84" s="33"/>
      <c r="AB84" s="46">
        <f t="shared" si="44"/>
        <v>5.8252784449662795E-2</v>
      </c>
      <c r="AC84" s="33"/>
      <c r="AD84" s="33">
        <f t="shared" si="45"/>
        <v>1477.4933333333333</v>
      </c>
      <c r="AE84" s="50"/>
      <c r="AF84" s="33">
        <f>SUM(AG52:AG82)</f>
        <v>42339</v>
      </c>
      <c r="AG84" s="33"/>
      <c r="AH84" s="232"/>
      <c r="AI84" s="50"/>
      <c r="AJ84" s="10"/>
      <c r="AK84" s="23">
        <f t="shared" si="39"/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si="40"/>
        <v>4.9320037443444799E-2</v>
      </c>
      <c r="AR84" s="25"/>
      <c r="AS84" s="25"/>
      <c r="AT84" s="24"/>
      <c r="AU84" s="342">
        <f t="shared" si="46"/>
        <v>0.33942555727105794</v>
      </c>
      <c r="AV84" s="342"/>
      <c r="AW84" s="24">
        <f t="shared" si="47"/>
        <v>8609.0133333333342</v>
      </c>
      <c r="AX84" s="352"/>
      <c r="AY84" s="10"/>
      <c r="AZ84" s="66">
        <f t="shared" si="41"/>
        <v>453121</v>
      </c>
      <c r="BA84" s="67"/>
      <c r="BB84" s="67">
        <v>18603174</v>
      </c>
      <c r="BC84" s="67"/>
      <c r="BD84" s="67">
        <f t="shared" si="48"/>
        <v>21882</v>
      </c>
      <c r="BE84" s="67"/>
      <c r="BF84" s="157">
        <f t="shared" si="42"/>
        <v>4.8291736644295896E-2</v>
      </c>
      <c r="BG84" s="67"/>
      <c r="BH84" s="184"/>
      <c r="BI84" s="67"/>
      <c r="BJ84" s="67"/>
      <c r="BK84" s="67"/>
      <c r="BL84" s="157"/>
      <c r="BM84" s="66">
        <f t="shared" si="49"/>
        <v>248042.32</v>
      </c>
      <c r="BN84" s="67"/>
      <c r="BO84" s="67">
        <f t="shared" si="50"/>
        <v>1628883</v>
      </c>
      <c r="BP84" s="67"/>
      <c r="BQ84" s="74">
        <f t="shared" si="51"/>
        <v>8.7559413248513393E-2</v>
      </c>
      <c r="BR84" s="67"/>
      <c r="BS84" s="86"/>
      <c r="BT84" s="184"/>
      <c r="BU84" s="1"/>
      <c r="BV84">
        <f t="shared" si="53"/>
        <v>75</v>
      </c>
    </row>
    <row r="85" spans="2:74" x14ac:dyDescent="0.3">
      <c r="B85" s="172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>
        <f t="shared" si="43"/>
        <v>25300.513157894737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si="38"/>
        <v>111895</v>
      </c>
      <c r="AA85" s="33"/>
      <c r="AB85" s="46">
        <f t="shared" si="44"/>
        <v>5.819259958842108E-2</v>
      </c>
      <c r="AC85" s="33"/>
      <c r="AD85" s="33">
        <f t="shared" si="45"/>
        <v>1472.3026315789473</v>
      </c>
      <c r="AE85" s="50"/>
      <c r="AF85" s="232">
        <f>+AF84/AF83</f>
        <v>5.7049344671608188E-2</v>
      </c>
      <c r="AG85" s="33"/>
      <c r="AH85" s="232"/>
      <c r="AI85" s="50"/>
      <c r="AJ85" s="10"/>
      <c r="AK85" s="23">
        <f t="shared" si="39"/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si="40"/>
        <v>6.6587576431522938E-2</v>
      </c>
      <c r="AR85" s="25"/>
      <c r="AS85" s="25"/>
      <c r="AT85" s="24"/>
      <c r="AU85" s="342">
        <f t="shared" si="46"/>
        <v>0.35815271065336202</v>
      </c>
      <c r="AV85" s="342"/>
      <c r="AW85" s="24">
        <f t="shared" si="47"/>
        <v>9061.4473684210534</v>
      </c>
      <c r="AX85" s="352"/>
      <c r="AY85" s="10"/>
      <c r="AZ85" s="66">
        <f t="shared" si="41"/>
        <v>493497</v>
      </c>
      <c r="BA85" s="67"/>
      <c r="BB85" s="67">
        <v>19096671</v>
      </c>
      <c r="BC85" s="67"/>
      <c r="BD85" s="67">
        <f t="shared" si="48"/>
        <v>20578</v>
      </c>
      <c r="BE85" s="67"/>
      <c r="BF85" s="157">
        <f t="shared" si="42"/>
        <v>4.1698328459950113E-2</v>
      </c>
      <c r="BG85" s="67"/>
      <c r="BH85" s="184"/>
      <c r="BI85" s="67"/>
      <c r="BJ85" s="67"/>
      <c r="BK85" s="67"/>
      <c r="BL85" s="157"/>
      <c r="BM85" s="66">
        <f t="shared" si="49"/>
        <v>251271.98684210525</v>
      </c>
      <c r="BN85" s="67"/>
      <c r="BO85" s="67">
        <f t="shared" si="50"/>
        <v>1649461</v>
      </c>
      <c r="BP85" s="67"/>
      <c r="BQ85" s="74">
        <f t="shared" si="51"/>
        <v>8.6374269106903503E-2</v>
      </c>
      <c r="BR85" s="67"/>
      <c r="BS85" s="86"/>
      <c r="BT85" s="184"/>
      <c r="BU85" s="1"/>
      <c r="BV85">
        <f t="shared" si="53"/>
        <v>76</v>
      </c>
    </row>
    <row r="86" spans="2:74" x14ac:dyDescent="0.3">
      <c r="B86" s="172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>
        <f t="shared" si="43"/>
        <v>25261.129870129869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si="38"/>
        <v>112926</v>
      </c>
      <c r="AA86" s="33"/>
      <c r="AB86" s="46">
        <f t="shared" si="44"/>
        <v>5.8056446252057088E-2</v>
      </c>
      <c r="AC86" s="33"/>
      <c r="AD86" s="33">
        <f t="shared" si="45"/>
        <v>1466.5714285714287</v>
      </c>
      <c r="AE86" s="50"/>
      <c r="AF86" s="33"/>
      <c r="AG86" s="33"/>
      <c r="AH86" s="232"/>
      <c r="AI86" s="50"/>
      <c r="AJ86" s="10"/>
      <c r="AK86" s="23">
        <f t="shared" si="39"/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si="40"/>
        <v>3.4242815862459523E-2</v>
      </c>
      <c r="AR86" s="25"/>
      <c r="AS86" s="25"/>
      <c r="AT86" s="24"/>
      <c r="AU86" s="342">
        <f t="shared" si="46"/>
        <v>0.36617625662752745</v>
      </c>
      <c r="AV86" s="342"/>
      <c r="AW86" s="24">
        <f t="shared" si="47"/>
        <v>9250.0259740259735</v>
      </c>
      <c r="AX86" s="352"/>
      <c r="AY86" s="10"/>
      <c r="AZ86" s="66">
        <f t="shared" si="41"/>
        <v>471398</v>
      </c>
      <c r="BA86" s="67"/>
      <c r="BB86" s="67">
        <v>19568069</v>
      </c>
      <c r="BC86" s="67"/>
      <c r="BD86" s="67">
        <f t="shared" si="48"/>
        <v>22268</v>
      </c>
      <c r="BE86" s="67"/>
      <c r="BF86" s="157">
        <f t="shared" si="42"/>
        <v>4.7238214841810955E-2</v>
      </c>
      <c r="BG86" s="67"/>
      <c r="BH86" s="184"/>
      <c r="BI86" s="67"/>
      <c r="BJ86" s="67"/>
      <c r="BK86" s="67"/>
      <c r="BL86" s="157"/>
      <c r="BM86" s="66">
        <f t="shared" si="49"/>
        <v>254130.76623376625</v>
      </c>
      <c r="BN86" s="67"/>
      <c r="BO86" s="67">
        <f t="shared" si="50"/>
        <v>1671729</v>
      </c>
      <c r="BP86" s="67"/>
      <c r="BQ86" s="74">
        <f t="shared" si="51"/>
        <v>8.5431475124091188E-2</v>
      </c>
      <c r="BR86" s="67"/>
      <c r="BS86" s="86"/>
      <c r="BT86" s="184"/>
      <c r="BU86" s="1"/>
      <c r="BV86">
        <f t="shared" si="53"/>
        <v>77</v>
      </c>
    </row>
    <row r="87" spans="2:74" x14ac:dyDescent="0.3">
      <c r="B87" s="172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>
        <f t="shared" si="43"/>
        <v>25262.820512820512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si="38"/>
        <v>113901</v>
      </c>
      <c r="AA87" s="33"/>
      <c r="AB87" s="46">
        <f t="shared" si="44"/>
        <v>5.7803095660999747E-2</v>
      </c>
      <c r="AC87" s="33"/>
      <c r="AD87" s="33">
        <f t="shared" si="45"/>
        <v>1460.2692307692307</v>
      </c>
      <c r="AE87" s="50"/>
      <c r="AF87" s="33"/>
      <c r="AG87" s="33"/>
      <c r="AH87" s="232"/>
      <c r="AI87" s="50"/>
      <c r="AJ87" s="10"/>
      <c r="AK87" s="23">
        <f t="shared" si="39"/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si="40"/>
        <v>3.7057109000746928E-2</v>
      </c>
      <c r="AR87" s="25"/>
      <c r="AS87" s="25"/>
      <c r="AT87" s="24"/>
      <c r="AU87" s="342">
        <f t="shared" si="46"/>
        <v>0.37485206800304494</v>
      </c>
      <c r="AV87" s="342"/>
      <c r="AW87" s="24">
        <f t="shared" si="47"/>
        <v>9469.8205128205136</v>
      </c>
      <c r="AX87" s="352"/>
      <c r="AY87" s="10"/>
      <c r="AZ87" s="66">
        <f t="shared" si="41"/>
        <v>699286</v>
      </c>
      <c r="BA87" s="67"/>
      <c r="BB87" s="67">
        <v>20267355</v>
      </c>
      <c r="BC87" s="67"/>
      <c r="BD87" s="67">
        <f t="shared" si="48"/>
        <v>25393</v>
      </c>
      <c r="BE87" s="67"/>
      <c r="BF87" s="157">
        <f t="shared" si="42"/>
        <v>3.631275329407424E-2</v>
      </c>
      <c r="BG87" s="67"/>
      <c r="BH87" s="184"/>
      <c r="BI87" s="67"/>
      <c r="BJ87" s="67"/>
      <c r="BK87" s="67"/>
      <c r="BL87" s="157"/>
      <c r="BM87" s="66">
        <f t="shared" si="49"/>
        <v>259837.88461538462</v>
      </c>
      <c r="BN87" s="67"/>
      <c r="BO87" s="67">
        <f t="shared" si="50"/>
        <v>1697122</v>
      </c>
      <c r="BP87" s="67"/>
      <c r="BQ87" s="74">
        <f t="shared" si="51"/>
        <v>8.3736728349604578E-2</v>
      </c>
      <c r="BR87" s="67"/>
      <c r="BS87" s="86"/>
      <c r="BT87" s="184"/>
      <c r="BU87" s="1"/>
      <c r="BV87">
        <f t="shared" si="53"/>
        <v>78</v>
      </c>
    </row>
    <row r="88" spans="2:74" x14ac:dyDescent="0.3">
      <c r="B88" s="476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>
        <f t="shared" si="43"/>
        <v>25232.101265822785</v>
      </c>
      <c r="O88" s="41"/>
      <c r="P88" s="17"/>
      <c r="Q88" s="16"/>
      <c r="R88" s="60"/>
      <c r="S88" s="16"/>
      <c r="T88" s="41"/>
      <c r="U88" s="478"/>
      <c r="V88" s="34">
        <v>706</v>
      </c>
      <c r="W88" s="33"/>
      <c r="X88" s="33"/>
      <c r="Y88" s="33"/>
      <c r="Z88" s="33">
        <f t="shared" si="38"/>
        <v>114607</v>
      </c>
      <c r="AA88" s="33"/>
      <c r="AB88" s="46">
        <f t="shared" si="44"/>
        <v>5.7495073585185838E-2</v>
      </c>
      <c r="AC88" s="33"/>
      <c r="AD88" s="33">
        <f t="shared" si="45"/>
        <v>1450.7215189873418</v>
      </c>
      <c r="AE88" s="50"/>
      <c r="AF88" s="33"/>
      <c r="AG88" s="33"/>
      <c r="AH88" s="232"/>
      <c r="AI88" s="50"/>
      <c r="AJ88" s="10"/>
      <c r="AK88" s="23">
        <f t="shared" si="39"/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si="40"/>
        <v>1.7666107986775804E-2</v>
      </c>
      <c r="AR88" s="25"/>
      <c r="AS88" s="25"/>
      <c r="AT88" s="24"/>
      <c r="AU88" s="342">
        <f t="shared" si="46"/>
        <v>0.37710401056319659</v>
      </c>
      <c r="AV88" s="342"/>
      <c r="AW88" s="24">
        <f t="shared" si="47"/>
        <v>9515.1265822784808</v>
      </c>
      <c r="AX88" s="352"/>
      <c r="AY88" s="10"/>
      <c r="AZ88" s="66">
        <f t="shared" si="41"/>
        <v>551073</v>
      </c>
      <c r="BA88" s="67"/>
      <c r="BB88" s="67">
        <v>20818428</v>
      </c>
      <c r="BC88" s="67"/>
      <c r="BD88" s="67">
        <f t="shared" si="48"/>
        <v>22836</v>
      </c>
      <c r="BE88" s="67"/>
      <c r="BF88" s="157">
        <f t="shared" si="42"/>
        <v>4.1439155973890938E-2</v>
      </c>
      <c r="BG88" s="67"/>
      <c r="BH88" s="184"/>
      <c r="BI88" s="67"/>
      <c r="BJ88" s="67"/>
      <c r="BK88" s="67"/>
      <c r="BL88" s="157"/>
      <c r="BM88" s="66">
        <f t="shared" si="49"/>
        <v>263524.40506329114</v>
      </c>
      <c r="BN88" s="67"/>
      <c r="BO88" s="67">
        <f t="shared" si="50"/>
        <v>1719958</v>
      </c>
      <c r="BP88" s="67"/>
      <c r="BQ88" s="74">
        <f t="shared" si="51"/>
        <v>8.2617092894814156E-2</v>
      </c>
      <c r="BR88" s="67"/>
      <c r="BS88" s="86"/>
      <c r="BT88" s="184"/>
      <c r="BU88" s="1"/>
      <c r="BV88">
        <f t="shared" si="53"/>
        <v>79</v>
      </c>
    </row>
    <row r="89" spans="2:74" x14ac:dyDescent="0.3">
      <c r="B89" s="391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>
        <f t="shared" si="43"/>
        <v>25146.387500000001</v>
      </c>
      <c r="O89" s="41"/>
      <c r="P89" s="17">
        <f>SUM(D83:D89)</f>
        <v>153485</v>
      </c>
      <c r="Q89" s="16"/>
      <c r="R89" s="60">
        <f>+(P89-P82)/P82</f>
        <v>1.8250693274244695E-2</v>
      </c>
      <c r="S89" s="16"/>
      <c r="T89" s="41"/>
      <c r="U89" s="392"/>
      <c r="V89" s="34">
        <v>542</v>
      </c>
      <c r="W89" s="33"/>
      <c r="X89" s="33"/>
      <c r="Y89" s="33"/>
      <c r="Z89" s="33">
        <f t="shared" si="38"/>
        <v>115149</v>
      </c>
      <c r="AA89" s="33"/>
      <c r="AB89" s="46">
        <f t="shared" si="44"/>
        <v>5.7239335073477254E-2</v>
      </c>
      <c r="AC89" s="33"/>
      <c r="AD89" s="33">
        <f t="shared" si="45"/>
        <v>1439.3625</v>
      </c>
      <c r="AE89" s="50"/>
      <c r="AF89" s="33">
        <f>SUM(V83:V89)</f>
        <v>6201</v>
      </c>
      <c r="AG89" s="33"/>
      <c r="AH89" s="232">
        <f>+(AF89-AF82)/AF82</f>
        <v>-0.10065264684554025</v>
      </c>
      <c r="AI89" s="50"/>
      <c r="AJ89" s="392"/>
      <c r="AK89" s="23">
        <f t="shared" si="39"/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si="40"/>
        <v>1.3320562196103473E-2</v>
      </c>
      <c r="AR89" s="25"/>
      <c r="AS89" s="25"/>
      <c r="AT89" s="24"/>
      <c r="AU89" s="342">
        <f t="shared" si="46"/>
        <v>0.37863689168076331</v>
      </c>
      <c r="AV89" s="342"/>
      <c r="AW89" s="24">
        <f t="shared" si="47"/>
        <v>9521.35</v>
      </c>
      <c r="AX89" s="352"/>
      <c r="AY89" s="392"/>
      <c r="AZ89" s="66">
        <f t="shared" si="41"/>
        <v>473249</v>
      </c>
      <c r="BA89" s="67"/>
      <c r="BB89" s="67">
        <v>21291677</v>
      </c>
      <c r="BC89" s="67"/>
      <c r="BD89" s="67">
        <f t="shared" si="48"/>
        <v>18375</v>
      </c>
      <c r="BE89" s="67"/>
      <c r="BF89" s="157">
        <f t="shared" si="42"/>
        <v>3.8827340364163472E-2</v>
      </c>
      <c r="BG89" s="67"/>
      <c r="BH89" s="184"/>
      <c r="BI89" s="67"/>
      <c r="BJ89" s="67">
        <f>SUM(AZ83:AZ89)</f>
        <v>3619110</v>
      </c>
      <c r="BK89" s="67"/>
      <c r="BL89" s="157">
        <f>+P89/BJ89</f>
        <v>4.2409597939824982E-2</v>
      </c>
      <c r="BM89" s="66">
        <f t="shared" si="49"/>
        <v>266145.96250000002</v>
      </c>
      <c r="BN89" s="67"/>
      <c r="BO89" s="67">
        <f t="shared" si="50"/>
        <v>1738333</v>
      </c>
      <c r="BP89" s="67"/>
      <c r="BQ89" s="74">
        <f t="shared" si="51"/>
        <v>8.1643780337265118E-2</v>
      </c>
      <c r="BR89" s="67"/>
      <c r="BS89" s="86"/>
      <c r="BT89" s="184"/>
      <c r="BU89" s="1"/>
      <c r="BV89">
        <f t="shared" si="53"/>
        <v>80</v>
      </c>
    </row>
    <row r="90" spans="2:74" x14ac:dyDescent="0.3">
      <c r="B90" s="172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>
        <f t="shared" si="43"/>
        <v>25071.04938271605</v>
      </c>
      <c r="O90" s="41"/>
      <c r="P90" s="17"/>
      <c r="Q90" s="16"/>
      <c r="R90" s="60"/>
      <c r="S90" s="16"/>
      <c r="T90" s="41"/>
      <c r="U90" s="10"/>
      <c r="V90" s="34">
        <v>586</v>
      </c>
      <c r="W90" s="33"/>
      <c r="X90" s="33"/>
      <c r="Y90" s="33"/>
      <c r="Z90" s="33">
        <f t="shared" si="38"/>
        <v>115735</v>
      </c>
      <c r="AA90" s="33"/>
      <c r="AB90" s="46">
        <f t="shared" si="44"/>
        <v>5.6991119066554068E-2</v>
      </c>
      <c r="AC90" s="33"/>
      <c r="AD90" s="33">
        <f t="shared" si="45"/>
        <v>1428.8271604938273</v>
      </c>
      <c r="AE90" s="50"/>
      <c r="AF90" s="33"/>
      <c r="AG90" s="33"/>
      <c r="AH90" s="232"/>
      <c r="AI90" s="50"/>
      <c r="AJ90" s="10"/>
      <c r="AK90" s="23">
        <f t="shared" si="39"/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si="40"/>
        <v>1.545474118691152E-2</v>
      </c>
      <c r="AR90" s="25"/>
      <c r="AS90" s="25"/>
      <c r="AT90" s="24"/>
      <c r="AU90" s="342">
        <f t="shared" si="46"/>
        <v>0.38088297209658478</v>
      </c>
      <c r="AV90" s="342"/>
      <c r="AW90" s="24">
        <f t="shared" si="47"/>
        <v>9549.1358024691363</v>
      </c>
      <c r="AX90" s="352"/>
      <c r="AY90" s="10"/>
      <c r="AZ90" s="66">
        <f t="shared" si="41"/>
        <v>433387</v>
      </c>
      <c r="BA90" s="67"/>
      <c r="BB90" s="67">
        <v>21725064</v>
      </c>
      <c r="BC90" s="67"/>
      <c r="BD90" s="67">
        <f t="shared" si="48"/>
        <v>19044</v>
      </c>
      <c r="BE90" s="67"/>
      <c r="BF90" s="157">
        <f t="shared" si="42"/>
        <v>4.3942250229010098E-2</v>
      </c>
      <c r="BG90" s="67"/>
      <c r="BH90" s="184"/>
      <c r="BI90" s="67"/>
      <c r="BJ90" s="67"/>
      <c r="BK90" s="67"/>
      <c r="BL90" s="157"/>
      <c r="BM90" s="66">
        <f t="shared" si="49"/>
        <v>268210.66666666669</v>
      </c>
      <c r="BN90" s="67"/>
      <c r="BO90" s="67">
        <f t="shared" si="50"/>
        <v>1757377</v>
      </c>
      <c r="BP90" s="67"/>
      <c r="BQ90" s="74">
        <f t="shared" si="51"/>
        <v>8.0891683449125854E-2</v>
      </c>
      <c r="BR90" s="67"/>
      <c r="BS90" s="86"/>
      <c r="BT90" s="184"/>
      <c r="BU90" s="1"/>
      <c r="BV90">
        <f t="shared" si="53"/>
        <v>81</v>
      </c>
    </row>
    <row r="91" spans="2:74" x14ac:dyDescent="0.3">
      <c r="B91" s="172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>
        <f t="shared" si="43"/>
        <v>24997.695121951219</v>
      </c>
      <c r="O91" s="41"/>
      <c r="P91" s="17"/>
      <c r="Q91" s="16"/>
      <c r="R91" s="60"/>
      <c r="S91" s="16"/>
      <c r="T91" s="41"/>
      <c r="U91" s="10"/>
      <c r="V91" s="34">
        <v>1093</v>
      </c>
      <c r="W91" s="33"/>
      <c r="X91" s="33"/>
      <c r="Y91" s="33"/>
      <c r="Z91" s="33">
        <f t="shared" si="38"/>
        <v>116828</v>
      </c>
      <c r="AA91" s="33"/>
      <c r="AB91" s="46">
        <f t="shared" si="44"/>
        <v>5.6994522909673134E-2</v>
      </c>
      <c r="AC91" s="33"/>
      <c r="AD91" s="33">
        <f t="shared" si="45"/>
        <v>1424.7317073170732</v>
      </c>
      <c r="AE91" s="50"/>
      <c r="AF91" s="33"/>
      <c r="AG91" s="33"/>
      <c r="AH91" s="232"/>
      <c r="AI91" s="50"/>
      <c r="AJ91" s="10"/>
      <c r="AK91" s="23">
        <f t="shared" si="39"/>
        <v>15382</v>
      </c>
      <c r="AL91" s="24"/>
      <c r="AM91" s="24"/>
      <c r="AN91" s="24">
        <v>178263</v>
      </c>
      <c r="AO91" s="24">
        <v>788862</v>
      </c>
      <c r="AP91" s="24"/>
      <c r="AQ91" s="25">
        <f t="shared" si="40"/>
        <v>1.988674561721053E-2</v>
      </c>
      <c r="AR91" s="25"/>
      <c r="AS91" s="25"/>
      <c r="AT91" s="24"/>
      <c r="AU91" s="342">
        <f t="shared" si="46"/>
        <v>0.38484621265082486</v>
      </c>
      <c r="AV91" s="342"/>
      <c r="AW91" s="24">
        <f t="shared" si="47"/>
        <v>9620.2682926829275</v>
      </c>
      <c r="AX91" s="352"/>
      <c r="AY91" s="10"/>
      <c r="AZ91" s="66">
        <f t="shared" si="41"/>
        <v>415612</v>
      </c>
      <c r="BA91" s="67"/>
      <c r="BB91" s="67">
        <v>22140676</v>
      </c>
      <c r="BC91" s="67"/>
      <c r="BD91" s="67">
        <f t="shared" si="48"/>
        <v>19056</v>
      </c>
      <c r="BE91" s="67"/>
      <c r="BF91" s="157">
        <f t="shared" si="42"/>
        <v>4.5850456675938137E-2</v>
      </c>
      <c r="BG91" s="67"/>
      <c r="BH91" s="184"/>
      <c r="BI91" s="67"/>
      <c r="BJ91" s="67"/>
      <c r="BK91" s="67"/>
      <c r="BL91" s="157"/>
      <c r="BM91" s="66">
        <f t="shared" si="49"/>
        <v>270008.24390243902</v>
      </c>
      <c r="BN91" s="67"/>
      <c r="BO91" s="67">
        <f t="shared" si="50"/>
        <v>1776433</v>
      </c>
      <c r="BP91" s="67"/>
      <c r="BQ91" s="74">
        <f t="shared" si="51"/>
        <v>8.0233909750542398E-2</v>
      </c>
      <c r="BR91" s="67"/>
      <c r="BS91" s="86"/>
      <c r="BT91" s="184"/>
      <c r="BU91" s="1"/>
      <c r="BV91">
        <f t="shared" si="53"/>
        <v>82</v>
      </c>
    </row>
    <row r="92" spans="2:74" x14ac:dyDescent="0.3">
      <c r="B92" s="172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>
        <f t="shared" si="43"/>
        <v>24947.746987951807</v>
      </c>
      <c r="O92" s="41"/>
      <c r="P92" s="17"/>
      <c r="Q92" s="16"/>
      <c r="R92" s="60"/>
      <c r="S92" s="16"/>
      <c r="T92" s="41"/>
      <c r="U92" s="10"/>
      <c r="V92" s="34">
        <v>982</v>
      </c>
      <c r="W92" s="33"/>
      <c r="X92" s="33"/>
      <c r="Y92" s="33"/>
      <c r="Z92" s="33">
        <f t="shared" si="38"/>
        <v>117810</v>
      </c>
      <c r="AA92" s="33"/>
      <c r="AB92" s="46">
        <f t="shared" si="44"/>
        <v>5.6894820644402301E-2</v>
      </c>
      <c r="AC92" s="33"/>
      <c r="AD92" s="33">
        <f t="shared" si="45"/>
        <v>1419.3975903614457</v>
      </c>
      <c r="AE92" s="50"/>
      <c r="AF92" s="33"/>
      <c r="AG92" s="33"/>
      <c r="AH92" s="232"/>
      <c r="AI92" s="50"/>
      <c r="AJ92" s="10"/>
      <c r="AK92" s="23">
        <f t="shared" si="39"/>
        <v>19632</v>
      </c>
      <c r="AL92" s="24"/>
      <c r="AM92" s="24"/>
      <c r="AN92" s="24">
        <v>178263</v>
      </c>
      <c r="AO92" s="24">
        <v>808494</v>
      </c>
      <c r="AP92" s="24"/>
      <c r="AQ92" s="25">
        <f t="shared" si="40"/>
        <v>2.4886482046289467E-2</v>
      </c>
      <c r="AR92" s="25"/>
      <c r="AS92" s="25"/>
      <c r="AT92" s="24"/>
      <c r="AU92" s="342">
        <f t="shared" si="46"/>
        <v>0.39045175385854675</v>
      </c>
      <c r="AV92" s="342"/>
      <c r="AW92" s="24">
        <f t="shared" si="47"/>
        <v>9740.8915662650597</v>
      </c>
      <c r="AX92" s="352"/>
      <c r="AY92" s="10"/>
      <c r="AZ92" s="66">
        <f t="shared" si="41"/>
        <v>485082</v>
      </c>
      <c r="BA92" s="67"/>
      <c r="BB92" s="67">
        <v>22625758</v>
      </c>
      <c r="BC92" s="67"/>
      <c r="BD92" s="67">
        <f t="shared" si="48"/>
        <v>20852</v>
      </c>
      <c r="BE92" s="67"/>
      <c r="BF92" s="157">
        <f t="shared" si="42"/>
        <v>4.298654660449161E-2</v>
      </c>
      <c r="BG92" s="67"/>
      <c r="BH92" s="184"/>
      <c r="BI92" s="67"/>
      <c r="BJ92" s="67"/>
      <c r="BK92" s="67"/>
      <c r="BL92" s="157"/>
      <c r="BM92" s="66">
        <f t="shared" si="49"/>
        <v>272599.49397590361</v>
      </c>
      <c r="BN92" s="67"/>
      <c r="BO92" s="67">
        <f t="shared" si="50"/>
        <v>1797285</v>
      </c>
      <c r="BP92" s="67"/>
      <c r="BQ92" s="74">
        <f t="shared" si="51"/>
        <v>7.9435349746072595E-2</v>
      </c>
      <c r="BR92" s="67"/>
      <c r="BS92" s="86"/>
      <c r="BT92" s="184"/>
      <c r="BU92" s="1"/>
      <c r="BV92">
        <f t="shared" si="53"/>
        <v>83</v>
      </c>
    </row>
    <row r="93" spans="2:74" x14ac:dyDescent="0.3">
      <c r="B93" s="172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>
        <f t="shared" si="43"/>
        <v>24928.130952380954</v>
      </c>
      <c r="O93" s="41"/>
      <c r="P93" s="17"/>
      <c r="Q93" s="16"/>
      <c r="R93" s="60"/>
      <c r="S93" s="16"/>
      <c r="T93" s="41"/>
      <c r="U93" s="10"/>
      <c r="V93" s="34">
        <v>904</v>
      </c>
      <c r="W93" s="33"/>
      <c r="X93" s="33"/>
      <c r="Y93" s="33"/>
      <c r="Z93" s="33">
        <f t="shared" si="38"/>
        <v>118714</v>
      </c>
      <c r="AA93" s="33"/>
      <c r="AB93" s="46">
        <f t="shared" si="44"/>
        <v>5.669345637912418E-2</v>
      </c>
      <c r="AC93" s="33"/>
      <c r="AD93" s="33">
        <f t="shared" si="45"/>
        <v>1413.2619047619048</v>
      </c>
      <c r="AE93" s="50"/>
      <c r="AF93" s="33"/>
      <c r="AG93" s="33"/>
      <c r="AH93" s="232"/>
      <c r="AI93" s="50"/>
      <c r="AJ93" s="10"/>
      <c r="AK93" s="23">
        <f t="shared" si="39"/>
        <v>5331</v>
      </c>
      <c r="AL93" s="24"/>
      <c r="AM93" s="24"/>
      <c r="AN93" s="24">
        <v>178263</v>
      </c>
      <c r="AO93" s="24">
        <v>813825</v>
      </c>
      <c r="AP93" s="24"/>
      <c r="AQ93" s="25">
        <f t="shared" si="40"/>
        <v>6.5937409554059773E-3</v>
      </c>
      <c r="AR93" s="25"/>
      <c r="AS93" s="25"/>
      <c r="AT93" s="24"/>
      <c r="AU93" s="342">
        <f t="shared" si="46"/>
        <v>0.38865299912176099</v>
      </c>
      <c r="AV93" s="342"/>
      <c r="AW93" s="24">
        <f t="shared" si="47"/>
        <v>9688.3928571428569</v>
      </c>
      <c r="AX93" s="352"/>
      <c r="AY93" s="10"/>
      <c r="AZ93" s="66">
        <f t="shared" si="41"/>
        <v>447712</v>
      </c>
      <c r="BA93" s="67"/>
      <c r="BB93" s="67">
        <v>23073470</v>
      </c>
      <c r="BC93" s="67"/>
      <c r="BD93" s="67">
        <f t="shared" si="48"/>
        <v>23300</v>
      </c>
      <c r="BE93" s="67"/>
      <c r="BF93" s="157">
        <f t="shared" si="42"/>
        <v>5.2042384389964974E-2</v>
      </c>
      <c r="BG93" s="67"/>
      <c r="BH93" s="184"/>
      <c r="BI93" s="67"/>
      <c r="BJ93" s="67"/>
      <c r="BK93" s="67"/>
      <c r="BL93" s="157"/>
      <c r="BM93" s="66">
        <f t="shared" si="49"/>
        <v>274684.16666666669</v>
      </c>
      <c r="BN93" s="67"/>
      <c r="BO93" s="67">
        <f t="shared" si="50"/>
        <v>1820585</v>
      </c>
      <c r="BP93" s="67"/>
      <c r="BQ93" s="74">
        <f t="shared" si="51"/>
        <v>7.8903823308761098E-2</v>
      </c>
      <c r="BR93" s="67"/>
      <c r="BS93" s="86"/>
      <c r="BT93" s="184"/>
      <c r="BU93" s="1"/>
      <c r="BV93">
        <f t="shared" si="53"/>
        <v>84</v>
      </c>
    </row>
    <row r="94" spans="2:74" x14ac:dyDescent="0.3">
      <c r="B94" s="172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>
        <f t="shared" si="43"/>
        <v>24955.105882352942</v>
      </c>
      <c r="O94" s="41"/>
      <c r="P94" s="17"/>
      <c r="Q94" s="16"/>
      <c r="R94" s="60"/>
      <c r="S94" s="16"/>
      <c r="T94" s="41"/>
      <c r="U94" s="10"/>
      <c r="V94" s="34">
        <v>791</v>
      </c>
      <c r="W94" s="33"/>
      <c r="X94" s="33"/>
      <c r="Y94" s="33"/>
      <c r="Z94" s="33">
        <f t="shared" si="38"/>
        <v>119505</v>
      </c>
      <c r="AA94" s="33"/>
      <c r="AB94" s="46">
        <f t="shared" si="44"/>
        <v>5.6338818320334307E-2</v>
      </c>
      <c r="AC94" s="33"/>
      <c r="AD94" s="33">
        <f t="shared" si="45"/>
        <v>1405.9411764705883</v>
      </c>
      <c r="AE94" s="50"/>
      <c r="AF94" s="33"/>
      <c r="AG94" s="33"/>
      <c r="AH94" s="232"/>
      <c r="AI94" s="50"/>
      <c r="AJ94" s="10"/>
      <c r="AK94" s="23">
        <f t="shared" si="39"/>
        <v>28109</v>
      </c>
      <c r="AL94" s="24"/>
      <c r="AM94" s="24"/>
      <c r="AN94" s="24">
        <v>178263</v>
      </c>
      <c r="AO94" s="24">
        <v>841934</v>
      </c>
      <c r="AP94" s="24"/>
      <c r="AQ94" s="25">
        <f t="shared" si="40"/>
        <v>3.4539366571437351E-2</v>
      </c>
      <c r="AR94" s="25"/>
      <c r="AS94" s="25"/>
      <c r="AT94" s="24"/>
      <c r="AU94" s="342">
        <f t="shared" si="46"/>
        <v>0.39691700484257847</v>
      </c>
      <c r="AV94" s="342"/>
      <c r="AW94" s="24">
        <f t="shared" si="47"/>
        <v>9905.105882352942</v>
      </c>
      <c r="AX94" s="352"/>
      <c r="AY94" s="10"/>
      <c r="AZ94" s="66">
        <f t="shared" si="41"/>
        <v>718721</v>
      </c>
      <c r="BA94" s="67"/>
      <c r="BB94" s="67">
        <v>23792191</v>
      </c>
      <c r="BC94" s="67"/>
      <c r="BD94" s="67">
        <f t="shared" si="48"/>
        <v>27221</v>
      </c>
      <c r="BE94" s="67"/>
      <c r="BF94" s="157">
        <f t="shared" si="42"/>
        <v>3.7874223794768763E-2</v>
      </c>
      <c r="BG94" s="67"/>
      <c r="BH94" s="184"/>
      <c r="BI94" s="67"/>
      <c r="BJ94" s="67"/>
      <c r="BK94" s="67"/>
      <c r="BL94" s="157"/>
      <c r="BM94" s="66">
        <f t="shared" si="49"/>
        <v>279908.12941176473</v>
      </c>
      <c r="BN94" s="67"/>
      <c r="BO94" s="67">
        <f t="shared" si="50"/>
        <v>1847806</v>
      </c>
      <c r="BP94" s="67"/>
      <c r="BQ94" s="74">
        <f t="shared" si="51"/>
        <v>7.7664389967279604E-2</v>
      </c>
      <c r="BR94" s="67"/>
      <c r="BS94" s="86"/>
      <c r="BT94" s="184"/>
      <c r="BU94" s="1"/>
      <c r="BV94">
        <f t="shared" si="53"/>
        <v>85</v>
      </c>
    </row>
    <row r="95" spans="2:74" x14ac:dyDescent="0.3">
      <c r="B95" s="476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>
        <f t="shared" si="43"/>
        <v>24959.139534883721</v>
      </c>
      <c r="O95" s="41"/>
      <c r="P95" s="17"/>
      <c r="Q95" s="16"/>
      <c r="R95" s="60"/>
      <c r="S95" s="16"/>
      <c r="T95" s="41"/>
      <c r="U95" s="10"/>
      <c r="V95" s="34">
        <v>702</v>
      </c>
      <c r="W95" s="33"/>
      <c r="X95" s="33"/>
      <c r="Y95" s="33"/>
      <c r="Z95" s="33">
        <f t="shared" si="38"/>
        <v>120207</v>
      </c>
      <c r="AA95" s="33"/>
      <c r="AB95" s="46">
        <f t="shared" si="44"/>
        <v>5.6001762881285971E-2</v>
      </c>
      <c r="AC95" s="33"/>
      <c r="AD95" s="33">
        <f t="shared" si="45"/>
        <v>1397.7558139534883</v>
      </c>
      <c r="AE95" s="50"/>
      <c r="AF95" s="33"/>
      <c r="AG95" s="33"/>
      <c r="AH95" s="232"/>
      <c r="AI95" s="50"/>
      <c r="AJ95" s="10"/>
      <c r="AK95" s="23">
        <f t="shared" si="39"/>
        <v>17978</v>
      </c>
      <c r="AL95" s="24"/>
      <c r="AM95" s="24"/>
      <c r="AN95" s="24">
        <v>178263</v>
      </c>
      <c r="AO95" s="24">
        <v>859912</v>
      </c>
      <c r="AP95" s="24"/>
      <c r="AQ95" s="25">
        <f t="shared" si="40"/>
        <v>2.1353217710651903E-2</v>
      </c>
      <c r="AR95" s="25"/>
      <c r="AS95" s="25"/>
      <c r="AT95" s="24"/>
      <c r="AU95" s="342">
        <f t="shared" si="46"/>
        <v>0.40061384048160575</v>
      </c>
      <c r="AV95" s="342"/>
      <c r="AW95" s="24">
        <f t="shared" si="47"/>
        <v>9998.9767441860458</v>
      </c>
      <c r="AX95" s="352"/>
      <c r="AY95" s="10"/>
      <c r="AZ95" s="66">
        <f t="shared" si="41"/>
        <v>500980</v>
      </c>
      <c r="BA95" s="67"/>
      <c r="BB95" s="67">
        <v>24293171</v>
      </c>
      <c r="BC95" s="67"/>
      <c r="BD95" s="67">
        <f t="shared" si="48"/>
        <v>25302</v>
      </c>
      <c r="BE95" s="67"/>
      <c r="BF95" s="157">
        <f t="shared" si="42"/>
        <v>5.0505010180047105E-2</v>
      </c>
      <c r="BG95" s="67"/>
      <c r="BH95" s="184"/>
      <c r="BI95" s="67"/>
      <c r="BJ95" s="67"/>
      <c r="BK95" s="67"/>
      <c r="BL95" s="157"/>
      <c r="BM95" s="66">
        <f t="shared" si="49"/>
        <v>282478.73255813954</v>
      </c>
      <c r="BN95" s="67"/>
      <c r="BO95" s="67">
        <f t="shared" si="50"/>
        <v>1873108</v>
      </c>
      <c r="BP95" s="67"/>
      <c r="BQ95" s="74">
        <f t="shared" si="51"/>
        <v>7.7104302274906805E-2</v>
      </c>
      <c r="BR95" s="67"/>
      <c r="BS95" s="86"/>
      <c r="BT95" s="184"/>
      <c r="BU95" s="1"/>
      <c r="BV95">
        <f t="shared" si="53"/>
        <v>86</v>
      </c>
    </row>
    <row r="96" spans="2:74" x14ac:dyDescent="0.3">
      <c r="B96" s="391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>
        <f t="shared" si="43"/>
        <v>24902.183908045976</v>
      </c>
      <c r="O96" s="41"/>
      <c r="P96" s="17">
        <f>SUM(D90:D96)</f>
        <v>154779</v>
      </c>
      <c r="Q96" s="16"/>
      <c r="R96" s="60">
        <f>+(P96-P89)/P89</f>
        <v>8.4307912825357535E-3</v>
      </c>
      <c r="S96" s="16"/>
      <c r="T96" s="41"/>
      <c r="U96" s="392"/>
      <c r="V96" s="34">
        <v>331</v>
      </c>
      <c r="W96" s="33"/>
      <c r="X96" s="33"/>
      <c r="Y96" s="33"/>
      <c r="Z96" s="33">
        <f t="shared" si="38"/>
        <v>120538</v>
      </c>
      <c r="AA96" s="33"/>
      <c r="AB96" s="46">
        <f t="shared" si="44"/>
        <v>5.5637459669788461E-2</v>
      </c>
      <c r="AC96" s="33"/>
      <c r="AD96" s="33">
        <f t="shared" si="45"/>
        <v>1385.4942528735633</v>
      </c>
      <c r="AE96" s="50"/>
      <c r="AF96" s="33">
        <f>SUM(V90:V96)</f>
        <v>5389</v>
      </c>
      <c r="AG96" s="33"/>
      <c r="AH96" s="232">
        <f>+(AF96-AF89)/AF89</f>
        <v>-0.13094662151265926</v>
      </c>
      <c r="AI96" s="50"/>
      <c r="AJ96" s="392"/>
      <c r="AK96" s="23">
        <f t="shared" si="39"/>
        <v>7937</v>
      </c>
      <c r="AL96" s="24"/>
      <c r="AM96" s="24"/>
      <c r="AN96" s="24">
        <v>178263</v>
      </c>
      <c r="AO96" s="24">
        <v>867849</v>
      </c>
      <c r="AP96" s="24"/>
      <c r="AQ96" s="25">
        <f t="shared" si="40"/>
        <v>9.2300142340146427E-3</v>
      </c>
      <c r="AR96" s="25"/>
      <c r="AS96" s="25"/>
      <c r="AT96" s="24"/>
      <c r="AU96" s="342">
        <f t="shared" si="46"/>
        <v>0.40057835485047244</v>
      </c>
      <c r="AV96" s="342"/>
      <c r="AW96" s="24">
        <f t="shared" si="47"/>
        <v>9975.2758620689656</v>
      </c>
      <c r="AX96" s="352"/>
      <c r="AY96" s="392"/>
      <c r="AZ96" s="66">
        <f t="shared" si="41"/>
        <v>497760</v>
      </c>
      <c r="BA96" s="67"/>
      <c r="BB96" s="67">
        <v>24790931</v>
      </c>
      <c r="BC96" s="67"/>
      <c r="BD96" s="67">
        <f t="shared" si="48"/>
        <v>20004</v>
      </c>
      <c r="BE96" s="67"/>
      <c r="BF96" s="157">
        <f t="shared" si="42"/>
        <v>4.0188042430086786E-2</v>
      </c>
      <c r="BG96" s="67"/>
      <c r="BH96" s="184"/>
      <c r="BI96" s="67"/>
      <c r="BJ96" s="67">
        <f>SUM(AZ90:AZ96)</f>
        <v>3499254</v>
      </c>
      <c r="BK96" s="67"/>
      <c r="BL96" s="157">
        <f>+P96/BJ96</f>
        <v>4.4231999163250227E-2</v>
      </c>
      <c r="BM96" s="66">
        <f t="shared" si="49"/>
        <v>284953.22988505749</v>
      </c>
      <c r="BN96" s="67"/>
      <c r="BO96" s="67">
        <f t="shared" si="50"/>
        <v>1893112</v>
      </c>
      <c r="BP96" s="67"/>
      <c r="BQ96" s="74">
        <f t="shared" si="51"/>
        <v>7.636308616243577E-2</v>
      </c>
      <c r="BR96" s="67"/>
      <c r="BS96" s="86"/>
      <c r="BT96" s="184"/>
      <c r="BU96" s="1"/>
      <c r="BV96">
        <f t="shared" si="53"/>
        <v>87</v>
      </c>
    </row>
    <row r="97" spans="2:74" x14ac:dyDescent="0.3">
      <c r="B97" s="172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4">+H96+D97</f>
        <v>2187212</v>
      </c>
      <c r="I97" s="16"/>
      <c r="J97" s="38">
        <f t="shared" ref="J97:J108" si="55">+D97/H96</f>
        <v>9.5647798974377914E-3</v>
      </c>
      <c r="K97" s="16"/>
      <c r="L97" s="16"/>
      <c r="M97" s="16"/>
      <c r="N97" s="16">
        <f t="shared" ref="N97:N108" si="56">+H97/BV97</f>
        <v>24854.68181818182</v>
      </c>
      <c r="O97" s="41"/>
      <c r="P97" s="17"/>
      <c r="Q97" s="16"/>
      <c r="R97" s="60"/>
      <c r="S97" s="16"/>
      <c r="T97" s="41"/>
      <c r="U97" s="10"/>
      <c r="V97" s="34">
        <v>425</v>
      </c>
      <c r="W97" s="33"/>
      <c r="X97" s="33"/>
      <c r="Y97" s="33"/>
      <c r="Z97" s="33">
        <f t="shared" ref="Z97:Z108" si="57">+Z96+V97</f>
        <v>120963</v>
      </c>
      <c r="AA97" s="33"/>
      <c r="AB97" s="46">
        <f t="shared" ref="AB97:AB108" si="58">+Z97/H97</f>
        <v>5.5304652681130134E-2</v>
      </c>
      <c r="AC97" s="33"/>
      <c r="AD97" s="33">
        <f t="shared" ref="AD97:AD108" si="59">+Z97/BV97</f>
        <v>1374.5795454545455</v>
      </c>
      <c r="AE97" s="50"/>
      <c r="AF97" s="33"/>
      <c r="AG97" s="33"/>
      <c r="AH97" s="232"/>
      <c r="AI97" s="50"/>
      <c r="AJ97" s="10"/>
      <c r="AK97" s="23">
        <f t="shared" ref="AK97:AK108" si="60">+AO97-AO96</f>
        <v>22017</v>
      </c>
      <c r="AL97" s="24"/>
      <c r="AM97" s="24"/>
      <c r="AN97" s="24">
        <v>178263</v>
      </c>
      <c r="AO97" s="24">
        <v>889866</v>
      </c>
      <c r="AP97" s="24"/>
      <c r="AQ97" s="25">
        <f t="shared" ref="AQ97:AQ108" si="61">+AK97/AO96</f>
        <v>2.5369620751997179E-2</v>
      </c>
      <c r="AR97" s="25"/>
      <c r="AS97" s="25"/>
      <c r="AT97" s="24"/>
      <c r="AU97" s="342">
        <f t="shared" ref="AU97:AU108" si="62">+AO97/H97</f>
        <v>0.40684945035049186</v>
      </c>
      <c r="AV97" s="342"/>
      <c r="AW97" s="24">
        <f t="shared" ref="AW97:AW108" si="63">+AO97/BV97</f>
        <v>10112.113636363636</v>
      </c>
      <c r="AX97" s="352"/>
      <c r="AY97" s="10"/>
      <c r="AZ97" s="66">
        <f t="shared" ref="AZ97:AZ108" si="64">+BB97-BB96</f>
        <v>468146</v>
      </c>
      <c r="BA97" s="67"/>
      <c r="BB97" s="67">
        <v>25259077</v>
      </c>
      <c r="BC97" s="67"/>
      <c r="BD97" s="67">
        <f t="shared" ref="BD97:BD108" si="65">+D97</f>
        <v>20722</v>
      </c>
      <c r="BE97" s="67"/>
      <c r="BF97" s="157">
        <f t="shared" ref="BF97:BF108" si="66">+BD97/AZ97</f>
        <v>4.4263968932768835E-2</v>
      </c>
      <c r="BG97" s="67"/>
      <c r="BH97" s="184"/>
      <c r="BI97" s="67"/>
      <c r="BJ97" s="67"/>
      <c r="BK97" s="67"/>
      <c r="BL97" s="157"/>
      <c r="BM97" s="66">
        <f t="shared" ref="BM97:BM108" si="67">+BB97/BV97</f>
        <v>287034.96590909088</v>
      </c>
      <c r="BN97" s="67"/>
      <c r="BO97" s="67">
        <f t="shared" ref="BO97:BO108" si="68">+BO96+BD97</f>
        <v>1913834</v>
      </c>
      <c r="BP97" s="67"/>
      <c r="BQ97" s="74">
        <f t="shared" ref="BQ97:BQ108" si="69">+BO97/BB97</f>
        <v>7.5768168409320741E-2</v>
      </c>
      <c r="BR97" s="67"/>
      <c r="BS97" s="86"/>
      <c r="BT97" s="184"/>
      <c r="BU97" s="1"/>
      <c r="BV97">
        <f t="shared" si="53"/>
        <v>88</v>
      </c>
    </row>
    <row r="98" spans="2:74" x14ac:dyDescent="0.3">
      <c r="B98" s="172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4"/>
        <v>2212506</v>
      </c>
      <c r="I98" s="16"/>
      <c r="J98" s="38">
        <f t="shared" si="55"/>
        <v>1.1564493976807004E-2</v>
      </c>
      <c r="K98" s="16"/>
      <c r="L98" s="16"/>
      <c r="M98" s="16"/>
      <c r="N98" s="16">
        <f t="shared" si="56"/>
        <v>24859.617977528091</v>
      </c>
      <c r="O98" s="41"/>
      <c r="P98" s="17"/>
      <c r="Q98" s="16"/>
      <c r="R98" s="60"/>
      <c r="S98" s="16"/>
      <c r="T98" s="41"/>
      <c r="U98" s="10"/>
      <c r="V98" s="34">
        <v>846</v>
      </c>
      <c r="W98" s="33"/>
      <c r="X98" s="33"/>
      <c r="Y98" s="33"/>
      <c r="Z98" s="33">
        <f t="shared" si="57"/>
        <v>121809</v>
      </c>
      <c r="AA98" s="33"/>
      <c r="AB98" s="46">
        <f t="shared" si="58"/>
        <v>5.5054765953177077E-2</v>
      </c>
      <c r="AC98" s="33"/>
      <c r="AD98" s="33">
        <f t="shared" si="59"/>
        <v>1368.6404494382023</v>
      </c>
      <c r="AE98" s="50"/>
      <c r="AF98" s="33"/>
      <c r="AG98" s="33"/>
      <c r="AH98" s="232"/>
      <c r="AI98" s="50"/>
      <c r="AJ98" s="10"/>
      <c r="AK98" s="23">
        <f t="shared" si="60"/>
        <v>13175</v>
      </c>
      <c r="AL98" s="24"/>
      <c r="AM98" s="24"/>
      <c r="AN98" s="24">
        <v>178263</v>
      </c>
      <c r="AO98" s="24">
        <v>903041</v>
      </c>
      <c r="AP98" s="24"/>
      <c r="AQ98" s="25">
        <f t="shared" si="61"/>
        <v>1.4805599944261271E-2</v>
      </c>
      <c r="AR98" s="25"/>
      <c r="AS98" s="25"/>
      <c r="AT98" s="24"/>
      <c r="AU98" s="342">
        <f t="shared" si="62"/>
        <v>0.40815301743814481</v>
      </c>
      <c r="AV98" s="342"/>
      <c r="AW98" s="24">
        <f t="shared" si="63"/>
        <v>10146.528089887641</v>
      </c>
      <c r="AX98" s="352"/>
      <c r="AY98" s="10"/>
      <c r="AZ98" s="66">
        <f t="shared" si="64"/>
        <v>470291</v>
      </c>
      <c r="BA98" s="67"/>
      <c r="BB98" s="67">
        <v>25729368</v>
      </c>
      <c r="BC98" s="67"/>
      <c r="BD98" s="67">
        <f t="shared" si="65"/>
        <v>25294</v>
      </c>
      <c r="BE98" s="67"/>
      <c r="BF98" s="157">
        <f t="shared" si="66"/>
        <v>5.3783721142866864E-2</v>
      </c>
      <c r="BG98" s="67"/>
      <c r="BH98" s="184"/>
      <c r="BI98" s="67"/>
      <c r="BJ98" s="67"/>
      <c r="BK98" s="67"/>
      <c r="BL98" s="157"/>
      <c r="BM98" s="66">
        <f t="shared" si="67"/>
        <v>289094.02247191011</v>
      </c>
      <c r="BN98" s="67"/>
      <c r="BO98" s="67">
        <f t="shared" si="68"/>
        <v>1939128</v>
      </c>
      <c r="BP98" s="67"/>
      <c r="BQ98" s="74">
        <f t="shared" si="69"/>
        <v>7.5366328469475038E-2</v>
      </c>
      <c r="BR98" s="67"/>
      <c r="BS98" s="86"/>
      <c r="BT98" s="184"/>
      <c r="BU98" s="1"/>
      <c r="BV98">
        <f t="shared" si="53"/>
        <v>89</v>
      </c>
    </row>
    <row r="99" spans="2:74" x14ac:dyDescent="0.3">
      <c r="B99" s="172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4"/>
        <v>2238577</v>
      </c>
      <c r="I99" s="16"/>
      <c r="J99" s="38">
        <f t="shared" si="55"/>
        <v>1.1783470869683517E-2</v>
      </c>
      <c r="K99" s="16"/>
      <c r="L99" s="16"/>
      <c r="M99" s="16"/>
      <c r="N99" s="16">
        <f t="shared" si="56"/>
        <v>24873.077777777777</v>
      </c>
      <c r="O99" s="41"/>
      <c r="P99" s="17"/>
      <c r="Q99" s="16"/>
      <c r="R99" s="60"/>
      <c r="S99" s="16"/>
      <c r="T99" s="41"/>
      <c r="U99" s="10"/>
      <c r="V99" s="34">
        <v>809</v>
      </c>
      <c r="W99" s="33"/>
      <c r="X99" s="33"/>
      <c r="Y99" s="33"/>
      <c r="Z99" s="33">
        <f t="shared" si="57"/>
        <v>122618</v>
      </c>
      <c r="AA99" s="33"/>
      <c r="AB99" s="46">
        <f t="shared" si="58"/>
        <v>5.4774975352645902E-2</v>
      </c>
      <c r="AC99" s="33"/>
      <c r="AD99" s="33">
        <f t="shared" si="59"/>
        <v>1362.4222222222222</v>
      </c>
      <c r="AE99" s="50"/>
      <c r="AF99" s="33"/>
      <c r="AG99" s="33"/>
      <c r="AH99" s="232"/>
      <c r="AI99" s="50"/>
      <c r="AJ99" s="10"/>
      <c r="AK99" s="23">
        <f t="shared" si="60"/>
        <v>15755</v>
      </c>
      <c r="AL99" s="24"/>
      <c r="AM99" s="24"/>
      <c r="AN99" s="24">
        <v>178263</v>
      </c>
      <c r="AO99" s="24">
        <v>918796</v>
      </c>
      <c r="AP99" s="24"/>
      <c r="AQ99" s="25">
        <f t="shared" si="61"/>
        <v>1.7446605414372107E-2</v>
      </c>
      <c r="AR99" s="25"/>
      <c r="AS99" s="25"/>
      <c r="AT99" s="24"/>
      <c r="AU99" s="342">
        <f t="shared" si="62"/>
        <v>0.41043752348031809</v>
      </c>
      <c r="AV99" s="342"/>
      <c r="AW99" s="24">
        <f t="shared" si="63"/>
        <v>10208.844444444445</v>
      </c>
      <c r="AX99" s="352"/>
      <c r="AY99" s="10"/>
      <c r="AZ99" s="66">
        <f t="shared" si="64"/>
        <v>514443</v>
      </c>
      <c r="BA99" s="67"/>
      <c r="BB99" s="67">
        <v>26243811</v>
      </c>
      <c r="BC99" s="67"/>
      <c r="BD99" s="67">
        <f t="shared" si="65"/>
        <v>26071</v>
      </c>
      <c r="BE99" s="67"/>
      <c r="BF99" s="157">
        <f t="shared" si="66"/>
        <v>5.0678112055174238E-2</v>
      </c>
      <c r="BG99" s="67"/>
      <c r="BH99" s="184"/>
      <c r="BI99" s="67"/>
      <c r="BJ99" s="67"/>
      <c r="BK99" s="67"/>
      <c r="BL99" s="157"/>
      <c r="BM99" s="66">
        <f t="shared" si="67"/>
        <v>291597.90000000002</v>
      </c>
      <c r="BN99" s="67"/>
      <c r="BO99" s="67">
        <f t="shared" si="68"/>
        <v>1965199</v>
      </c>
      <c r="BP99" s="67"/>
      <c r="BQ99" s="74">
        <f t="shared" si="69"/>
        <v>7.4882378934980134E-2</v>
      </c>
      <c r="BR99" s="67"/>
      <c r="BS99" s="86"/>
      <c r="BT99" s="184"/>
      <c r="BU99" s="1"/>
      <c r="BV99">
        <f t="shared" si="53"/>
        <v>90</v>
      </c>
    </row>
    <row r="100" spans="2:74" x14ac:dyDescent="0.3">
      <c r="B100" s="172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4"/>
        <v>2266501</v>
      </c>
      <c r="I100" s="16"/>
      <c r="J100" s="38">
        <f t="shared" si="55"/>
        <v>1.2473995757126067E-2</v>
      </c>
      <c r="K100" s="16"/>
      <c r="L100" s="16"/>
      <c r="M100" s="16"/>
      <c r="N100" s="16">
        <f t="shared" si="56"/>
        <v>24906.604395604394</v>
      </c>
      <c r="O100" s="41"/>
      <c r="P100" s="17"/>
      <c r="Q100" s="16"/>
      <c r="R100" s="60"/>
      <c r="S100" s="16"/>
      <c r="T100" s="41"/>
      <c r="U100" s="10"/>
      <c r="V100" s="34">
        <v>747</v>
      </c>
      <c r="W100" s="33"/>
      <c r="X100" s="33"/>
      <c r="Y100" s="33"/>
      <c r="Z100" s="33">
        <f t="shared" si="57"/>
        <v>123365</v>
      </c>
      <c r="AA100" s="33"/>
      <c r="AB100" s="46">
        <f t="shared" si="58"/>
        <v>5.4429713465822427E-2</v>
      </c>
      <c r="AC100" s="33"/>
      <c r="AD100" s="33">
        <f t="shared" si="59"/>
        <v>1355.6593406593406</v>
      </c>
      <c r="AE100" s="50"/>
      <c r="AF100" s="33"/>
      <c r="AG100" s="33"/>
      <c r="AH100" s="232"/>
      <c r="AI100" s="50"/>
      <c r="AJ100" s="10"/>
      <c r="AK100" s="23">
        <f t="shared" si="60"/>
        <v>12198</v>
      </c>
      <c r="AL100" s="24"/>
      <c r="AM100" s="24"/>
      <c r="AN100" s="24">
        <v>178263</v>
      </c>
      <c r="AO100" s="24">
        <v>930994</v>
      </c>
      <c r="AP100" s="24"/>
      <c r="AQ100" s="25">
        <f t="shared" si="61"/>
        <v>1.3276069987244177E-2</v>
      </c>
      <c r="AR100" s="25"/>
      <c r="AS100" s="25"/>
      <c r="AT100" s="24"/>
      <c r="AU100" s="342">
        <f t="shared" si="62"/>
        <v>0.41076266897742381</v>
      </c>
      <c r="AV100" s="342"/>
      <c r="AW100" s="24">
        <f t="shared" si="63"/>
        <v>10230.703296703297</v>
      </c>
      <c r="AX100" s="352"/>
      <c r="AY100" s="10"/>
      <c r="AZ100" s="66">
        <f t="shared" si="64"/>
        <v>479368</v>
      </c>
      <c r="BA100" s="67"/>
      <c r="BB100" s="67">
        <v>26723179</v>
      </c>
      <c r="BC100" s="67"/>
      <c r="BD100" s="67">
        <f t="shared" si="65"/>
        <v>27924</v>
      </c>
      <c r="BE100" s="67"/>
      <c r="BF100" s="157">
        <f t="shared" si="66"/>
        <v>5.825169806912435E-2</v>
      </c>
      <c r="BG100" s="67"/>
      <c r="BH100" s="184"/>
      <c r="BI100" s="67"/>
      <c r="BJ100" s="67"/>
      <c r="BK100" s="67"/>
      <c r="BL100" s="157"/>
      <c r="BM100" s="66">
        <f t="shared" si="67"/>
        <v>293661.30769230769</v>
      </c>
      <c r="BN100" s="67"/>
      <c r="BO100" s="67">
        <f t="shared" si="68"/>
        <v>1993123</v>
      </c>
      <c r="BP100" s="67"/>
      <c r="BQ100" s="74">
        <f t="shared" si="69"/>
        <v>7.4584053042491688E-2</v>
      </c>
      <c r="BR100" s="67"/>
      <c r="BS100" s="86"/>
      <c r="BT100" s="184"/>
      <c r="BU100" s="1"/>
      <c r="BV100">
        <f t="shared" si="53"/>
        <v>91</v>
      </c>
    </row>
    <row r="101" spans="2:74" x14ac:dyDescent="0.3">
      <c r="B101" s="172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4"/>
        <v>2300040</v>
      </c>
      <c r="I101" s="16"/>
      <c r="J101" s="38">
        <f t="shared" si="55"/>
        <v>1.4797699184778652E-2</v>
      </c>
      <c r="K101" s="16"/>
      <c r="L101" s="16"/>
      <c r="M101" s="16"/>
      <c r="N101" s="16">
        <f t="shared" si="56"/>
        <v>25000.434782608696</v>
      </c>
      <c r="O101" s="41"/>
      <c r="P101" s="17"/>
      <c r="Q101" s="16"/>
      <c r="R101" s="60"/>
      <c r="S101" s="16"/>
      <c r="T101" s="41"/>
      <c r="U101" s="10"/>
      <c r="V101" s="34">
        <v>719</v>
      </c>
      <c r="W101" s="33"/>
      <c r="X101" s="33"/>
      <c r="Y101" s="33"/>
      <c r="Z101" s="33">
        <f t="shared" si="57"/>
        <v>124084</v>
      </c>
      <c r="AA101" s="33"/>
      <c r="AB101" s="46">
        <f t="shared" si="58"/>
        <v>5.3948626980400344E-2</v>
      </c>
      <c r="AC101" s="33"/>
      <c r="AD101" s="33">
        <f t="shared" si="59"/>
        <v>1348.7391304347825</v>
      </c>
      <c r="AE101" s="50"/>
      <c r="AF101" s="33"/>
      <c r="AG101" s="33"/>
      <c r="AH101" s="232"/>
      <c r="AI101" s="50"/>
      <c r="AJ101" s="10"/>
      <c r="AK101" s="23">
        <f t="shared" si="60"/>
        <v>25067</v>
      </c>
      <c r="AL101" s="24"/>
      <c r="AM101" s="24"/>
      <c r="AN101" s="24">
        <v>178263</v>
      </c>
      <c r="AO101" s="24">
        <v>956061</v>
      </c>
      <c r="AP101" s="24"/>
      <c r="AQ101" s="25">
        <f t="shared" si="61"/>
        <v>2.6924985553075528E-2</v>
      </c>
      <c r="AR101" s="25"/>
      <c r="AS101" s="25"/>
      <c r="AT101" s="24"/>
      <c r="AU101" s="342">
        <f t="shared" si="62"/>
        <v>0.41567146658318987</v>
      </c>
      <c r="AV101" s="342"/>
      <c r="AW101" s="24">
        <f t="shared" si="63"/>
        <v>10391.967391304348</v>
      </c>
      <c r="AX101" s="352"/>
      <c r="AY101" s="10"/>
      <c r="AZ101" s="66">
        <f t="shared" si="64"/>
        <v>614206</v>
      </c>
      <c r="BA101" s="67"/>
      <c r="BB101" s="67">
        <v>27337385</v>
      </c>
      <c r="BC101" s="67"/>
      <c r="BD101" s="67">
        <f t="shared" si="65"/>
        <v>33539</v>
      </c>
      <c r="BE101" s="67"/>
      <c r="BF101" s="157">
        <f t="shared" si="66"/>
        <v>5.460545810363298E-2</v>
      </c>
      <c r="BG101" s="67"/>
      <c r="BH101" s="184"/>
      <c r="BI101" s="67"/>
      <c r="BJ101" s="67"/>
      <c r="BK101" s="67"/>
      <c r="BL101" s="157"/>
      <c r="BM101" s="66">
        <f t="shared" si="67"/>
        <v>297145.48913043475</v>
      </c>
      <c r="BN101" s="67"/>
      <c r="BO101" s="67">
        <f t="shared" si="68"/>
        <v>2026662</v>
      </c>
      <c r="BP101" s="67"/>
      <c r="BQ101" s="74">
        <f t="shared" si="69"/>
        <v>7.4135181547174314E-2</v>
      </c>
      <c r="BR101" s="67"/>
      <c r="BS101" s="86"/>
      <c r="BT101" s="184"/>
      <c r="BU101" s="1"/>
      <c r="BV101">
        <f t="shared" si="53"/>
        <v>92</v>
      </c>
    </row>
    <row r="102" spans="2:74" x14ac:dyDescent="0.3">
      <c r="B102" s="477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4"/>
        <v>2333378</v>
      </c>
      <c r="I102" s="16"/>
      <c r="J102" s="38">
        <f t="shared" si="55"/>
        <v>1.4494530529903828E-2</v>
      </c>
      <c r="K102" s="16"/>
      <c r="L102" s="16"/>
      <c r="M102" s="16"/>
      <c r="N102" s="16">
        <f t="shared" si="56"/>
        <v>25090.086021505376</v>
      </c>
      <c r="O102" s="41"/>
      <c r="P102" s="17"/>
      <c r="Q102" s="16"/>
      <c r="R102" s="60"/>
      <c r="S102" s="16"/>
      <c r="T102" s="41"/>
      <c r="U102" s="10"/>
      <c r="V102" s="34">
        <v>573</v>
      </c>
      <c r="W102" s="33"/>
      <c r="X102" s="33"/>
      <c r="Y102" s="33"/>
      <c r="Z102" s="33">
        <f t="shared" si="57"/>
        <v>124657</v>
      </c>
      <c r="AA102" s="33"/>
      <c r="AB102" s="46">
        <f t="shared" si="58"/>
        <v>5.3423405894801441E-2</v>
      </c>
      <c r="AC102" s="33"/>
      <c r="AD102" s="33">
        <f t="shared" si="59"/>
        <v>1340.3978494623657</v>
      </c>
      <c r="AE102" s="50"/>
      <c r="AF102" s="33"/>
      <c r="AG102" s="33"/>
      <c r="AH102" s="232"/>
      <c r="AI102" s="50"/>
      <c r="AJ102" s="10"/>
      <c r="AK102" s="23">
        <f t="shared" si="60"/>
        <v>16880</v>
      </c>
      <c r="AL102" s="24"/>
      <c r="AM102" s="24"/>
      <c r="AN102" s="24">
        <v>178263</v>
      </c>
      <c r="AO102" s="24">
        <v>972941</v>
      </c>
      <c r="AP102" s="24"/>
      <c r="AQ102" s="25">
        <f t="shared" si="61"/>
        <v>1.7655777194133009E-2</v>
      </c>
      <c r="AR102" s="25"/>
      <c r="AS102" s="25"/>
      <c r="AT102" s="24"/>
      <c r="AU102" s="342">
        <f t="shared" si="62"/>
        <v>0.41696673235112358</v>
      </c>
      <c r="AV102" s="342"/>
      <c r="AW102" s="24">
        <f t="shared" si="63"/>
        <v>10461.731182795698</v>
      </c>
      <c r="AX102" s="352"/>
      <c r="AY102" s="10"/>
      <c r="AZ102" s="66">
        <f t="shared" si="64"/>
        <v>638478</v>
      </c>
      <c r="BA102" s="67"/>
      <c r="BB102" s="67">
        <v>27975863</v>
      </c>
      <c r="BC102" s="67"/>
      <c r="BD102" s="67">
        <f t="shared" si="65"/>
        <v>33338</v>
      </c>
      <c r="BE102" s="67"/>
      <c r="BF102" s="157">
        <f t="shared" si="66"/>
        <v>5.2214798317248207E-2</v>
      </c>
      <c r="BG102" s="67"/>
      <c r="BH102" s="184"/>
      <c r="BI102" s="67"/>
      <c r="BJ102" s="67"/>
      <c r="BK102" s="67"/>
      <c r="BL102" s="157"/>
      <c r="BM102" s="66">
        <f t="shared" si="67"/>
        <v>300815.73118279572</v>
      </c>
      <c r="BN102" s="67"/>
      <c r="BO102" s="67">
        <f t="shared" si="68"/>
        <v>2060000</v>
      </c>
      <c r="BP102" s="67"/>
      <c r="BQ102" s="74">
        <f t="shared" si="69"/>
        <v>7.3634904488916034E-2</v>
      </c>
      <c r="BR102" s="67"/>
      <c r="BS102" s="86"/>
      <c r="BT102" s="184"/>
      <c r="BU102" s="1"/>
      <c r="BV102">
        <f t="shared" si="53"/>
        <v>93</v>
      </c>
    </row>
    <row r="103" spans="2:74" x14ac:dyDescent="0.3">
      <c r="B103" s="391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4"/>
        <v>2359457</v>
      </c>
      <c r="I103" s="16"/>
      <c r="J103" s="38">
        <f t="shared" si="55"/>
        <v>1.1176500335565005E-2</v>
      </c>
      <c r="K103" s="16"/>
      <c r="L103" s="16"/>
      <c r="M103" s="16"/>
      <c r="N103" s="16">
        <f t="shared" si="56"/>
        <v>25100.606382978724</v>
      </c>
      <c r="O103" s="41"/>
      <c r="P103" s="17">
        <f>SUM(D97:D103)</f>
        <v>192967</v>
      </c>
      <c r="Q103" s="16"/>
      <c r="R103" s="60">
        <f>+(P103-P96)/P96</f>
        <v>0.24672597703822871</v>
      </c>
      <c r="S103" s="16"/>
      <c r="T103" s="41"/>
      <c r="U103" s="392"/>
      <c r="V103" s="34">
        <v>267</v>
      </c>
      <c r="W103" s="33"/>
      <c r="X103" s="33"/>
      <c r="Y103" s="33"/>
      <c r="Z103" s="33">
        <f t="shared" si="57"/>
        <v>124924</v>
      </c>
      <c r="AA103" s="33"/>
      <c r="AB103" s="46">
        <f t="shared" si="58"/>
        <v>5.2946080390530531E-2</v>
      </c>
      <c r="AC103" s="33"/>
      <c r="AD103" s="33">
        <f t="shared" si="59"/>
        <v>1328.9787234042553</v>
      </c>
      <c r="AE103" s="50"/>
      <c r="AF103" s="33">
        <f>SUM(V97:V103)</f>
        <v>4386</v>
      </c>
      <c r="AG103" s="33"/>
      <c r="AH103" s="232">
        <f>+(AF103-AF96)/AF96</f>
        <v>-0.18611987381703471</v>
      </c>
      <c r="AI103" s="50"/>
      <c r="AJ103" s="392"/>
      <c r="AK103" s="23">
        <f t="shared" si="60"/>
        <v>7414</v>
      </c>
      <c r="AL103" s="24"/>
      <c r="AM103" s="24"/>
      <c r="AN103" s="24">
        <v>178263</v>
      </c>
      <c r="AO103" s="24">
        <v>980355</v>
      </c>
      <c r="AP103" s="24"/>
      <c r="AQ103" s="25">
        <f t="shared" si="61"/>
        <v>7.620194852514181E-3</v>
      </c>
      <c r="AR103" s="25"/>
      <c r="AS103" s="25"/>
      <c r="AT103" s="24"/>
      <c r="AU103" s="342">
        <f t="shared" si="62"/>
        <v>0.41550026128893214</v>
      </c>
      <c r="AV103" s="342"/>
      <c r="AW103" s="24">
        <f t="shared" si="63"/>
        <v>10429.308510638299</v>
      </c>
      <c r="AX103" s="352"/>
      <c r="AY103" s="392"/>
      <c r="AZ103" s="66">
        <f t="shared" si="64"/>
        <v>516127</v>
      </c>
      <c r="BA103" s="67"/>
      <c r="BB103" s="67">
        <v>28491990</v>
      </c>
      <c r="BC103" s="67"/>
      <c r="BD103" s="67">
        <f t="shared" si="65"/>
        <v>26079</v>
      </c>
      <c r="BE103" s="67"/>
      <c r="BF103" s="157">
        <f t="shared" si="66"/>
        <v>5.0528261455029477E-2</v>
      </c>
      <c r="BG103" s="67"/>
      <c r="BH103" s="184"/>
      <c r="BI103" s="67"/>
      <c r="BJ103" s="67">
        <f>SUM(AZ97:AZ103)</f>
        <v>3701059</v>
      </c>
      <c r="BK103" s="67"/>
      <c r="BL103" s="157">
        <f>+P103/BJ103</f>
        <v>5.2138320410455491E-2</v>
      </c>
      <c r="BM103" s="66">
        <f t="shared" si="67"/>
        <v>303106.27659574465</v>
      </c>
      <c r="BN103" s="67"/>
      <c r="BO103" s="67">
        <f t="shared" si="68"/>
        <v>2086079</v>
      </c>
      <c r="BP103" s="67"/>
      <c r="BQ103" s="479">
        <f t="shared" si="69"/>
        <v>7.3216332028756145E-2</v>
      </c>
      <c r="BR103" s="67"/>
      <c r="BS103" s="86"/>
      <c r="BT103" s="184"/>
      <c r="BU103" s="1"/>
      <c r="BV103">
        <f t="shared" si="53"/>
        <v>94</v>
      </c>
    </row>
    <row r="104" spans="2:74" x14ac:dyDescent="0.3">
      <c r="B104" s="172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4"/>
        <v>2390953</v>
      </c>
      <c r="I104" s="16"/>
      <c r="J104" s="38">
        <f t="shared" si="55"/>
        <v>1.3348834074958772E-2</v>
      </c>
      <c r="K104" s="16"/>
      <c r="L104" s="16"/>
      <c r="M104" s="16"/>
      <c r="N104" s="16">
        <f t="shared" si="56"/>
        <v>25167.926315789475</v>
      </c>
      <c r="O104" s="41"/>
      <c r="P104" s="17"/>
      <c r="Q104" s="16"/>
      <c r="R104" s="60"/>
      <c r="S104" s="16"/>
      <c r="T104" s="41"/>
      <c r="U104" s="10"/>
      <c r="V104" s="34">
        <v>363</v>
      </c>
      <c r="W104" s="33"/>
      <c r="X104" s="33"/>
      <c r="Y104" s="33"/>
      <c r="Z104" s="33">
        <f t="shared" si="57"/>
        <v>125287</v>
      </c>
      <c r="AA104" s="33"/>
      <c r="AB104" s="46">
        <f t="shared" si="58"/>
        <v>5.2400444508946854E-2</v>
      </c>
      <c r="AC104" s="33"/>
      <c r="AD104" s="33">
        <f t="shared" si="59"/>
        <v>1318.8105263157895</v>
      </c>
      <c r="AE104" s="50"/>
      <c r="AF104" s="33"/>
      <c r="AG104" s="33"/>
      <c r="AH104" s="232"/>
      <c r="AI104" s="50"/>
      <c r="AJ104" s="10"/>
      <c r="AK104" s="23">
        <f t="shared" si="60"/>
        <v>22574</v>
      </c>
      <c r="AL104" s="24"/>
      <c r="AM104" s="24"/>
      <c r="AN104" s="24">
        <v>178263</v>
      </c>
      <c r="AO104" s="24">
        <v>1002929</v>
      </c>
      <c r="AP104" s="24"/>
      <c r="AQ104" s="25">
        <f t="shared" si="61"/>
        <v>2.3026352698767284E-2</v>
      </c>
      <c r="AR104" s="25"/>
      <c r="AS104" s="25"/>
      <c r="AT104" s="24"/>
      <c r="AU104" s="342">
        <f t="shared" si="62"/>
        <v>0.41946830406118396</v>
      </c>
      <c r="AV104" s="342"/>
      <c r="AW104" s="24">
        <f t="shared" si="63"/>
        <v>10557.147368421052</v>
      </c>
      <c r="AX104" s="352"/>
      <c r="AY104" s="10"/>
      <c r="AZ104" s="66">
        <f t="shared" si="64"/>
        <v>521192</v>
      </c>
      <c r="BA104" s="67"/>
      <c r="BB104" s="67">
        <v>29013182</v>
      </c>
      <c r="BC104" s="67"/>
      <c r="BD104" s="67">
        <f t="shared" si="65"/>
        <v>31496</v>
      </c>
      <c r="BE104" s="67"/>
      <c r="BF104" s="157">
        <f t="shared" si="66"/>
        <v>6.0430704999309276E-2</v>
      </c>
      <c r="BG104" s="67"/>
      <c r="BH104" s="184"/>
      <c r="BI104" s="67"/>
      <c r="BJ104" s="67"/>
      <c r="BK104" s="67"/>
      <c r="BL104" s="157"/>
      <c r="BM104" s="66">
        <f t="shared" si="67"/>
        <v>305401.91578947369</v>
      </c>
      <c r="BN104" s="67"/>
      <c r="BO104" s="67">
        <f t="shared" si="68"/>
        <v>2117575</v>
      </c>
      <c r="BP104" s="67"/>
      <c r="BQ104" s="479">
        <f t="shared" si="69"/>
        <v>7.2986651377983977E-2</v>
      </c>
      <c r="BR104" s="67"/>
      <c r="BS104" s="86"/>
      <c r="BT104" s="184"/>
      <c r="BU104" s="1"/>
      <c r="BV104">
        <f t="shared" si="53"/>
        <v>95</v>
      </c>
    </row>
    <row r="105" spans="2:74" x14ac:dyDescent="0.3">
      <c r="B105" s="172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4"/>
        <v>2426991</v>
      </c>
      <c r="I105" s="16"/>
      <c r="J105" s="38">
        <f t="shared" si="55"/>
        <v>1.5072650947132796E-2</v>
      </c>
      <c r="K105" s="16"/>
      <c r="L105" s="16"/>
      <c r="M105" s="16"/>
      <c r="N105" s="16">
        <f t="shared" si="56"/>
        <v>25281.15625</v>
      </c>
      <c r="O105" s="41"/>
      <c r="P105" s="17"/>
      <c r="Q105" s="16"/>
      <c r="R105" s="60"/>
      <c r="S105" s="16"/>
      <c r="T105" s="41"/>
      <c r="U105" s="10"/>
      <c r="V105" s="34">
        <v>871</v>
      </c>
      <c r="W105" s="33"/>
      <c r="X105" s="33"/>
      <c r="Y105" s="33"/>
      <c r="Z105" s="33">
        <f t="shared" si="57"/>
        <v>126158</v>
      </c>
      <c r="AA105" s="33"/>
      <c r="AB105" s="46">
        <f t="shared" si="58"/>
        <v>5.1981239320623769E-2</v>
      </c>
      <c r="AC105" s="33"/>
      <c r="AD105" s="33">
        <f t="shared" si="59"/>
        <v>1314.1458333333333</v>
      </c>
      <c r="AE105" s="50"/>
      <c r="AF105" s="33"/>
      <c r="AG105" s="33"/>
      <c r="AH105" s="232"/>
      <c r="AI105" s="50"/>
      <c r="AJ105" s="10"/>
      <c r="AK105" s="23">
        <f t="shared" si="60"/>
        <v>17452</v>
      </c>
      <c r="AL105" s="24"/>
      <c r="AM105" s="24"/>
      <c r="AN105" s="24">
        <v>178263</v>
      </c>
      <c r="AO105" s="24">
        <v>1020381</v>
      </c>
      <c r="AP105" s="24"/>
      <c r="AQ105" s="25">
        <f t="shared" si="61"/>
        <v>1.7401032376170196E-2</v>
      </c>
      <c r="AR105" s="25"/>
      <c r="AS105" s="25"/>
      <c r="AT105" s="24"/>
      <c r="AU105" s="342">
        <f t="shared" si="62"/>
        <v>0.42043048367299263</v>
      </c>
      <c r="AV105" s="342"/>
      <c r="AW105" s="24">
        <f t="shared" si="63"/>
        <v>10628.96875</v>
      </c>
      <c r="AX105" s="352"/>
      <c r="AY105" s="10"/>
      <c r="AZ105" s="66">
        <f t="shared" si="64"/>
        <v>539508</v>
      </c>
      <c r="BA105" s="67"/>
      <c r="BB105" s="67">
        <v>29552690</v>
      </c>
      <c r="BC105" s="67"/>
      <c r="BD105" s="67">
        <f t="shared" si="65"/>
        <v>36038</v>
      </c>
      <c r="BE105" s="67"/>
      <c r="BF105" s="157">
        <f t="shared" si="66"/>
        <v>6.6797897343505566E-2</v>
      </c>
      <c r="BG105" s="67"/>
      <c r="BH105" s="184"/>
      <c r="BI105" s="67"/>
      <c r="BJ105" s="67"/>
      <c r="BK105" s="67"/>
      <c r="BL105" s="157"/>
      <c r="BM105" s="66">
        <f t="shared" si="67"/>
        <v>307840.52083333331</v>
      </c>
      <c r="BN105" s="67"/>
      <c r="BO105" s="67">
        <f t="shared" si="68"/>
        <v>2153613</v>
      </c>
      <c r="BP105" s="67"/>
      <c r="BQ105" s="479">
        <f t="shared" si="69"/>
        <v>7.2873670721683881E-2</v>
      </c>
      <c r="BR105" s="67"/>
      <c r="BS105" s="86"/>
      <c r="BT105" s="184"/>
      <c r="BU105" s="1"/>
      <c r="BV105">
        <f t="shared" si="53"/>
        <v>96</v>
      </c>
    </row>
    <row r="106" spans="2:74" x14ac:dyDescent="0.3">
      <c r="B106" s="172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4"/>
        <v>2465403</v>
      </c>
      <c r="I106" s="16"/>
      <c r="J106" s="38">
        <f t="shared" si="55"/>
        <v>1.5827005538957498E-2</v>
      </c>
      <c r="K106" s="16"/>
      <c r="L106" s="16"/>
      <c r="M106" s="16"/>
      <c r="N106" s="16">
        <f t="shared" si="56"/>
        <v>25416.525773195877</v>
      </c>
      <c r="O106" s="41"/>
      <c r="P106" s="17"/>
      <c r="Q106" s="16"/>
      <c r="R106" s="60"/>
      <c r="S106" s="16"/>
      <c r="T106" s="41"/>
      <c r="U106" s="10"/>
      <c r="V106" s="34">
        <v>819</v>
      </c>
      <c r="W106" s="33"/>
      <c r="X106" s="33"/>
      <c r="Y106" s="33"/>
      <c r="Z106" s="33">
        <f t="shared" si="57"/>
        <v>126977</v>
      </c>
      <c r="AA106" s="33"/>
      <c r="AB106" s="46">
        <f t="shared" si="58"/>
        <v>5.1503547290240176E-2</v>
      </c>
      <c r="AC106" s="33"/>
      <c r="AD106" s="33">
        <f t="shared" si="59"/>
        <v>1309.0412371134021</v>
      </c>
      <c r="AE106" s="50"/>
      <c r="AF106" s="33"/>
      <c r="AG106" s="33"/>
      <c r="AH106" s="232"/>
      <c r="AI106" s="50"/>
      <c r="AJ106" s="10"/>
      <c r="AK106" s="23">
        <f t="shared" si="60"/>
        <v>20224</v>
      </c>
      <c r="AL106" s="24"/>
      <c r="AM106" s="24"/>
      <c r="AN106" s="24">
        <v>178263</v>
      </c>
      <c r="AO106" s="24">
        <v>1040605</v>
      </c>
      <c r="AP106" s="24"/>
      <c r="AQ106" s="25">
        <f t="shared" si="61"/>
        <v>1.9820047609667369E-2</v>
      </c>
      <c r="AR106" s="25"/>
      <c r="AS106" s="25"/>
      <c r="AT106" s="24"/>
      <c r="AU106" s="342">
        <f t="shared" si="62"/>
        <v>0.42208312393551883</v>
      </c>
      <c r="AV106" s="342"/>
      <c r="AW106" s="24">
        <f t="shared" si="63"/>
        <v>10727.886597938144</v>
      </c>
      <c r="AX106" s="352"/>
      <c r="AY106" s="10"/>
      <c r="AZ106" s="66">
        <f t="shared" si="64"/>
        <v>507174</v>
      </c>
      <c r="BA106" s="67"/>
      <c r="BB106" s="67">
        <f>30059864</f>
        <v>30059864</v>
      </c>
      <c r="BC106" s="67"/>
      <c r="BD106" s="67">
        <f t="shared" si="65"/>
        <v>38412</v>
      </c>
      <c r="BE106" s="67"/>
      <c r="BF106" s="157">
        <f t="shared" si="66"/>
        <v>7.5737320919447765E-2</v>
      </c>
      <c r="BG106" s="67"/>
      <c r="BH106" s="184"/>
      <c r="BI106" s="67"/>
      <c r="BJ106" s="67"/>
      <c r="BK106" s="67"/>
      <c r="BL106" s="157"/>
      <c r="BM106" s="66">
        <f t="shared" si="67"/>
        <v>309895.50515463919</v>
      </c>
      <c r="BN106" s="67"/>
      <c r="BO106" s="67">
        <f t="shared" si="68"/>
        <v>2192025</v>
      </c>
      <c r="BP106" s="67"/>
      <c r="BQ106" s="479">
        <f t="shared" si="69"/>
        <v>7.2921986606459696E-2</v>
      </c>
      <c r="BR106" s="67"/>
      <c r="BS106" s="86"/>
      <c r="BT106" s="184"/>
      <c r="BU106" s="1"/>
      <c r="BV106">
        <f t="shared" si="53"/>
        <v>97</v>
      </c>
    </row>
    <row r="107" spans="2:74" x14ac:dyDescent="0.3">
      <c r="B107" s="172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4"/>
        <v>2505615</v>
      </c>
      <c r="I107" s="16"/>
      <c r="J107" s="38">
        <f t="shared" si="55"/>
        <v>1.6310517996449263E-2</v>
      </c>
      <c r="K107" s="16"/>
      <c r="L107" s="16"/>
      <c r="M107" s="16"/>
      <c r="N107" s="16">
        <f t="shared" si="56"/>
        <v>25567.5</v>
      </c>
      <c r="O107" s="41"/>
      <c r="P107" s="17"/>
      <c r="Q107" s="16"/>
      <c r="R107" s="60"/>
      <c r="S107" s="16"/>
      <c r="T107" s="41"/>
      <c r="U107" s="10"/>
      <c r="V107" s="34">
        <v>653</v>
      </c>
      <c r="W107" s="33"/>
      <c r="X107" s="33"/>
      <c r="Y107" s="33"/>
      <c r="Z107" s="33">
        <f t="shared" si="57"/>
        <v>127630</v>
      </c>
      <c r="AA107" s="33"/>
      <c r="AB107" s="46">
        <f t="shared" si="58"/>
        <v>5.0937594163508758E-2</v>
      </c>
      <c r="AC107" s="33"/>
      <c r="AD107" s="33">
        <f t="shared" si="59"/>
        <v>1302.3469387755101</v>
      </c>
      <c r="AE107" s="50"/>
      <c r="AF107" s="33"/>
      <c r="AG107" s="33"/>
      <c r="AH107" s="232"/>
      <c r="AI107" s="50"/>
      <c r="AJ107" s="10"/>
      <c r="AK107" s="23">
        <f t="shared" si="60"/>
        <v>11688</v>
      </c>
      <c r="AL107" s="24"/>
      <c r="AM107" s="24"/>
      <c r="AN107" s="24">
        <v>178263</v>
      </c>
      <c r="AO107" s="24">
        <v>1052293</v>
      </c>
      <c r="AP107" s="24"/>
      <c r="AQ107" s="25">
        <f t="shared" si="61"/>
        <v>1.1231927580590138E-2</v>
      </c>
      <c r="AR107" s="25"/>
      <c r="AS107" s="25"/>
      <c r="AT107" s="24"/>
      <c r="AU107" s="342">
        <f t="shared" si="62"/>
        <v>0.41997393853405252</v>
      </c>
      <c r="AV107" s="342"/>
      <c r="AW107" s="24">
        <f t="shared" si="63"/>
        <v>10737.683673469388</v>
      </c>
      <c r="AX107" s="352"/>
      <c r="AY107" s="10"/>
      <c r="AZ107" s="66">
        <f t="shared" si="64"/>
        <v>672688</v>
      </c>
      <c r="BA107" s="67"/>
      <c r="BB107" s="67">
        <v>30732552</v>
      </c>
      <c r="BC107" s="67"/>
      <c r="BD107" s="67">
        <f t="shared" si="65"/>
        <v>40212</v>
      </c>
      <c r="BE107" s="67"/>
      <c r="BF107" s="157">
        <f t="shared" si="66"/>
        <v>5.9778084342221059E-2</v>
      </c>
      <c r="BG107" s="67"/>
      <c r="BH107" s="184"/>
      <c r="BI107" s="67"/>
      <c r="BJ107" s="67"/>
      <c r="BK107" s="67"/>
      <c r="BL107" s="157"/>
      <c r="BM107" s="66">
        <f t="shared" si="67"/>
        <v>313597.46938775509</v>
      </c>
      <c r="BN107" s="67"/>
      <c r="BO107" s="67">
        <f t="shared" si="68"/>
        <v>2232237</v>
      </c>
      <c r="BP107" s="67"/>
      <c r="BQ107" s="479">
        <f t="shared" si="69"/>
        <v>7.2634286928075484E-2</v>
      </c>
      <c r="BR107" s="67"/>
      <c r="BS107" s="86"/>
      <c r="BT107" s="184"/>
      <c r="BU107" s="1"/>
      <c r="BV107">
        <f t="shared" si="53"/>
        <v>98</v>
      </c>
    </row>
    <row r="108" spans="2:74" x14ac:dyDescent="0.3">
      <c r="B108" s="172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4"/>
        <v>2552956</v>
      </c>
      <c r="I108" s="16"/>
      <c r="J108" s="38">
        <f t="shared" si="55"/>
        <v>1.8893964156504493E-2</v>
      </c>
      <c r="K108" s="16"/>
      <c r="L108" s="16"/>
      <c r="M108" s="16"/>
      <c r="N108" s="16">
        <f t="shared" si="56"/>
        <v>25787.434343434343</v>
      </c>
      <c r="O108" s="41"/>
      <c r="P108" s="17"/>
      <c r="Q108" s="16"/>
      <c r="R108" s="60"/>
      <c r="S108" s="16"/>
      <c r="T108" s="41"/>
      <c r="V108" s="34">
        <v>663</v>
      </c>
      <c r="W108" s="33"/>
      <c r="X108" s="33"/>
      <c r="Y108" s="33"/>
      <c r="Z108" s="33">
        <f t="shared" si="57"/>
        <v>128293</v>
      </c>
      <c r="AA108" s="33"/>
      <c r="AB108" s="46">
        <f t="shared" si="58"/>
        <v>5.0252726643154055E-2</v>
      </c>
      <c r="AC108" s="33"/>
      <c r="AD108" s="33">
        <f t="shared" si="59"/>
        <v>1295.8888888888889</v>
      </c>
      <c r="AE108" s="50"/>
      <c r="AF108" s="33"/>
      <c r="AG108" s="33"/>
      <c r="AH108" s="232"/>
      <c r="AI108" s="50"/>
      <c r="AJ108" s="10"/>
      <c r="AK108" s="23">
        <f t="shared" si="60"/>
        <v>16410</v>
      </c>
      <c r="AL108" s="24"/>
      <c r="AM108" s="24"/>
      <c r="AN108" s="24">
        <v>178263</v>
      </c>
      <c r="AO108" s="24">
        <v>1068703</v>
      </c>
      <c r="AP108" s="24"/>
      <c r="AQ108" s="25">
        <f t="shared" si="61"/>
        <v>1.55945159760637E-2</v>
      </c>
      <c r="AR108" s="25"/>
      <c r="AS108" s="25"/>
      <c r="AT108" s="24"/>
      <c r="AU108" s="342">
        <f t="shared" si="62"/>
        <v>0.41861395182682348</v>
      </c>
      <c r="AV108" s="342"/>
      <c r="AW108" s="24">
        <f t="shared" si="63"/>
        <v>10794.979797979799</v>
      </c>
      <c r="AX108" s="352"/>
      <c r="AY108" s="10"/>
      <c r="AZ108" s="66">
        <f t="shared" si="64"/>
        <v>619948</v>
      </c>
      <c r="BA108" s="67"/>
      <c r="BB108" s="67">
        <v>31352500</v>
      </c>
      <c r="BC108" s="67"/>
      <c r="BD108" s="67">
        <f t="shared" si="65"/>
        <v>47341</v>
      </c>
      <c r="BE108" s="67"/>
      <c r="BF108" s="157">
        <f t="shared" si="66"/>
        <v>7.6362856239555577E-2</v>
      </c>
      <c r="BG108" s="67"/>
      <c r="BH108" s="184"/>
      <c r="BI108" s="67"/>
      <c r="BJ108" s="67"/>
      <c r="BK108" s="67"/>
      <c r="BL108" s="157"/>
      <c r="BM108" s="66">
        <f t="shared" si="67"/>
        <v>316691.91919191921</v>
      </c>
      <c r="BN108" s="67"/>
      <c r="BO108" s="67">
        <f t="shared" si="68"/>
        <v>2279578</v>
      </c>
      <c r="BP108" s="67"/>
      <c r="BQ108" s="479">
        <f t="shared" si="69"/>
        <v>7.2708013715014758E-2</v>
      </c>
      <c r="BR108" s="67"/>
      <c r="BS108" s="86"/>
      <c r="BT108" s="184"/>
      <c r="BU108" s="1"/>
      <c r="BV108">
        <f t="shared" si="53"/>
        <v>99</v>
      </c>
    </row>
    <row r="109" spans="2:74" x14ac:dyDescent="0.3">
      <c r="B109" s="172">
        <f t="shared" si="52"/>
        <v>44009</v>
      </c>
      <c r="C109" s="61"/>
      <c r="D109" s="17">
        <v>43581</v>
      </c>
      <c r="E109" s="16"/>
      <c r="F109" s="16"/>
      <c r="G109" s="16"/>
      <c r="H109" s="16">
        <f>+H108+D109</f>
        <v>2596537</v>
      </c>
      <c r="I109" s="16"/>
      <c r="J109" s="38">
        <f t="shared" ref="J109:J126" si="70">+D109/H108</f>
        <v>1.7070799496740251E-2</v>
      </c>
      <c r="K109" s="16"/>
      <c r="L109" s="16"/>
      <c r="M109" s="16"/>
      <c r="N109" s="16">
        <f t="shared" ref="N109:N126" si="71">+H109/BV109</f>
        <v>25965.37</v>
      </c>
      <c r="O109" s="41"/>
      <c r="P109" s="17"/>
      <c r="Q109" s="16"/>
      <c r="R109" s="60"/>
      <c r="S109" s="16"/>
      <c r="T109" s="41"/>
      <c r="U109" s="10">
        <v>1</v>
      </c>
      <c r="V109" s="34">
        <v>512</v>
      </c>
      <c r="W109" s="33"/>
      <c r="X109" s="33"/>
      <c r="Y109" s="33"/>
      <c r="Z109" s="33">
        <f t="shared" ref="Z109:Z126" si="72">+Z108+V109</f>
        <v>128805</v>
      </c>
      <c r="AA109" s="33"/>
      <c r="AB109" s="46">
        <f t="shared" ref="AB109:AB126" si="73">+Z109/H109</f>
        <v>4.9606456599694128E-2</v>
      </c>
      <c r="AC109" s="33"/>
      <c r="AD109" s="33">
        <f t="shared" ref="AD109:AD126" si="74">+Z109/BV109</f>
        <v>1288.05</v>
      </c>
      <c r="AE109" s="50"/>
      <c r="AF109" s="33"/>
      <c r="AG109" s="33"/>
      <c r="AH109" s="232"/>
      <c r="AI109" s="50"/>
      <c r="AJ109" s="10"/>
      <c r="AK109" s="23">
        <f t="shared" ref="AK109:AK126" si="75">+AO109-AO108</f>
        <v>12734</v>
      </c>
      <c r="AL109" s="24"/>
      <c r="AM109" s="24"/>
      <c r="AN109" s="24">
        <v>178263</v>
      </c>
      <c r="AO109" s="24">
        <v>1081437</v>
      </c>
      <c r="AP109" s="24"/>
      <c r="AQ109" s="505">
        <f t="shared" ref="AQ109:AQ126" si="76">+AK109/AO108</f>
        <v>1.1915377799070462E-2</v>
      </c>
      <c r="AR109" s="25"/>
      <c r="AS109" s="25"/>
      <c r="AT109" s="24"/>
      <c r="AU109" s="342">
        <f t="shared" ref="AU109:AU126" si="77">+AO109/H109</f>
        <v>0.41649204305580856</v>
      </c>
      <c r="AV109" s="342"/>
      <c r="AW109" s="24">
        <f t="shared" ref="AW109:AW126" si="78">+AO109/BV109</f>
        <v>10814.37</v>
      </c>
      <c r="AX109" s="352"/>
      <c r="AY109" s="10"/>
      <c r="AZ109" s="66">
        <f t="shared" ref="AZ109:AZ126" si="79">+BB109-BB108</f>
        <v>645524</v>
      </c>
      <c r="BA109" s="67"/>
      <c r="BB109" s="67">
        <v>31998024</v>
      </c>
      <c r="BC109" s="67"/>
      <c r="BD109" s="67">
        <f t="shared" ref="BD109:BD126" si="80">+D109</f>
        <v>43581</v>
      </c>
      <c r="BE109" s="67"/>
      <c r="BF109" s="157">
        <f t="shared" ref="BF109:BF126" si="81">+BD109/AZ109</f>
        <v>6.7512594419417399E-2</v>
      </c>
      <c r="BG109" s="67"/>
      <c r="BH109" s="184"/>
      <c r="BI109" s="67"/>
      <c r="BJ109" s="67"/>
      <c r="BK109" s="67"/>
      <c r="BL109" s="157"/>
      <c r="BM109" s="66">
        <f t="shared" ref="BM109:BM126" si="82">+BB109/BV109</f>
        <v>319980.24</v>
      </c>
      <c r="BN109" s="67"/>
      <c r="BO109" s="67">
        <f t="shared" ref="BO109:BO126" si="83">+BO108+BD109</f>
        <v>2323159</v>
      </c>
      <c r="BP109" s="67"/>
      <c r="BQ109" s="479">
        <f t="shared" ref="BQ109:BQ126" si="84">+BO109/BB109</f>
        <v>7.2603201997723354E-2</v>
      </c>
      <c r="BR109" s="67"/>
      <c r="BS109" s="86"/>
      <c r="BT109" s="184"/>
      <c r="BU109" s="1"/>
      <c r="BV109">
        <f t="shared" si="53"/>
        <v>100</v>
      </c>
    </row>
    <row r="110" spans="2:74" x14ac:dyDescent="0.3">
      <c r="B110" s="391">
        <f t="shared" si="52"/>
        <v>44010</v>
      </c>
      <c r="C110" s="61"/>
      <c r="D110" s="17">
        <v>40540</v>
      </c>
      <c r="E110" s="16"/>
      <c r="F110" s="16"/>
      <c r="G110" s="16"/>
      <c r="H110" s="16">
        <f>+H109+D110</f>
        <v>2637077</v>
      </c>
      <c r="I110" s="16"/>
      <c r="J110" s="38">
        <f t="shared" si="70"/>
        <v>1.5613103144688483E-2</v>
      </c>
      <c r="K110" s="16"/>
      <c r="L110" s="16"/>
      <c r="M110" s="16"/>
      <c r="N110" s="16">
        <f t="shared" si="71"/>
        <v>26109.673267326732</v>
      </c>
      <c r="O110" s="41"/>
      <c r="P110" s="17">
        <f>SUM(D104:D110)</f>
        <v>277620</v>
      </c>
      <c r="Q110" s="16"/>
      <c r="R110" s="60">
        <f>+(P110-P103)/P103</f>
        <v>0.43869158975368844</v>
      </c>
      <c r="S110" s="16"/>
      <c r="T110" s="41"/>
      <c r="U110" s="392">
        <f>+U109+1</f>
        <v>2</v>
      </c>
      <c r="V110" s="34">
        <v>285</v>
      </c>
      <c r="W110" s="33"/>
      <c r="X110" s="33"/>
      <c r="Y110" s="33"/>
      <c r="Z110" s="33">
        <f t="shared" si="72"/>
        <v>129090</v>
      </c>
      <c r="AA110" s="33"/>
      <c r="AB110" s="46">
        <f t="shared" si="73"/>
        <v>4.8951926697627712E-2</v>
      </c>
      <c r="AC110" s="33"/>
      <c r="AD110" s="33">
        <f t="shared" si="74"/>
        <v>1278.1188118811881</v>
      </c>
      <c r="AE110" s="50"/>
      <c r="AF110" s="33">
        <f>SUM(V104:V110)</f>
        <v>4166</v>
      </c>
      <c r="AG110" s="33"/>
      <c r="AH110" s="232">
        <f>+(AF110-AF103)/AF103</f>
        <v>-5.0159598723210214E-2</v>
      </c>
      <c r="AI110" s="50"/>
      <c r="AJ110" s="392"/>
      <c r="AK110" s="23">
        <f t="shared" si="75"/>
        <v>12019</v>
      </c>
      <c r="AL110" s="24"/>
      <c r="AM110" s="24"/>
      <c r="AN110" s="24">
        <v>178263</v>
      </c>
      <c r="AO110" s="24">
        <f>1093456</f>
        <v>1093456</v>
      </c>
      <c r="AP110" s="24"/>
      <c r="AQ110" s="505">
        <f t="shared" si="76"/>
        <v>1.1113916020997988E-2</v>
      </c>
      <c r="AR110" s="25"/>
      <c r="AS110" s="25"/>
      <c r="AT110" s="24"/>
      <c r="AU110" s="342">
        <f t="shared" si="77"/>
        <v>0.41464697466171824</v>
      </c>
      <c r="AV110" s="342"/>
      <c r="AW110" s="24">
        <f t="shared" si="78"/>
        <v>10826.29702970297</v>
      </c>
      <c r="AX110" s="352"/>
      <c r="AY110" s="392"/>
      <c r="AZ110" s="66">
        <f t="shared" si="79"/>
        <v>594344</v>
      </c>
      <c r="BA110" s="67"/>
      <c r="BB110" s="67">
        <f>32592368</f>
        <v>32592368</v>
      </c>
      <c r="BC110" s="67"/>
      <c r="BD110" s="67">
        <f t="shared" si="80"/>
        <v>40540</v>
      </c>
      <c r="BE110" s="67"/>
      <c r="BF110" s="157">
        <f t="shared" si="81"/>
        <v>6.8209656360626175E-2</v>
      </c>
      <c r="BG110" s="67"/>
      <c r="BH110" s="184"/>
      <c r="BI110" s="67"/>
      <c r="BJ110" s="67">
        <f>SUM(AZ104:AZ110)</f>
        <v>4100378</v>
      </c>
      <c r="BK110" s="67"/>
      <c r="BL110" s="157">
        <f>+P110/BJ110</f>
        <v>6.7705952963360932E-2</v>
      </c>
      <c r="BM110" s="66">
        <f t="shared" si="82"/>
        <v>322696.71287128713</v>
      </c>
      <c r="BN110" s="67"/>
      <c r="BO110" s="67">
        <f t="shared" si="83"/>
        <v>2363699</v>
      </c>
      <c r="BP110" s="67"/>
      <c r="BQ110" s="479">
        <f t="shared" si="84"/>
        <v>7.2523082704515365E-2</v>
      </c>
      <c r="BR110" s="67"/>
      <c r="BS110" s="86"/>
      <c r="BT110" s="184"/>
      <c r="BU110" s="1"/>
      <c r="BV110">
        <f t="shared" si="53"/>
        <v>101</v>
      </c>
    </row>
    <row r="111" spans="2:74" x14ac:dyDescent="0.3">
      <c r="B111" s="172">
        <f t="shared" si="52"/>
        <v>44011</v>
      </c>
      <c r="C111" s="61"/>
      <c r="D111" s="17">
        <v>44734</v>
      </c>
      <c r="E111" s="16"/>
      <c r="F111" s="16"/>
      <c r="G111" s="16"/>
      <c r="H111" s="16">
        <f>+H110+D111</f>
        <v>2681811</v>
      </c>
      <c r="I111" s="16"/>
      <c r="J111" s="38">
        <f t="shared" si="70"/>
        <v>1.696347888211076E-2</v>
      </c>
      <c r="K111" s="16"/>
      <c r="L111" s="16"/>
      <c r="M111" s="16"/>
      <c r="N111" s="16">
        <f t="shared" si="71"/>
        <v>26292.264705882353</v>
      </c>
      <c r="O111" s="41"/>
      <c r="P111" s="17"/>
      <c r="Q111" s="16"/>
      <c r="R111" s="60"/>
      <c r="S111" s="16"/>
      <c r="T111" s="41"/>
      <c r="U111" s="10">
        <f t="shared" ref="U111:U138" si="85">+U110+1</f>
        <v>3</v>
      </c>
      <c r="V111" s="34">
        <v>346</v>
      </c>
      <c r="W111" s="33"/>
      <c r="X111" s="33"/>
      <c r="Y111" s="33"/>
      <c r="Z111" s="33">
        <f t="shared" si="72"/>
        <v>129436</v>
      </c>
      <c r="AA111" s="33"/>
      <c r="AB111" s="46">
        <f t="shared" si="73"/>
        <v>4.8264400436868964E-2</v>
      </c>
      <c r="AC111" s="33"/>
      <c r="AD111" s="33">
        <f t="shared" si="74"/>
        <v>1268.9803921568628</v>
      </c>
      <c r="AE111" s="50"/>
      <c r="AF111" s="33"/>
      <c r="AG111" s="33"/>
      <c r="AH111" s="232"/>
      <c r="AI111" s="50"/>
      <c r="AJ111" s="10"/>
      <c r="AK111" s="23">
        <f t="shared" si="75"/>
        <v>23721</v>
      </c>
      <c r="AL111" s="24"/>
      <c r="AM111" s="24"/>
      <c r="AN111" s="24">
        <v>178263</v>
      </c>
      <c r="AO111" s="24">
        <v>1117177</v>
      </c>
      <c r="AP111" s="24"/>
      <c r="AQ111" s="505">
        <f t="shared" si="76"/>
        <v>2.1693602668968848E-2</v>
      </c>
      <c r="AR111" s="25"/>
      <c r="AS111" s="25"/>
      <c r="AT111" s="24"/>
      <c r="AU111" s="342">
        <f t="shared" si="77"/>
        <v>0.41657559015158041</v>
      </c>
      <c r="AV111" s="342"/>
      <c r="AW111" s="24">
        <f t="shared" si="78"/>
        <v>10952.715686274511</v>
      </c>
      <c r="AX111" s="352"/>
      <c r="AY111" s="10"/>
      <c r="AZ111" s="66">
        <f t="shared" si="79"/>
        <v>597145</v>
      </c>
      <c r="BA111" s="67"/>
      <c r="BB111" s="67">
        <v>33189513</v>
      </c>
      <c r="BC111" s="67"/>
      <c r="BD111" s="67">
        <f t="shared" si="80"/>
        <v>44734</v>
      </c>
      <c r="BE111" s="67"/>
      <c r="BF111" s="157">
        <f t="shared" si="81"/>
        <v>7.4913128302171159E-2</v>
      </c>
      <c r="BG111" s="67"/>
      <c r="BH111" s="184"/>
      <c r="BI111" s="67"/>
      <c r="BJ111" s="67"/>
      <c r="BK111" s="67"/>
      <c r="BL111" s="157"/>
      <c r="BM111" s="66">
        <f t="shared" si="82"/>
        <v>325387.3823529412</v>
      </c>
      <c r="BN111" s="67"/>
      <c r="BO111" s="67">
        <f t="shared" si="83"/>
        <v>2408433</v>
      </c>
      <c r="BP111" s="67"/>
      <c r="BQ111" s="479">
        <f t="shared" si="84"/>
        <v>7.2566084353211213E-2</v>
      </c>
      <c r="BR111" s="67"/>
      <c r="BS111" s="86"/>
      <c r="BT111" s="184"/>
      <c r="BU111" s="1"/>
      <c r="BV111">
        <f t="shared" si="53"/>
        <v>102</v>
      </c>
    </row>
    <row r="112" spans="2:74" x14ac:dyDescent="0.3">
      <c r="B112" s="172">
        <f t="shared" si="52"/>
        <v>44012</v>
      </c>
      <c r="C112" s="61"/>
      <c r="D112" s="17">
        <v>46042</v>
      </c>
      <c r="E112" s="16"/>
      <c r="F112" s="16"/>
      <c r="G112" s="16"/>
      <c r="H112" s="16">
        <f>+H111+D112</f>
        <v>2727853</v>
      </c>
      <c r="I112" s="16"/>
      <c r="J112" s="38">
        <f t="shared" si="70"/>
        <v>1.7168249365820336E-2</v>
      </c>
      <c r="K112" s="16"/>
      <c r="L112" s="16"/>
      <c r="M112" s="16"/>
      <c r="N112" s="16">
        <f t="shared" si="71"/>
        <v>26484.009708737864</v>
      </c>
      <c r="O112" s="41"/>
      <c r="P112" s="17"/>
      <c r="Q112" s="16"/>
      <c r="R112" s="60"/>
      <c r="S112" s="16"/>
      <c r="T112" s="41"/>
      <c r="U112" s="10">
        <f t="shared" si="85"/>
        <v>4</v>
      </c>
      <c r="V112" s="34">
        <v>764</v>
      </c>
      <c r="W112" s="33"/>
      <c r="X112" s="33"/>
      <c r="Y112" s="33"/>
      <c r="Z112" s="33">
        <f t="shared" si="72"/>
        <v>130200</v>
      </c>
      <c r="AA112" s="33"/>
      <c r="AB112" s="46">
        <f t="shared" si="73"/>
        <v>4.7729844680046908E-2</v>
      </c>
      <c r="AC112" s="33"/>
      <c r="AD112" s="33">
        <f t="shared" si="74"/>
        <v>1264.0776699029127</v>
      </c>
      <c r="AE112" s="50"/>
      <c r="AF112" s="33"/>
      <c r="AG112" s="33"/>
      <c r="AH112" s="232"/>
      <c r="AI112" s="50"/>
      <c r="AJ112" s="10"/>
      <c r="AK112" s="23">
        <f t="shared" si="75"/>
        <v>26157</v>
      </c>
      <c r="AL112" s="24"/>
      <c r="AM112" s="24"/>
      <c r="AN112" s="24">
        <v>178263</v>
      </c>
      <c r="AO112" s="24">
        <v>1143334</v>
      </c>
      <c r="AP112" s="24"/>
      <c r="AQ112" s="505">
        <f t="shared" si="76"/>
        <v>2.3413478795213293E-2</v>
      </c>
      <c r="AR112" s="25"/>
      <c r="AS112" s="25"/>
      <c r="AT112" s="24"/>
      <c r="AU112" s="342">
        <f t="shared" si="77"/>
        <v>0.41913328907386138</v>
      </c>
      <c r="AV112" s="342"/>
      <c r="AW112" s="24">
        <f t="shared" si="78"/>
        <v>11100.330097087379</v>
      </c>
      <c r="AX112" s="352"/>
      <c r="AY112" s="10"/>
      <c r="AZ112" s="66">
        <f t="shared" si="79"/>
        <v>1008514</v>
      </c>
      <c r="BA112" s="67"/>
      <c r="BB112" s="67">
        <v>34198027</v>
      </c>
      <c r="BC112" s="67"/>
      <c r="BD112" s="67">
        <f t="shared" si="80"/>
        <v>46042</v>
      </c>
      <c r="BE112" s="67"/>
      <c r="BF112" s="157">
        <f t="shared" si="81"/>
        <v>4.5653307737919355E-2</v>
      </c>
      <c r="BG112" s="67"/>
      <c r="BH112" s="184"/>
      <c r="BI112" s="67"/>
      <c r="BJ112" s="67"/>
      <c r="BK112" s="67"/>
      <c r="BL112" s="157"/>
      <c r="BM112" s="66">
        <f t="shared" si="82"/>
        <v>332019.67961165047</v>
      </c>
      <c r="BN112" s="67"/>
      <c r="BO112" s="67">
        <f t="shared" si="83"/>
        <v>2454475</v>
      </c>
      <c r="BP112" s="67"/>
      <c r="BQ112" s="479">
        <f t="shared" si="84"/>
        <v>7.1772415408643306E-2</v>
      </c>
      <c r="BR112" s="67"/>
      <c r="BS112" s="86"/>
      <c r="BT112" s="184"/>
      <c r="BU112" s="1"/>
      <c r="BV112">
        <f t="shared" si="53"/>
        <v>103</v>
      </c>
    </row>
    <row r="113" spans="2:74" x14ac:dyDescent="0.3">
      <c r="B113" s="172">
        <f t="shared" si="52"/>
        <v>44013</v>
      </c>
      <c r="C113" s="61"/>
      <c r="D113" s="17">
        <v>51097</v>
      </c>
      <c r="E113" s="16"/>
      <c r="F113" s="16"/>
      <c r="G113" s="16"/>
      <c r="H113" s="16">
        <f>+H112+D113</f>
        <v>2778950</v>
      </c>
      <c r="I113" s="16"/>
      <c r="J113" s="38">
        <f t="shared" si="70"/>
        <v>1.8731581210571096E-2</v>
      </c>
      <c r="K113" s="16"/>
      <c r="L113" s="16"/>
      <c r="M113" s="16"/>
      <c r="N113" s="16">
        <f t="shared" si="71"/>
        <v>26720.673076923078</v>
      </c>
      <c r="O113" s="41"/>
      <c r="P113" s="17"/>
      <c r="Q113" s="16"/>
      <c r="R113" s="60"/>
      <c r="S113" s="16"/>
      <c r="T113" s="41"/>
      <c r="U113" s="10">
        <f t="shared" si="85"/>
        <v>5</v>
      </c>
      <c r="V113" s="34">
        <v>676</v>
      </c>
      <c r="W113" s="33"/>
      <c r="X113" s="33"/>
      <c r="Y113" s="33"/>
      <c r="Z113" s="33">
        <f t="shared" si="72"/>
        <v>130876</v>
      </c>
      <c r="AA113" s="33"/>
      <c r="AB113" s="46">
        <f t="shared" si="73"/>
        <v>4.7095485705032476E-2</v>
      </c>
      <c r="AC113" s="33"/>
      <c r="AD113" s="33">
        <f t="shared" si="74"/>
        <v>1258.4230769230769</v>
      </c>
      <c r="AE113" s="50"/>
      <c r="AF113" s="33"/>
      <c r="AG113" s="33">
        <f>SUM(D83:D112)</f>
        <v>869627</v>
      </c>
      <c r="AH113" s="232"/>
      <c r="AI113" s="50"/>
      <c r="AJ113" s="10"/>
      <c r="AK113" s="23">
        <f t="shared" si="75"/>
        <v>20966</v>
      </c>
      <c r="AL113" s="24"/>
      <c r="AM113" s="24"/>
      <c r="AN113" s="24">
        <v>178263</v>
      </c>
      <c r="AO113" s="24">
        <v>1164300</v>
      </c>
      <c r="AP113" s="24"/>
      <c r="AQ113" s="505">
        <f t="shared" si="76"/>
        <v>1.8337598636968724E-2</v>
      </c>
      <c r="AR113" s="25"/>
      <c r="AS113" s="25"/>
      <c r="AT113" s="24"/>
      <c r="AU113" s="342">
        <f t="shared" si="77"/>
        <v>0.41897119415606615</v>
      </c>
      <c r="AV113" s="342"/>
      <c r="AW113" s="24">
        <f t="shared" si="78"/>
        <v>11195.192307692309</v>
      </c>
      <c r="AX113" s="352"/>
      <c r="AY113" s="10"/>
      <c r="AZ113" s="66">
        <f t="shared" si="79"/>
        <v>657615</v>
      </c>
      <c r="BA113" s="67"/>
      <c r="BB113" s="67">
        <v>34855642</v>
      </c>
      <c r="BC113" s="67"/>
      <c r="BD113" s="67">
        <f t="shared" si="80"/>
        <v>51097</v>
      </c>
      <c r="BE113" s="67"/>
      <c r="BF113" s="157">
        <f t="shared" si="81"/>
        <v>7.7700478243349066E-2</v>
      </c>
      <c r="BG113" s="67"/>
      <c r="BH113" s="184"/>
      <c r="BI113" s="67"/>
      <c r="BJ113" s="67"/>
      <c r="BK113" s="67"/>
      <c r="BL113" s="157"/>
      <c r="BM113" s="66">
        <f t="shared" si="82"/>
        <v>335150.40384615387</v>
      </c>
      <c r="BN113" s="67"/>
      <c r="BO113" s="67">
        <f t="shared" si="83"/>
        <v>2505572</v>
      </c>
      <c r="BP113" s="67"/>
      <c r="BQ113" s="479">
        <f t="shared" si="84"/>
        <v>7.1884259082073423E-2</v>
      </c>
      <c r="BR113" s="67"/>
      <c r="BS113" s="86"/>
      <c r="BT113" s="184"/>
      <c r="BU113" s="1"/>
      <c r="BV113">
        <f t="shared" si="53"/>
        <v>104</v>
      </c>
    </row>
    <row r="114" spans="2:74" x14ac:dyDescent="0.3">
      <c r="B114" s="172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+H113+D114+2141+4101</f>
        <v>2845067</v>
      </c>
      <c r="I114" s="506" t="s">
        <v>150</v>
      </c>
      <c r="J114" s="38">
        <f t="shared" si="70"/>
        <v>2.1545907626981414E-2</v>
      </c>
      <c r="K114" s="16"/>
      <c r="L114" s="16"/>
      <c r="M114" s="16"/>
      <c r="N114" s="16">
        <f t="shared" si="71"/>
        <v>27095.876190476192</v>
      </c>
      <c r="O114" s="41"/>
      <c r="P114" s="17"/>
      <c r="Q114" s="16"/>
      <c r="R114" s="60"/>
      <c r="S114" s="16"/>
      <c r="T114" s="41"/>
      <c r="U114" s="10">
        <f t="shared" si="85"/>
        <v>6</v>
      </c>
      <c r="V114" s="34">
        <f>604-30-21</f>
        <v>553</v>
      </c>
      <c r="W114" s="33"/>
      <c r="X114" s="33"/>
      <c r="Y114" s="535" t="s">
        <v>150</v>
      </c>
      <c r="Z114" s="33">
        <f t="shared" si="72"/>
        <v>131429</v>
      </c>
      <c r="AA114" s="33"/>
      <c r="AB114" s="46">
        <f t="shared" si="73"/>
        <v>4.6195397155849055E-2</v>
      </c>
      <c r="AC114" s="33"/>
      <c r="AD114" s="33">
        <f t="shared" si="74"/>
        <v>1251.7047619047619</v>
      </c>
      <c r="AE114" s="50"/>
      <c r="AF114" s="33"/>
      <c r="AG114" s="33">
        <f>SUM(V83:V112)</f>
        <v>21252</v>
      </c>
      <c r="AH114" s="232"/>
      <c r="AI114" s="50"/>
      <c r="AJ114" s="10"/>
      <c r="AK114" s="23">
        <f t="shared" si="75"/>
        <v>20879</v>
      </c>
      <c r="AL114" s="24"/>
      <c r="AM114" s="24"/>
      <c r="AN114" s="24">
        <v>178263</v>
      </c>
      <c r="AO114" s="24">
        <v>1185179</v>
      </c>
      <c r="AP114" s="24"/>
      <c r="AQ114" s="505">
        <f t="shared" si="76"/>
        <v>1.7932663402903032E-2</v>
      </c>
      <c r="AR114" s="25"/>
      <c r="AS114" s="25"/>
      <c r="AT114" s="24"/>
      <c r="AU114" s="342">
        <f t="shared" si="77"/>
        <v>0.41657331795701119</v>
      </c>
      <c r="AV114" s="342"/>
      <c r="AW114" s="24">
        <f t="shared" si="78"/>
        <v>11287.419047619047</v>
      </c>
      <c r="AX114" s="352"/>
      <c r="AY114" s="10"/>
      <c r="AZ114" s="66">
        <f t="shared" si="79"/>
        <v>682358</v>
      </c>
      <c r="BA114" s="67"/>
      <c r="BB114" s="67">
        <v>35538000</v>
      </c>
      <c r="BC114" s="67"/>
      <c r="BD114" s="67">
        <f t="shared" si="80"/>
        <v>59875</v>
      </c>
      <c r="BE114" s="67"/>
      <c r="BF114" s="157">
        <f t="shared" si="81"/>
        <v>8.7747194288042341E-2</v>
      </c>
      <c r="BG114" s="67"/>
      <c r="BH114" s="184"/>
      <c r="BI114" s="67"/>
      <c r="BJ114" s="67"/>
      <c r="BK114" s="67"/>
      <c r="BL114" s="157"/>
      <c r="BM114" s="66">
        <f t="shared" si="82"/>
        <v>338457.14285714284</v>
      </c>
      <c r="BN114" s="67"/>
      <c r="BO114" s="67">
        <f t="shared" si="83"/>
        <v>2565447</v>
      </c>
      <c r="BP114" s="67"/>
      <c r="BQ114" s="479">
        <f t="shared" si="84"/>
        <v>7.2188840114806682E-2</v>
      </c>
      <c r="BR114" s="67"/>
      <c r="BS114" s="86"/>
      <c r="BT114" s="184"/>
      <c r="BU114" s="1"/>
      <c r="BV114">
        <f t="shared" si="53"/>
        <v>105</v>
      </c>
    </row>
    <row r="115" spans="2:74" x14ac:dyDescent="0.3">
      <c r="B115" s="172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:H126" si="86">+H114+D115</f>
        <v>2903158</v>
      </c>
      <c r="I115" s="506" t="s">
        <v>150</v>
      </c>
      <c r="J115" s="38">
        <f t="shared" si="70"/>
        <v>2.0418148324802193E-2</v>
      </c>
      <c r="K115" s="16"/>
      <c r="L115" s="16"/>
      <c r="M115" s="16"/>
      <c r="N115" s="16">
        <f t="shared" si="71"/>
        <v>27388.283018867925</v>
      </c>
      <c r="O115" s="41"/>
      <c r="P115" s="17"/>
      <c r="Q115" s="16"/>
      <c r="R115" s="60"/>
      <c r="S115" s="16"/>
      <c r="T115" s="41"/>
      <c r="U115" s="10">
        <f t="shared" si="85"/>
        <v>7</v>
      </c>
      <c r="V115" s="34">
        <v>616</v>
      </c>
      <c r="W115" s="33"/>
      <c r="X115" s="33"/>
      <c r="Y115" s="33"/>
      <c r="Z115" s="33">
        <f t="shared" si="72"/>
        <v>132045</v>
      </c>
      <c r="AA115" s="33"/>
      <c r="AB115" s="46">
        <f t="shared" si="73"/>
        <v>4.5483228952747319E-2</v>
      </c>
      <c r="AC115" s="33"/>
      <c r="AD115" s="33">
        <f t="shared" si="74"/>
        <v>1245.7075471698113</v>
      </c>
      <c r="AE115" s="50"/>
      <c r="AF115" s="33"/>
      <c r="AG115" s="232">
        <f>+AG114/AG113</f>
        <v>2.4438063675575852E-2</v>
      </c>
      <c r="AH115" s="232"/>
      <c r="AI115" s="50"/>
      <c r="AJ115" s="10"/>
      <c r="AK115" s="23">
        <f t="shared" si="75"/>
        <v>50309</v>
      </c>
      <c r="AL115" s="24"/>
      <c r="AM115" s="24"/>
      <c r="AN115" s="24">
        <v>178263</v>
      </c>
      <c r="AO115" s="24">
        <v>1235488</v>
      </c>
      <c r="AP115" s="24"/>
      <c r="AQ115" s="505">
        <f t="shared" si="76"/>
        <v>4.2448440277797699E-2</v>
      </c>
      <c r="AR115" s="25"/>
      <c r="AS115" s="25"/>
      <c r="AT115" s="24"/>
      <c r="AU115" s="342">
        <f t="shared" si="77"/>
        <v>0.42556691712955341</v>
      </c>
      <c r="AV115" s="342"/>
      <c r="AW115" s="24">
        <f t="shared" si="78"/>
        <v>11655.547169811322</v>
      </c>
      <c r="AX115" s="352"/>
      <c r="AY115" s="10"/>
      <c r="AZ115" s="66">
        <f t="shared" si="79"/>
        <v>759195</v>
      </c>
      <c r="BA115" s="67"/>
      <c r="BB115" s="67">
        <v>36297195</v>
      </c>
      <c r="BC115" s="67"/>
      <c r="BD115" s="67">
        <f t="shared" si="80"/>
        <v>58091</v>
      </c>
      <c r="BE115" s="67"/>
      <c r="BF115" s="157">
        <f t="shared" si="81"/>
        <v>7.6516573475852709E-2</v>
      </c>
      <c r="BG115" s="67"/>
      <c r="BH115" s="184"/>
      <c r="BI115" s="67"/>
      <c r="BJ115" s="67"/>
      <c r="BK115" s="67"/>
      <c r="BL115" s="157"/>
      <c r="BM115" s="66">
        <f t="shared" si="82"/>
        <v>342426.36792452831</v>
      </c>
      <c r="BN115" s="67"/>
      <c r="BO115" s="67">
        <f t="shared" si="83"/>
        <v>2623538</v>
      </c>
      <c r="BP115" s="67"/>
      <c r="BQ115" s="479">
        <f t="shared" si="84"/>
        <v>7.2279359327903983E-2</v>
      </c>
      <c r="BR115" s="67"/>
      <c r="BS115" s="86"/>
      <c r="BT115" s="184"/>
      <c r="BU115" s="1"/>
      <c r="BV115">
        <f t="shared" si="53"/>
        <v>106</v>
      </c>
    </row>
    <row r="116" spans="2:74" x14ac:dyDescent="0.3">
      <c r="B116" s="172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 t="shared" si="86"/>
        <v>2949742</v>
      </c>
      <c r="I116" s="506" t="s">
        <v>150</v>
      </c>
      <c r="J116" s="38">
        <f t="shared" si="70"/>
        <v>1.6045974762655013E-2</v>
      </c>
      <c r="K116" s="16"/>
      <c r="L116" s="16"/>
      <c r="M116" s="16"/>
      <c r="N116" s="16">
        <f t="shared" si="71"/>
        <v>27567.682242990653</v>
      </c>
      <c r="O116" s="41"/>
      <c r="P116" s="17"/>
      <c r="Q116" s="16"/>
      <c r="R116" s="60"/>
      <c r="S116" s="16"/>
      <c r="T116" s="41"/>
      <c r="U116" s="10">
        <f t="shared" si="85"/>
        <v>8</v>
      </c>
      <c r="V116" s="34">
        <v>254</v>
      </c>
      <c r="W116" s="33"/>
      <c r="X116" s="33"/>
      <c r="Y116" s="33"/>
      <c r="Z116" s="33">
        <f t="shared" si="72"/>
        <v>132299</v>
      </c>
      <c r="AA116" s="33"/>
      <c r="AB116" s="46">
        <f t="shared" si="73"/>
        <v>4.4851041209705796E-2</v>
      </c>
      <c r="AC116" s="33"/>
      <c r="AD116" s="33">
        <f t="shared" si="74"/>
        <v>1236.4392523364486</v>
      </c>
      <c r="AE116" s="50"/>
      <c r="AF116" s="33"/>
      <c r="AG116" s="33"/>
      <c r="AH116" s="232"/>
      <c r="AI116" s="50"/>
      <c r="AJ116" s="10"/>
      <c r="AK116" s="23">
        <f t="shared" si="75"/>
        <v>24917</v>
      </c>
      <c r="AL116" s="24"/>
      <c r="AM116" s="24"/>
      <c r="AN116" s="24">
        <v>178263</v>
      </c>
      <c r="AO116" s="24">
        <v>1260405</v>
      </c>
      <c r="AP116" s="24"/>
      <c r="AQ116" s="505">
        <f t="shared" si="76"/>
        <v>2.0167739387189517E-2</v>
      </c>
      <c r="AR116" s="25"/>
      <c r="AS116" s="25"/>
      <c r="AT116" s="24"/>
      <c r="AU116" s="342">
        <f t="shared" si="77"/>
        <v>0.42729330226168932</v>
      </c>
      <c r="AV116" s="342"/>
      <c r="AW116" s="24">
        <f t="shared" si="78"/>
        <v>11779.485981308411</v>
      </c>
      <c r="AX116" s="352"/>
      <c r="AY116" s="10"/>
      <c r="AZ116" s="66">
        <f t="shared" si="79"/>
        <v>656438</v>
      </c>
      <c r="BA116" s="67"/>
      <c r="BB116" s="67">
        <v>36953633</v>
      </c>
      <c r="BC116" s="67"/>
      <c r="BD116" s="67">
        <f t="shared" si="80"/>
        <v>46584</v>
      </c>
      <c r="BE116" s="67"/>
      <c r="BF116" s="157">
        <f t="shared" si="81"/>
        <v>7.0964813127820145E-2</v>
      </c>
      <c r="BG116" s="67"/>
      <c r="BH116" s="184"/>
      <c r="BI116" s="67"/>
      <c r="BJ116" s="67"/>
      <c r="BK116" s="67"/>
      <c r="BL116" s="157"/>
      <c r="BM116" s="66">
        <f t="shared" si="82"/>
        <v>345361.05607476638</v>
      </c>
      <c r="BN116" s="67"/>
      <c r="BO116" s="67">
        <f t="shared" si="83"/>
        <v>2670122</v>
      </c>
      <c r="BP116" s="67"/>
      <c r="BQ116" s="479">
        <f t="shared" si="84"/>
        <v>7.2256007954617077E-2</v>
      </c>
      <c r="BR116" s="67"/>
      <c r="BS116" s="86"/>
      <c r="BT116" s="184"/>
      <c r="BU116" s="1"/>
      <c r="BV116">
        <f t="shared" si="53"/>
        <v>107</v>
      </c>
    </row>
    <row r="117" spans="2:74" x14ac:dyDescent="0.3">
      <c r="B117" s="391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si="86"/>
        <v>2994272</v>
      </c>
      <c r="I117" s="16"/>
      <c r="J117" s="38">
        <f t="shared" si="70"/>
        <v>1.5096235535175619E-2</v>
      </c>
      <c r="K117" s="16"/>
      <c r="L117" s="16"/>
      <c r="M117" s="16"/>
      <c r="N117" s="16">
        <f t="shared" si="71"/>
        <v>27724.740740740741</v>
      </c>
      <c r="O117" s="41"/>
      <c r="P117" s="17">
        <f t="shared" ref="P117:P126" si="87">SUM(D111:D117)</f>
        <v>350953</v>
      </c>
      <c r="Q117" s="16"/>
      <c r="R117" s="60">
        <f>+(P117-P110)/P110</f>
        <v>0.26414883653915422</v>
      </c>
      <c r="S117" s="16"/>
      <c r="T117" s="41"/>
      <c r="U117" s="392">
        <f t="shared" si="85"/>
        <v>9</v>
      </c>
      <c r="V117" s="34">
        <v>251</v>
      </c>
      <c r="W117" s="33"/>
      <c r="X117" s="33"/>
      <c r="Y117" s="33"/>
      <c r="Z117" s="33">
        <f t="shared" si="72"/>
        <v>132550</v>
      </c>
      <c r="AA117" s="33"/>
      <c r="AB117" s="46">
        <f t="shared" si="73"/>
        <v>4.4267855425292026E-2</v>
      </c>
      <c r="AC117" s="33"/>
      <c r="AD117" s="33">
        <f t="shared" si="74"/>
        <v>1227.3148148148148</v>
      </c>
      <c r="AE117" s="50"/>
      <c r="AF117" s="33">
        <f>SUM(V111:V117)</f>
        <v>3460</v>
      </c>
      <c r="AG117" s="33"/>
      <c r="AH117" s="232">
        <f>+(AF117-AF110)/AF110</f>
        <v>-0.16946711473835813</v>
      </c>
      <c r="AI117" s="50"/>
      <c r="AJ117" s="392"/>
      <c r="AK117" s="23">
        <f t="shared" si="75"/>
        <v>25154</v>
      </c>
      <c r="AL117" s="24"/>
      <c r="AM117" s="24"/>
      <c r="AN117" s="24">
        <v>178263</v>
      </c>
      <c r="AO117" s="24">
        <v>1285559</v>
      </c>
      <c r="AP117" s="24"/>
      <c r="AQ117" s="505">
        <f t="shared" si="76"/>
        <v>1.9957077288649282E-2</v>
      </c>
      <c r="AR117" s="25"/>
      <c r="AS117" s="25"/>
      <c r="AT117" s="24"/>
      <c r="AU117" s="342">
        <f t="shared" si="77"/>
        <v>0.42933941873016213</v>
      </c>
      <c r="AV117" s="342"/>
      <c r="AW117" s="24">
        <f t="shared" si="78"/>
        <v>11903.324074074075</v>
      </c>
      <c r="AX117" s="352"/>
      <c r="AY117" s="392"/>
      <c r="AZ117" s="66">
        <f t="shared" si="79"/>
        <v>633176</v>
      </c>
      <c r="BA117" s="67"/>
      <c r="BB117" s="67">
        <v>37586809</v>
      </c>
      <c r="BC117" s="67"/>
      <c r="BD117" s="67">
        <f t="shared" si="80"/>
        <v>44530</v>
      </c>
      <c r="BE117" s="67"/>
      <c r="BF117" s="157">
        <f t="shared" si="81"/>
        <v>7.0327997270900985E-2</v>
      </c>
      <c r="BG117" s="67"/>
      <c r="BH117" s="184"/>
      <c r="BI117" s="67"/>
      <c r="BJ117" s="67">
        <f t="shared" ref="BJ117:BJ124" si="88">SUM(AZ111:AZ117)</f>
        <v>4994441</v>
      </c>
      <c r="BK117" s="67"/>
      <c r="BL117" s="157">
        <f t="shared" ref="BL117:BL124" si="89">+P117/BJ117</f>
        <v>7.0268724768197288E-2</v>
      </c>
      <c r="BM117" s="66">
        <f t="shared" si="82"/>
        <v>348026.00925925927</v>
      </c>
      <c r="BN117" s="67"/>
      <c r="BO117" s="67">
        <f t="shared" si="83"/>
        <v>2714652</v>
      </c>
      <c r="BP117" s="67"/>
      <c r="BQ117" s="479">
        <f t="shared" si="84"/>
        <v>7.2223529270601286E-2</v>
      </c>
      <c r="BR117" s="67"/>
      <c r="BS117" s="86"/>
      <c r="BT117" s="184"/>
      <c r="BU117" s="1"/>
      <c r="BV117" s="473">
        <f t="shared" si="53"/>
        <v>108</v>
      </c>
    </row>
    <row r="118" spans="2:74" x14ac:dyDescent="0.3">
      <c r="B118" s="172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si="86"/>
        <v>3047884</v>
      </c>
      <c r="I118" s="16"/>
      <c r="J118" s="38">
        <f t="shared" si="70"/>
        <v>1.7904852999326714E-2</v>
      </c>
      <c r="K118" s="16"/>
      <c r="L118" s="16"/>
      <c r="M118" s="16"/>
      <c r="N118" s="16">
        <f t="shared" si="71"/>
        <v>27962.238532110092</v>
      </c>
      <c r="O118" s="41"/>
      <c r="P118" s="17">
        <f t="shared" si="87"/>
        <v>359831</v>
      </c>
      <c r="Q118" s="16"/>
      <c r="R118" s="60"/>
      <c r="S118" s="16"/>
      <c r="T118" s="41"/>
      <c r="U118" s="10">
        <f t="shared" si="85"/>
        <v>10</v>
      </c>
      <c r="V118" s="34">
        <v>378</v>
      </c>
      <c r="W118" s="33"/>
      <c r="X118" s="33"/>
      <c r="Y118" s="33"/>
      <c r="Z118" s="33">
        <f t="shared" si="72"/>
        <v>132928</v>
      </c>
      <c r="AA118" s="33"/>
      <c r="AB118" s="46">
        <f t="shared" si="73"/>
        <v>4.3613208376696751E-2</v>
      </c>
      <c r="AC118" s="33"/>
      <c r="AD118" s="33">
        <f t="shared" si="74"/>
        <v>1219.5229357798164</v>
      </c>
      <c r="AE118" s="50"/>
      <c r="AF118" s="33"/>
      <c r="AG118" s="33"/>
      <c r="AH118" s="232"/>
      <c r="AI118" s="50"/>
      <c r="AJ118" s="10"/>
      <c r="AK118" s="23">
        <f t="shared" si="75"/>
        <v>39388</v>
      </c>
      <c r="AL118" s="24"/>
      <c r="AM118" s="24"/>
      <c r="AN118" s="24">
        <v>178263</v>
      </c>
      <c r="AO118" s="24">
        <v>1324947</v>
      </c>
      <c r="AP118" s="24"/>
      <c r="AQ118" s="505">
        <f t="shared" si="76"/>
        <v>3.0638811598689752E-2</v>
      </c>
      <c r="AR118" s="25"/>
      <c r="AS118" s="25"/>
      <c r="AT118" s="24"/>
      <c r="AU118" s="342">
        <f t="shared" si="77"/>
        <v>0.43471044173597156</v>
      </c>
      <c r="AV118" s="342"/>
      <c r="AW118" s="24">
        <f t="shared" si="78"/>
        <v>12155.477064220184</v>
      </c>
      <c r="AX118" s="352"/>
      <c r="AY118" s="10"/>
      <c r="AZ118" s="66">
        <f t="shared" si="79"/>
        <v>630831</v>
      </c>
      <c r="BA118" s="67"/>
      <c r="BB118" s="67">
        <v>38217640</v>
      </c>
      <c r="BC118" s="67"/>
      <c r="BD118" s="67">
        <f t="shared" si="80"/>
        <v>53612</v>
      </c>
      <c r="BE118" s="67"/>
      <c r="BF118" s="157">
        <f t="shared" si="81"/>
        <v>8.4986311706304857E-2</v>
      </c>
      <c r="BG118" s="67"/>
      <c r="BH118" s="184"/>
      <c r="BI118" s="67"/>
      <c r="BJ118" s="67"/>
      <c r="BK118" s="67"/>
      <c r="BL118" s="157"/>
      <c r="BM118" s="66">
        <f t="shared" si="82"/>
        <v>350620.55045871559</v>
      </c>
      <c r="BN118" s="67"/>
      <c r="BO118" s="67">
        <f t="shared" si="83"/>
        <v>2768264</v>
      </c>
      <c r="BP118" s="67"/>
      <c r="BQ118" s="479">
        <f t="shared" si="84"/>
        <v>7.2434195308763175E-2</v>
      </c>
      <c r="BR118" s="67"/>
      <c r="BS118" s="86"/>
      <c r="BT118" s="184"/>
      <c r="BU118" s="1"/>
      <c r="BV118">
        <f t="shared" si="53"/>
        <v>109</v>
      </c>
    </row>
    <row r="119" spans="2:74" x14ac:dyDescent="0.3">
      <c r="B119" s="172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si="86"/>
        <v>3103326</v>
      </c>
      <c r="I119" s="16"/>
      <c r="J119" s="38">
        <f t="shared" si="70"/>
        <v>1.819032482863521E-2</v>
      </c>
      <c r="K119" s="16"/>
      <c r="L119" s="16"/>
      <c r="M119" s="16"/>
      <c r="N119" s="16">
        <f t="shared" si="71"/>
        <v>28212.054545454546</v>
      </c>
      <c r="O119" s="41"/>
      <c r="P119" s="17">
        <f t="shared" si="87"/>
        <v>369231</v>
      </c>
      <c r="Q119" s="16"/>
      <c r="R119" s="60"/>
      <c r="S119" s="16"/>
      <c r="T119" s="41"/>
      <c r="U119" s="10">
        <f t="shared" si="85"/>
        <v>11</v>
      </c>
      <c r="V119" s="34">
        <v>993</v>
      </c>
      <c r="W119" s="33"/>
      <c r="X119" s="33"/>
      <c r="Y119" s="33"/>
      <c r="Z119" s="33">
        <f t="shared" si="72"/>
        <v>133921</v>
      </c>
      <c r="AA119" s="33"/>
      <c r="AB119" s="46">
        <f t="shared" si="73"/>
        <v>4.3154022490708356E-2</v>
      </c>
      <c r="AC119" s="33"/>
      <c r="AD119" s="33">
        <f t="shared" si="74"/>
        <v>1217.4636363636364</v>
      </c>
      <c r="AE119" s="50"/>
      <c r="AF119" s="33"/>
      <c r="AG119" s="33"/>
      <c r="AH119" s="232"/>
      <c r="AI119" s="50"/>
      <c r="AJ119" s="10"/>
      <c r="AK119" s="23">
        <f t="shared" si="75"/>
        <v>29916</v>
      </c>
      <c r="AL119" s="24"/>
      <c r="AM119" s="24"/>
      <c r="AN119" s="24">
        <v>178263</v>
      </c>
      <c r="AO119" s="24">
        <v>1354863</v>
      </c>
      <c r="AP119" s="24"/>
      <c r="AQ119" s="505">
        <f t="shared" si="76"/>
        <v>2.2579016368201896E-2</v>
      </c>
      <c r="AR119" s="25"/>
      <c r="AS119" s="25"/>
      <c r="AT119" s="24"/>
      <c r="AU119" s="342">
        <f t="shared" si="77"/>
        <v>0.43658416808288913</v>
      </c>
      <c r="AV119" s="342"/>
      <c r="AW119" s="24">
        <f t="shared" si="78"/>
        <v>12316.936363636363</v>
      </c>
      <c r="AX119" s="352"/>
      <c r="AY119" s="10"/>
      <c r="AZ119" s="66">
        <f t="shared" si="79"/>
        <v>583951</v>
      </c>
      <c r="BA119" s="67"/>
      <c r="BB119" s="67">
        <v>38801591</v>
      </c>
      <c r="BC119" s="67"/>
      <c r="BD119" s="67">
        <f t="shared" si="80"/>
        <v>55442</v>
      </c>
      <c r="BE119" s="67"/>
      <c r="BF119" s="157">
        <f t="shared" si="81"/>
        <v>9.4942897606134766E-2</v>
      </c>
      <c r="BG119" s="67"/>
      <c r="BH119" s="184"/>
      <c r="BI119" s="67"/>
      <c r="BJ119" s="67"/>
      <c r="BK119" s="67"/>
      <c r="BL119" s="157"/>
      <c r="BM119" s="66">
        <f t="shared" si="82"/>
        <v>352741.73636363639</v>
      </c>
      <c r="BN119" s="67"/>
      <c r="BO119" s="67">
        <f t="shared" si="83"/>
        <v>2823706</v>
      </c>
      <c r="BP119" s="67"/>
      <c r="BQ119" s="479">
        <f t="shared" si="84"/>
        <v>7.2772943769238735E-2</v>
      </c>
      <c r="BR119" s="67"/>
      <c r="BS119" s="86"/>
      <c r="BT119" s="184"/>
      <c r="BU119" s="1"/>
      <c r="BV119">
        <f t="shared" si="53"/>
        <v>110</v>
      </c>
    </row>
    <row r="120" spans="2:74" x14ac:dyDescent="0.3">
      <c r="B120" s="172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si="86"/>
        <v>3165174</v>
      </c>
      <c r="I120" s="16"/>
      <c r="J120" s="38">
        <f t="shared" si="70"/>
        <v>1.9929585225657891E-2</v>
      </c>
      <c r="K120" s="16"/>
      <c r="L120" s="16"/>
      <c r="M120" s="16"/>
      <c r="N120" s="16">
        <f t="shared" si="71"/>
        <v>28515.08108108108</v>
      </c>
      <c r="O120" s="41"/>
      <c r="P120" s="17">
        <f t="shared" si="87"/>
        <v>379982</v>
      </c>
      <c r="Q120" s="16"/>
      <c r="R120" s="60"/>
      <c r="S120" s="16"/>
      <c r="T120" s="41"/>
      <c r="U120" s="10">
        <f t="shared" si="85"/>
        <v>12</v>
      </c>
      <c r="V120" s="34">
        <v>890</v>
      </c>
      <c r="W120" s="33"/>
      <c r="X120" s="33"/>
      <c r="Y120" s="33"/>
      <c r="Z120" s="33">
        <f t="shared" si="72"/>
        <v>134811</v>
      </c>
      <c r="AA120" s="33"/>
      <c r="AB120" s="46">
        <f t="shared" si="73"/>
        <v>4.2591971247078357E-2</v>
      </c>
      <c r="AC120" s="33"/>
      <c r="AD120" s="33">
        <f t="shared" si="74"/>
        <v>1214.5135135135135</v>
      </c>
      <c r="AE120" s="50"/>
      <c r="AF120" s="33"/>
      <c r="AG120" s="33"/>
      <c r="AH120" s="232"/>
      <c r="AI120" s="50"/>
      <c r="AJ120" s="10"/>
      <c r="AK120" s="23">
        <f t="shared" si="75"/>
        <v>37816</v>
      </c>
      <c r="AL120" s="24"/>
      <c r="AM120" s="24"/>
      <c r="AN120" s="24">
        <v>178263</v>
      </c>
      <c r="AO120" s="24">
        <v>1392679</v>
      </c>
      <c r="AP120" s="24"/>
      <c r="AQ120" s="505">
        <f t="shared" si="76"/>
        <v>2.7911309113910411E-2</v>
      </c>
      <c r="AR120" s="25"/>
      <c r="AS120" s="25"/>
      <c r="AT120" s="24"/>
      <c r="AU120" s="342">
        <f t="shared" si="77"/>
        <v>0.44000077088968886</v>
      </c>
      <c r="AV120" s="342"/>
      <c r="AW120" s="24">
        <f t="shared" si="78"/>
        <v>12546.657657657657</v>
      </c>
      <c r="AX120" s="352"/>
      <c r="AY120" s="10"/>
      <c r="AZ120" s="66">
        <f t="shared" si="79"/>
        <v>677846</v>
      </c>
      <c r="BA120" s="67"/>
      <c r="BB120" s="67">
        <v>39479437</v>
      </c>
      <c r="BC120" s="67"/>
      <c r="BD120" s="67">
        <f t="shared" si="80"/>
        <v>61848</v>
      </c>
      <c r="BE120" s="67"/>
      <c r="BF120" s="157">
        <f t="shared" si="81"/>
        <v>9.1241963513836483E-2</v>
      </c>
      <c r="BG120" s="67"/>
      <c r="BH120" s="184"/>
      <c r="BI120" s="67"/>
      <c r="BJ120" s="67"/>
      <c r="BK120" s="67"/>
      <c r="BL120" s="157"/>
      <c r="BM120" s="66">
        <f t="shared" si="82"/>
        <v>355670.60360360361</v>
      </c>
      <c r="BN120" s="67"/>
      <c r="BO120" s="67">
        <f t="shared" si="83"/>
        <v>2885554</v>
      </c>
      <c r="BP120" s="67"/>
      <c r="BQ120" s="479">
        <f t="shared" si="84"/>
        <v>7.3090049384442843E-2</v>
      </c>
      <c r="BR120" s="67"/>
      <c r="BS120" s="86"/>
      <c r="BT120" s="184"/>
      <c r="BU120" s="1"/>
      <c r="BV120">
        <f t="shared" si="53"/>
        <v>111</v>
      </c>
    </row>
    <row r="121" spans="2:74" x14ac:dyDescent="0.3">
      <c r="B121" s="172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si="86"/>
        <v>3226241</v>
      </c>
      <c r="I121" s="16"/>
      <c r="J121" s="38">
        <f t="shared" si="70"/>
        <v>1.9293410093726284E-2</v>
      </c>
      <c r="K121" s="16"/>
      <c r="L121" s="16"/>
      <c r="M121" s="16"/>
      <c r="N121" s="16">
        <f t="shared" si="71"/>
        <v>28805.723214285714</v>
      </c>
      <c r="O121" s="41"/>
      <c r="P121" s="17">
        <f t="shared" si="87"/>
        <v>381174</v>
      </c>
      <c r="Q121" s="16"/>
      <c r="R121" s="60"/>
      <c r="S121" s="16"/>
      <c r="T121" s="41"/>
      <c r="U121" s="10">
        <f t="shared" si="85"/>
        <v>13</v>
      </c>
      <c r="V121" s="34">
        <v>960</v>
      </c>
      <c r="W121" s="33"/>
      <c r="X121" s="33"/>
      <c r="Y121" s="33"/>
      <c r="Z121" s="33">
        <f t="shared" si="72"/>
        <v>135771</v>
      </c>
      <c r="AA121" s="33"/>
      <c r="AB121" s="46">
        <f t="shared" si="73"/>
        <v>4.2083340953140203E-2</v>
      </c>
      <c r="AC121" s="33"/>
      <c r="AD121" s="33">
        <f t="shared" si="74"/>
        <v>1212.2410714285713</v>
      </c>
      <c r="AE121" s="50"/>
      <c r="AF121" s="33"/>
      <c r="AG121" s="33"/>
      <c r="AH121" s="232"/>
      <c r="AI121" s="50"/>
      <c r="AJ121" s="10"/>
      <c r="AK121" s="23">
        <f t="shared" si="75"/>
        <v>33749</v>
      </c>
      <c r="AL121" s="24"/>
      <c r="AM121" s="24"/>
      <c r="AN121" s="24">
        <v>178263</v>
      </c>
      <c r="AO121" s="24">
        <v>1426428</v>
      </c>
      <c r="AP121" s="24"/>
      <c r="AQ121" s="505">
        <f t="shared" si="76"/>
        <v>2.423315063988184E-2</v>
      </c>
      <c r="AR121" s="25"/>
      <c r="AS121" s="25"/>
      <c r="AT121" s="24"/>
      <c r="AU121" s="342">
        <f t="shared" si="77"/>
        <v>0.4421331202473715</v>
      </c>
      <c r="AV121" s="342"/>
      <c r="AW121" s="24">
        <f t="shared" si="78"/>
        <v>12735.964285714286</v>
      </c>
      <c r="AX121" s="352"/>
      <c r="AY121" s="10"/>
      <c r="AZ121" s="66">
        <f t="shared" si="79"/>
        <v>681700</v>
      </c>
      <c r="BA121" s="67"/>
      <c r="BB121" s="67">
        <v>40161137</v>
      </c>
      <c r="BC121" s="67"/>
      <c r="BD121" s="67">
        <f t="shared" si="80"/>
        <v>61067</v>
      </c>
      <c r="BE121" s="67"/>
      <c r="BF121" s="157">
        <f t="shared" si="81"/>
        <v>8.9580460613172944E-2</v>
      </c>
      <c r="BG121" s="67"/>
      <c r="BH121" s="184"/>
      <c r="BI121" s="67"/>
      <c r="BJ121" s="67"/>
      <c r="BK121" s="67"/>
      <c r="BL121" s="157"/>
      <c r="BM121" s="66">
        <f t="shared" si="82"/>
        <v>358581.58035714284</v>
      </c>
      <c r="BN121" s="67"/>
      <c r="BO121" s="67">
        <f t="shared" si="83"/>
        <v>2946621</v>
      </c>
      <c r="BP121" s="67"/>
      <c r="BQ121" s="479">
        <f t="shared" si="84"/>
        <v>7.336995962041612E-2</v>
      </c>
      <c r="BR121" s="67"/>
      <c r="BS121" s="86"/>
      <c r="BT121" s="184"/>
      <c r="BU121" s="1"/>
      <c r="BV121">
        <f t="shared" si="53"/>
        <v>112</v>
      </c>
    </row>
    <row r="122" spans="2:74" x14ac:dyDescent="0.3">
      <c r="B122" s="172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si="86"/>
        <v>3298028</v>
      </c>
      <c r="I122" s="16"/>
      <c r="J122" s="38">
        <f t="shared" si="70"/>
        <v>2.2250972571484895E-2</v>
      </c>
      <c r="K122" s="16"/>
      <c r="L122" s="16"/>
      <c r="M122" s="16"/>
      <c r="N122" s="16">
        <f t="shared" si="71"/>
        <v>29186.088495575223</v>
      </c>
      <c r="O122" s="41"/>
      <c r="P122" s="17">
        <f t="shared" si="87"/>
        <v>394870</v>
      </c>
      <c r="Q122" s="16"/>
      <c r="R122" s="60"/>
      <c r="S122" s="16"/>
      <c r="T122" s="41"/>
      <c r="U122" s="10">
        <f t="shared" si="85"/>
        <v>14</v>
      </c>
      <c r="V122" s="34">
        <v>849</v>
      </c>
      <c r="W122" s="33"/>
      <c r="X122" s="33"/>
      <c r="Y122" s="33"/>
      <c r="Z122" s="33">
        <f t="shared" si="72"/>
        <v>136620</v>
      </c>
      <c r="AA122" s="33"/>
      <c r="AB122" s="46">
        <f t="shared" si="73"/>
        <v>4.1424754429010308E-2</v>
      </c>
      <c r="AC122" s="33"/>
      <c r="AD122" s="33">
        <f t="shared" si="74"/>
        <v>1209.0265486725664</v>
      </c>
      <c r="AE122" s="50"/>
      <c r="AF122" s="33"/>
      <c r="AG122" s="33"/>
      <c r="AH122" s="232"/>
      <c r="AI122" s="50"/>
      <c r="AJ122" s="10"/>
      <c r="AK122" s="23">
        <f t="shared" si="75"/>
        <v>34067</v>
      </c>
      <c r="AL122" s="24"/>
      <c r="AM122" s="24"/>
      <c r="AN122" s="24">
        <v>178263</v>
      </c>
      <c r="AO122" s="24">
        <v>1460495</v>
      </c>
      <c r="AP122" s="24"/>
      <c r="AQ122" s="505">
        <f t="shared" si="76"/>
        <v>2.3882733653573823E-2</v>
      </c>
      <c r="AR122" s="25"/>
      <c r="AS122" s="25"/>
      <c r="AT122" s="24"/>
      <c r="AU122" s="342">
        <f t="shared" si="77"/>
        <v>0.4428388721987806</v>
      </c>
      <c r="AV122" s="342"/>
      <c r="AW122" s="24">
        <f t="shared" si="78"/>
        <v>12924.734513274336</v>
      </c>
      <c r="AX122" s="352"/>
      <c r="AY122" s="10"/>
      <c r="AZ122" s="66">
        <f t="shared" si="79"/>
        <v>849076</v>
      </c>
      <c r="BA122" s="67"/>
      <c r="BB122" s="67">
        <v>41010213</v>
      </c>
      <c r="BC122" s="67"/>
      <c r="BD122" s="67">
        <f t="shared" si="80"/>
        <v>71787</v>
      </c>
      <c r="BE122" s="67"/>
      <c r="BF122" s="157">
        <f t="shared" si="81"/>
        <v>8.4547201899476607E-2</v>
      </c>
      <c r="BG122" s="67"/>
      <c r="BH122" s="184"/>
      <c r="BI122" s="67"/>
      <c r="BJ122" s="67"/>
      <c r="BK122" s="67"/>
      <c r="BL122" s="157"/>
      <c r="BM122" s="66">
        <f t="shared" si="82"/>
        <v>362922.23893805308</v>
      </c>
      <c r="BN122" s="67"/>
      <c r="BO122" s="67">
        <f t="shared" si="83"/>
        <v>3018408</v>
      </c>
      <c r="BP122" s="67"/>
      <c r="BQ122" s="479">
        <f t="shared" si="84"/>
        <v>7.3601373394476158E-2</v>
      </c>
      <c r="BR122" s="67"/>
      <c r="BS122" s="86"/>
      <c r="BT122" s="184"/>
      <c r="BU122" s="1"/>
      <c r="BV122">
        <f t="shared" si="53"/>
        <v>113</v>
      </c>
    </row>
    <row r="123" spans="2:74" x14ac:dyDescent="0.3">
      <c r="B123" s="172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si="86"/>
        <v>3359747</v>
      </c>
      <c r="I123" s="16"/>
      <c r="J123" s="38">
        <f t="shared" si="70"/>
        <v>1.8713910251823212E-2</v>
      </c>
      <c r="K123" s="16"/>
      <c r="L123" s="16"/>
      <c r="M123" s="16"/>
      <c r="N123" s="16">
        <f t="shared" si="71"/>
        <v>29471.464912280702</v>
      </c>
      <c r="O123" s="41"/>
      <c r="P123" s="17">
        <f t="shared" si="87"/>
        <v>410005</v>
      </c>
      <c r="Q123" s="16"/>
      <c r="R123" s="60"/>
      <c r="S123" s="16"/>
      <c r="T123" s="41"/>
      <c r="U123" s="10">
        <f t="shared" si="85"/>
        <v>15</v>
      </c>
      <c r="V123" s="34">
        <v>731</v>
      </c>
      <c r="W123" s="33"/>
      <c r="X123" s="33"/>
      <c r="Y123" s="33"/>
      <c r="Z123" s="33">
        <f t="shared" si="72"/>
        <v>137351</v>
      </c>
      <c r="AA123" s="33"/>
      <c r="AB123" s="46">
        <f t="shared" si="73"/>
        <v>4.0881352077998728E-2</v>
      </c>
      <c r="AC123" s="33"/>
      <c r="AD123" s="33">
        <f t="shared" si="74"/>
        <v>1204.8333333333333</v>
      </c>
      <c r="AE123" s="50"/>
      <c r="AF123" s="33"/>
      <c r="AG123" s="33"/>
      <c r="AH123" s="232"/>
      <c r="AI123" s="50"/>
      <c r="AJ123" s="10"/>
      <c r="AK123" s="23">
        <f t="shared" si="75"/>
        <v>29951</v>
      </c>
      <c r="AL123" s="24"/>
      <c r="AM123" s="24"/>
      <c r="AN123" s="24">
        <v>178263</v>
      </c>
      <c r="AO123" s="24">
        <v>1490446</v>
      </c>
      <c r="AP123" s="24"/>
      <c r="AQ123" s="505">
        <f t="shared" si="76"/>
        <v>2.0507430699865457E-2</v>
      </c>
      <c r="AR123" s="25"/>
      <c r="AS123" s="25"/>
      <c r="AT123" s="24"/>
      <c r="AU123" s="342">
        <f t="shared" si="77"/>
        <v>0.44361852246612615</v>
      </c>
      <c r="AV123" s="342"/>
      <c r="AW123" s="24">
        <f t="shared" si="78"/>
        <v>13074.087719298246</v>
      </c>
      <c r="AX123" s="352"/>
      <c r="AY123" s="10"/>
      <c r="AZ123" s="66">
        <f t="shared" si="79"/>
        <v>760123</v>
      </c>
      <c r="BA123" s="67"/>
      <c r="BB123" s="67">
        <v>41770336</v>
      </c>
      <c r="BC123" s="67"/>
      <c r="BD123" s="67">
        <f t="shared" si="80"/>
        <v>61719</v>
      </c>
      <c r="BE123" s="67"/>
      <c r="BF123" s="157">
        <f t="shared" si="81"/>
        <v>8.1196069583475305E-2</v>
      </c>
      <c r="BG123" s="67"/>
      <c r="BH123" s="184"/>
      <c r="BI123" s="67"/>
      <c r="BJ123" s="67"/>
      <c r="BK123" s="67"/>
      <c r="BL123" s="157"/>
      <c r="BM123" s="66">
        <f t="shared" si="82"/>
        <v>366406.4561403509</v>
      </c>
      <c r="BN123" s="67"/>
      <c r="BO123" s="67">
        <f t="shared" si="83"/>
        <v>3080127</v>
      </c>
      <c r="BP123" s="67"/>
      <c r="BQ123" s="479">
        <f t="shared" si="84"/>
        <v>7.3739579207598424E-2</v>
      </c>
      <c r="BR123" s="67"/>
      <c r="BS123" s="86"/>
      <c r="BT123" s="184"/>
      <c r="BU123" s="1"/>
      <c r="BV123">
        <f t="shared" si="53"/>
        <v>114</v>
      </c>
    </row>
    <row r="124" spans="2:74" x14ac:dyDescent="0.3">
      <c r="B124" s="391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si="86"/>
        <v>3418096</v>
      </c>
      <c r="I124" s="16"/>
      <c r="J124" s="38">
        <f t="shared" si="70"/>
        <v>1.7367081509411273E-2</v>
      </c>
      <c r="K124" s="16"/>
      <c r="L124" s="16"/>
      <c r="M124" s="16"/>
      <c r="N124" s="16">
        <f t="shared" si="71"/>
        <v>29722.573913043478</v>
      </c>
      <c r="O124" s="41"/>
      <c r="P124" s="17">
        <f t="shared" si="87"/>
        <v>423824</v>
      </c>
      <c r="Q124" s="16"/>
      <c r="R124" s="60">
        <f t="shared" ref="R124:R129" si="90">+(P124-P117)/P117</f>
        <v>0.20763748992030273</v>
      </c>
      <c r="S124" s="16"/>
      <c r="T124" s="41"/>
      <c r="U124" s="10">
        <f t="shared" si="85"/>
        <v>16</v>
      </c>
      <c r="V124" s="34">
        <v>380</v>
      </c>
      <c r="W124" s="33"/>
      <c r="X124" s="33"/>
      <c r="Y124" s="33"/>
      <c r="Z124" s="33">
        <f t="shared" si="72"/>
        <v>137731</v>
      </c>
      <c r="AA124" s="33"/>
      <c r="AB124" s="46">
        <f t="shared" si="73"/>
        <v>4.029465527006848E-2</v>
      </c>
      <c r="AC124" s="33"/>
      <c r="AD124" s="33">
        <f t="shared" si="74"/>
        <v>1197.6608695652174</v>
      </c>
      <c r="AE124" s="50"/>
      <c r="AF124" s="33">
        <f t="shared" ref="AF124" si="91">SUM(V118:V124)</f>
        <v>5181</v>
      </c>
      <c r="AG124" s="33">
        <f>SUM(D95:D125)</f>
        <v>1356158</v>
      </c>
      <c r="AH124" s="232">
        <f t="shared" ref="AH124" si="92">+(AF124-AF117)/AF117</f>
        <v>0.49739884393063583</v>
      </c>
      <c r="AI124" s="50"/>
      <c r="AJ124" s="392"/>
      <c r="AK124" s="23">
        <f t="shared" si="75"/>
        <v>26638</v>
      </c>
      <c r="AL124" s="24"/>
      <c r="AM124" s="24"/>
      <c r="AN124" s="24">
        <v>178263</v>
      </c>
      <c r="AO124" s="24">
        <v>1517084</v>
      </c>
      <c r="AP124" s="24"/>
      <c r="AQ124" s="505">
        <f t="shared" si="76"/>
        <v>1.7872502593183518E-2</v>
      </c>
      <c r="AR124" s="25"/>
      <c r="AS124" s="25"/>
      <c r="AT124" s="24"/>
      <c r="AU124" s="342">
        <f t="shared" si="77"/>
        <v>0.44383890914708074</v>
      </c>
      <c r="AV124" s="342"/>
      <c r="AW124" s="24">
        <f t="shared" si="78"/>
        <v>13192.034782608696</v>
      </c>
      <c r="AX124" s="352"/>
      <c r="AY124" s="392"/>
      <c r="AZ124" s="66">
        <f t="shared" si="79"/>
        <v>699271</v>
      </c>
      <c r="BA124" s="67"/>
      <c r="BB124" s="67">
        <v>42469607</v>
      </c>
      <c r="BC124" s="67"/>
      <c r="BD124" s="67">
        <f t="shared" si="80"/>
        <v>58349</v>
      </c>
      <c r="BE124" s="67"/>
      <c r="BF124" s="157">
        <f t="shared" si="81"/>
        <v>8.3442613807808416E-2</v>
      </c>
      <c r="BG124" s="67"/>
      <c r="BH124" s="184"/>
      <c r="BI124" s="67"/>
      <c r="BJ124" s="67">
        <f t="shared" si="88"/>
        <v>4882798</v>
      </c>
      <c r="BK124" s="67"/>
      <c r="BL124" s="157">
        <f t="shared" si="89"/>
        <v>8.679941295953672E-2</v>
      </c>
      <c r="BM124" s="66">
        <f t="shared" si="82"/>
        <v>369300.93043478258</v>
      </c>
      <c r="BN124" s="67"/>
      <c r="BO124" s="67">
        <f t="shared" si="83"/>
        <v>3138476</v>
      </c>
      <c r="BP124" s="67"/>
      <c r="BQ124" s="479">
        <f t="shared" si="84"/>
        <v>7.3899341710414221E-2</v>
      </c>
      <c r="BR124" s="67"/>
      <c r="BS124" s="86"/>
      <c r="BT124" s="184"/>
      <c r="BU124" s="1"/>
      <c r="BV124" s="473">
        <f t="shared" si="53"/>
        <v>115</v>
      </c>
    </row>
    <row r="125" spans="2:74" x14ac:dyDescent="0.3">
      <c r="B125" s="172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si="86"/>
        <v>3483584</v>
      </c>
      <c r="I125" s="16"/>
      <c r="J125" s="38">
        <f t="shared" si="70"/>
        <v>1.915920442257912E-2</v>
      </c>
      <c r="K125" s="16"/>
      <c r="L125" s="16"/>
      <c r="M125" s="16"/>
      <c r="N125" s="16">
        <f t="shared" si="71"/>
        <v>30030.896551724138</v>
      </c>
      <c r="O125" s="41"/>
      <c r="P125" s="17">
        <f t="shared" si="87"/>
        <v>435700</v>
      </c>
      <c r="Q125" s="16"/>
      <c r="R125" s="60">
        <f t="shared" si="90"/>
        <v>0.21084620280075925</v>
      </c>
      <c r="S125" s="16"/>
      <c r="T125" s="41"/>
      <c r="U125" s="537">
        <f t="shared" si="85"/>
        <v>17</v>
      </c>
      <c r="V125" s="34">
        <v>465</v>
      </c>
      <c r="W125" s="33"/>
      <c r="X125" s="33"/>
      <c r="Y125" s="33"/>
      <c r="Z125" s="33">
        <f t="shared" si="72"/>
        <v>138196</v>
      </c>
      <c r="AA125" s="33"/>
      <c r="AB125" s="46">
        <f t="shared" si="73"/>
        <v>3.9670638055519833E-2</v>
      </c>
      <c r="AC125" s="33"/>
      <c r="AD125" s="33">
        <f t="shared" si="74"/>
        <v>1191.344827586207</v>
      </c>
      <c r="AE125" s="50"/>
      <c r="AF125" s="33"/>
      <c r="AG125" s="33"/>
      <c r="AH125" s="232"/>
      <c r="AI125" s="50"/>
      <c r="AJ125" s="10"/>
      <c r="AK125" s="23">
        <f t="shared" si="75"/>
        <v>32385</v>
      </c>
      <c r="AL125" s="24"/>
      <c r="AM125" s="24"/>
      <c r="AN125" s="24">
        <v>178263</v>
      </c>
      <c r="AO125" s="24">
        <v>1549469</v>
      </c>
      <c r="AP125" s="24"/>
      <c r="AQ125" s="505">
        <f t="shared" si="76"/>
        <v>2.1346873343862306E-2</v>
      </c>
      <c r="AR125" s="25"/>
      <c r="AS125" s="25"/>
      <c r="AT125" s="24"/>
      <c r="AU125" s="342">
        <f t="shared" si="77"/>
        <v>0.444791628391909</v>
      </c>
      <c r="AV125" s="342"/>
      <c r="AW125" s="24">
        <f t="shared" si="78"/>
        <v>13357.491379310344</v>
      </c>
      <c r="AX125" s="352"/>
      <c r="AY125" s="10"/>
      <c r="AZ125" s="66">
        <f t="shared" si="79"/>
        <v>783226</v>
      </c>
      <c r="BA125" s="67"/>
      <c r="BB125" s="67">
        <v>43252833</v>
      </c>
      <c r="BC125" s="67"/>
      <c r="BD125" s="67">
        <f t="shared" si="80"/>
        <v>65488</v>
      </c>
      <c r="BE125" s="67"/>
      <c r="BF125" s="157">
        <f t="shared" si="81"/>
        <v>8.3613158909433549E-2</v>
      </c>
      <c r="BG125" s="67"/>
      <c r="BH125" s="184"/>
      <c r="BI125" s="67"/>
      <c r="BJ125" s="67"/>
      <c r="BK125" s="67"/>
      <c r="BL125" s="157"/>
      <c r="BM125" s="66">
        <f t="shared" si="82"/>
        <v>372869.25</v>
      </c>
      <c r="BN125" s="67"/>
      <c r="BO125" s="67">
        <f t="shared" si="83"/>
        <v>3203964</v>
      </c>
      <c r="BP125" s="67"/>
      <c r="BQ125" s="479">
        <f t="shared" si="84"/>
        <v>7.4075240343216359E-2</v>
      </c>
      <c r="BR125" s="67"/>
      <c r="BS125" s="86"/>
      <c r="BT125" s="184"/>
      <c r="BU125" s="1"/>
      <c r="BV125">
        <f t="shared" si="53"/>
        <v>116</v>
      </c>
    </row>
    <row r="126" spans="2:74" x14ac:dyDescent="0.3">
      <c r="B126" s="172">
        <f t="shared" si="52"/>
        <v>44026</v>
      </c>
      <c r="C126" s="61"/>
      <c r="D126" s="17">
        <v>66048</v>
      </c>
      <c r="E126" s="16"/>
      <c r="F126" s="16"/>
      <c r="G126" s="16"/>
      <c r="H126" s="16">
        <f t="shared" si="86"/>
        <v>3549632</v>
      </c>
      <c r="I126" s="16"/>
      <c r="J126" s="38">
        <f t="shared" si="70"/>
        <v>1.8959783946648049E-2</v>
      </c>
      <c r="K126" s="16"/>
      <c r="L126" s="16"/>
      <c r="M126" s="16"/>
      <c r="N126" s="16">
        <f t="shared" si="71"/>
        <v>30338.735042735043</v>
      </c>
      <c r="O126" s="41"/>
      <c r="P126" s="17">
        <f t="shared" si="87"/>
        <v>446306</v>
      </c>
      <c r="Q126" s="16"/>
      <c r="R126" s="60">
        <f t="shared" si="90"/>
        <v>0.20874466120125343</v>
      </c>
      <c r="S126" s="16"/>
      <c r="T126" s="41"/>
      <c r="U126" s="10">
        <f t="shared" si="85"/>
        <v>18</v>
      </c>
      <c r="V126" s="34">
        <v>936</v>
      </c>
      <c r="W126" s="33"/>
      <c r="X126" s="33"/>
      <c r="Y126" s="33"/>
      <c r="Z126" s="33">
        <f t="shared" si="72"/>
        <v>139132</v>
      </c>
      <c r="AA126" s="33"/>
      <c r="AB126" s="46">
        <f t="shared" si="73"/>
        <v>3.9196175828931E-2</v>
      </c>
      <c r="AC126" s="33"/>
      <c r="AD126" s="33">
        <f t="shared" si="74"/>
        <v>1189.1623931623931</v>
      </c>
      <c r="AE126" s="50"/>
      <c r="AF126" s="33"/>
      <c r="AG126" s="33"/>
      <c r="AH126" s="232"/>
      <c r="AI126" s="50"/>
      <c r="AJ126" s="10"/>
      <c r="AK126" s="23">
        <f t="shared" si="75"/>
        <v>50726</v>
      </c>
      <c r="AL126" s="24"/>
      <c r="AM126" s="24"/>
      <c r="AN126" s="24">
        <v>178263</v>
      </c>
      <c r="AO126" s="24">
        <v>1600195</v>
      </c>
      <c r="AP126" s="24"/>
      <c r="AQ126" s="505">
        <f t="shared" si="76"/>
        <v>3.2737666903952259E-2</v>
      </c>
      <c r="AR126" s="25"/>
      <c r="AS126" s="25"/>
      <c r="AT126" s="24"/>
      <c r="AU126" s="342">
        <f t="shared" si="77"/>
        <v>0.45080588635667024</v>
      </c>
      <c r="AV126" s="342"/>
      <c r="AW126" s="24">
        <f t="shared" si="78"/>
        <v>13676.880341880342</v>
      </c>
      <c r="AX126" s="352"/>
      <c r="AY126" s="10"/>
      <c r="AZ126" s="66">
        <f t="shared" si="79"/>
        <v>778044</v>
      </c>
      <c r="BA126" s="67"/>
      <c r="BB126" s="67">
        <v>44030877</v>
      </c>
      <c r="BC126" s="67"/>
      <c r="BD126" s="67">
        <f t="shared" si="80"/>
        <v>66048</v>
      </c>
      <c r="BE126" s="67"/>
      <c r="BF126" s="157">
        <f t="shared" si="81"/>
        <v>8.4889800576831126E-2</v>
      </c>
      <c r="BG126" s="67"/>
      <c r="BH126" s="184"/>
      <c r="BI126" s="67"/>
      <c r="BJ126" s="67"/>
      <c r="BK126" s="67"/>
      <c r="BL126" s="157"/>
      <c r="BM126" s="66">
        <f t="shared" si="82"/>
        <v>376332.28205128206</v>
      </c>
      <c r="BN126" s="67"/>
      <c r="BO126" s="67">
        <f t="shared" si="83"/>
        <v>3270012</v>
      </c>
      <c r="BP126" s="67"/>
      <c r="BQ126" s="479">
        <f t="shared" si="84"/>
        <v>7.4266338142662938E-2</v>
      </c>
      <c r="BR126" s="67"/>
      <c r="BS126" s="86"/>
      <c r="BT126" s="184"/>
      <c r="BU126" s="1"/>
      <c r="BV126">
        <f t="shared" si="53"/>
        <v>117</v>
      </c>
    </row>
    <row r="127" spans="2:74" x14ac:dyDescent="0.3">
      <c r="B127" s="172">
        <f t="shared" si="52"/>
        <v>44027</v>
      </c>
      <c r="C127" s="61"/>
      <c r="D127" s="17">
        <v>72005</v>
      </c>
      <c r="E127" s="16"/>
      <c r="F127" s="16"/>
      <c r="G127" s="16"/>
      <c r="H127" s="16">
        <f t="shared" ref="H127" si="93">+H126+D127</f>
        <v>3621637</v>
      </c>
      <c r="I127" s="16"/>
      <c r="J127" s="38">
        <f t="shared" ref="J127" si="94">+D127/H126</f>
        <v>2.0285201395524945E-2</v>
      </c>
      <c r="K127" s="16"/>
      <c r="L127" s="16"/>
      <c r="M127" s="16"/>
      <c r="N127" s="16">
        <f t="shared" ref="N127" si="95">+H127/BV127</f>
        <v>30691.838983050846</v>
      </c>
      <c r="O127" s="41"/>
      <c r="P127" s="17">
        <f t="shared" ref="P127" si="96">SUM(D121:D127)</f>
        <v>456463</v>
      </c>
      <c r="Q127" s="16"/>
      <c r="R127" s="60">
        <f t="shared" si="90"/>
        <v>0.20127532356795849</v>
      </c>
      <c r="S127" s="16"/>
      <c r="T127" s="41"/>
      <c r="U127" s="10">
        <f t="shared" si="85"/>
        <v>19</v>
      </c>
      <c r="V127" s="34">
        <v>1002</v>
      </c>
      <c r="W127" s="33"/>
      <c r="X127" s="33"/>
      <c r="Y127" s="33"/>
      <c r="Z127" s="33">
        <f t="shared" ref="Z127" si="97">+Z126+V127</f>
        <v>140134</v>
      </c>
      <c r="AA127" s="33"/>
      <c r="AB127" s="46">
        <f t="shared" ref="AB127" si="98">+Z127/H127</f>
        <v>3.8693552114692886E-2</v>
      </c>
      <c r="AC127" s="33"/>
      <c r="AD127" s="33">
        <f t="shared" ref="AD127" si="99">+Z127/BV127</f>
        <v>1187.5762711864406</v>
      </c>
      <c r="AE127" s="50"/>
      <c r="AF127" s="33"/>
      <c r="AG127" s="33"/>
      <c r="AH127" s="232"/>
      <c r="AI127" s="50"/>
      <c r="AJ127" s="10"/>
      <c r="AK127" s="23">
        <f t="shared" ref="AK127" si="100">+AO127-AO126</f>
        <v>45767</v>
      </c>
      <c r="AL127" s="24"/>
      <c r="AM127" s="24"/>
      <c r="AN127" s="24">
        <v>178263</v>
      </c>
      <c r="AO127" s="24">
        <v>1645962</v>
      </c>
      <c r="AP127" s="24"/>
      <c r="AQ127" s="505">
        <f t="shared" ref="AQ127" si="101">+AK127/AO126</f>
        <v>2.8600889266620629E-2</v>
      </c>
      <c r="AR127" s="25"/>
      <c r="AS127" s="25"/>
      <c r="AT127" s="24"/>
      <c r="AU127" s="342">
        <f t="shared" ref="AU127" si="102">+AO127/H127</f>
        <v>0.45448011493145229</v>
      </c>
      <c r="AV127" s="342"/>
      <c r="AW127" s="24">
        <f t="shared" ref="AW127" si="103">+AO127/BV127</f>
        <v>13948.830508474577</v>
      </c>
      <c r="AX127" s="352"/>
      <c r="AY127" s="10"/>
      <c r="AZ127" s="66">
        <f t="shared" ref="AZ127" si="104">+BB127-BB126</f>
        <v>815289</v>
      </c>
      <c r="BA127" s="67"/>
      <c r="BB127" s="67">
        <v>44846166</v>
      </c>
      <c r="BC127" s="67"/>
      <c r="BD127" s="67">
        <f t="shared" ref="BD127" si="105">+D127</f>
        <v>72005</v>
      </c>
      <c r="BE127" s="67"/>
      <c r="BF127" s="157">
        <f t="shared" ref="BF127" si="106">+BD127/AZ127</f>
        <v>8.8318375447234046E-2</v>
      </c>
      <c r="BG127" s="67"/>
      <c r="BH127" s="184"/>
      <c r="BI127" s="67"/>
      <c r="BJ127" s="67"/>
      <c r="BK127" s="67"/>
      <c r="BL127" s="157"/>
      <c r="BM127" s="66">
        <f t="shared" ref="BM127" si="107">+BB127/BV127</f>
        <v>380052.25423728814</v>
      </c>
      <c r="BN127" s="67"/>
      <c r="BO127" s="67">
        <f t="shared" ref="BO127" si="108">+BO126+BD127</f>
        <v>3342017</v>
      </c>
      <c r="BP127" s="67"/>
      <c r="BQ127" s="479">
        <f t="shared" ref="BQ127" si="109">+BO127/BB127</f>
        <v>7.4521799700781557E-2</v>
      </c>
      <c r="BR127" s="67"/>
      <c r="BS127" s="86"/>
      <c r="BT127" s="184"/>
      <c r="BU127" s="1"/>
      <c r="BV127">
        <f t="shared" si="53"/>
        <v>118</v>
      </c>
    </row>
    <row r="128" spans="2:74" x14ac:dyDescent="0.3">
      <c r="B128" s="172">
        <f t="shared" si="52"/>
        <v>44028</v>
      </c>
      <c r="C128" s="61"/>
      <c r="D128" s="17">
        <v>73388</v>
      </c>
      <c r="E128" s="16"/>
      <c r="F128" s="16"/>
      <c r="G128" s="16"/>
      <c r="H128" s="16">
        <f t="shared" ref="H128" si="110">+H127+D128</f>
        <v>3695025</v>
      </c>
      <c r="I128" s="16"/>
      <c r="J128" s="38">
        <f t="shared" ref="J128" si="111">+D128/H127</f>
        <v>2.026376470087974E-2</v>
      </c>
      <c r="K128" s="16"/>
      <c r="L128" s="16"/>
      <c r="M128" s="16"/>
      <c r="N128" s="16">
        <f t="shared" ref="N128" si="112">+H128/BV128</f>
        <v>31050.63025210084</v>
      </c>
      <c r="O128" s="41"/>
      <c r="P128" s="17">
        <f t="shared" ref="P128" si="113">SUM(D122:D128)</f>
        <v>468784</v>
      </c>
      <c r="Q128" s="16"/>
      <c r="R128" s="60">
        <f t="shared" si="90"/>
        <v>0.22984253910287691</v>
      </c>
      <c r="S128" s="16"/>
      <c r="T128" s="41"/>
      <c r="U128" s="10">
        <f t="shared" si="85"/>
        <v>20</v>
      </c>
      <c r="V128" s="34">
        <v>963</v>
      </c>
      <c r="W128" s="33"/>
      <c r="X128" s="33"/>
      <c r="Y128" s="33"/>
      <c r="Z128" s="33">
        <f t="shared" ref="Z128" si="114">+Z127+V128</f>
        <v>141097</v>
      </c>
      <c r="AA128" s="33"/>
      <c r="AB128" s="46">
        <f t="shared" ref="AB128" si="115">+Z128/H128</f>
        <v>3.8185668567871665E-2</v>
      </c>
      <c r="AC128" s="33"/>
      <c r="AD128" s="33">
        <f t="shared" ref="AD128" si="116">+Z128/BV128</f>
        <v>1185.6890756302521</v>
      </c>
      <c r="AE128" s="50"/>
      <c r="AF128" s="33"/>
      <c r="AG128" s="33"/>
      <c r="AH128" s="232"/>
      <c r="AI128" s="50"/>
      <c r="AJ128" s="10"/>
      <c r="AK128" s="23">
        <f t="shared" ref="AK128" si="117">+AO128-AO127</f>
        <v>33671</v>
      </c>
      <c r="AL128" s="24"/>
      <c r="AM128" s="24"/>
      <c r="AN128" s="24">
        <v>178263</v>
      </c>
      <c r="AO128" s="24">
        <v>1679633</v>
      </c>
      <c r="AP128" s="24"/>
      <c r="AQ128" s="505">
        <f t="shared" ref="AQ128" si="118">+AK128/AO127</f>
        <v>2.0456729863751411E-2</v>
      </c>
      <c r="AR128" s="25"/>
      <c r="AS128" s="25"/>
      <c r="AT128" s="24"/>
      <c r="AU128" s="342">
        <f t="shared" ref="AU128" si="119">+AO128/H128</f>
        <v>0.45456607194809234</v>
      </c>
      <c r="AV128" s="342"/>
      <c r="AW128" s="24">
        <f t="shared" ref="AW128" si="120">+AO128/BV128</f>
        <v>14114.563025210084</v>
      </c>
      <c r="AX128" s="352"/>
      <c r="AY128" s="10"/>
      <c r="AZ128" s="66">
        <f t="shared" ref="AZ128" si="121">+BB128-BB127</f>
        <v>850863</v>
      </c>
      <c r="BA128" s="67"/>
      <c r="BB128" s="67">
        <v>45697029</v>
      </c>
      <c r="BC128" s="67"/>
      <c r="BD128" s="67">
        <f t="shared" ref="BD128" si="122">+D128</f>
        <v>73388</v>
      </c>
      <c r="BE128" s="67"/>
      <c r="BF128" s="157">
        <f t="shared" ref="BF128" si="123">+BD128/AZ128</f>
        <v>8.6251253139459583E-2</v>
      </c>
      <c r="BG128" s="67"/>
      <c r="BH128" s="184"/>
      <c r="BI128" s="67"/>
      <c r="BJ128" s="67"/>
      <c r="BK128" s="67"/>
      <c r="BL128" s="157"/>
      <c r="BM128" s="66">
        <f t="shared" ref="BM128" si="124">+BB128/BV128</f>
        <v>384008.64705882355</v>
      </c>
      <c r="BN128" s="67"/>
      <c r="BO128" s="67">
        <f t="shared" ref="BO128" si="125">+BO127+BD128</f>
        <v>3415405</v>
      </c>
      <c r="BP128" s="67"/>
      <c r="BQ128" s="479">
        <f t="shared" ref="BQ128" si="126">+BO128/BB128</f>
        <v>7.4740198099093047E-2</v>
      </c>
      <c r="BR128" s="67"/>
      <c r="BS128" s="86"/>
      <c r="BT128" s="184"/>
      <c r="BU128" s="1"/>
      <c r="BV128">
        <f t="shared" si="53"/>
        <v>119</v>
      </c>
    </row>
    <row r="129" spans="2:74" x14ac:dyDescent="0.3">
      <c r="B129" s="172">
        <f t="shared" si="52"/>
        <v>44029</v>
      </c>
      <c r="C129" s="61"/>
      <c r="D129" s="17">
        <v>74987</v>
      </c>
      <c r="E129" s="16"/>
      <c r="F129" s="16"/>
      <c r="G129" s="16"/>
      <c r="H129" s="16">
        <f t="shared" ref="H129" si="127">+H128+D129</f>
        <v>3770012</v>
      </c>
      <c r="I129" s="16"/>
      <c r="J129" s="38">
        <f t="shared" ref="J129" si="128">+D129/H128</f>
        <v>2.0294044018646692E-2</v>
      </c>
      <c r="K129" s="16"/>
      <c r="L129" s="16"/>
      <c r="M129" s="16"/>
      <c r="N129" s="16">
        <f t="shared" ref="N129" si="129">+H129/BV129</f>
        <v>31416.766666666666</v>
      </c>
      <c r="O129" s="41"/>
      <c r="P129" s="17">
        <f t="shared" ref="P129" si="130">SUM(D123:D129)</f>
        <v>471984</v>
      </c>
      <c r="Q129" s="16"/>
      <c r="R129" s="60">
        <f t="shared" si="90"/>
        <v>0.1952895889786512</v>
      </c>
      <c r="S129" s="16"/>
      <c r="T129" s="41"/>
      <c r="U129" s="10">
        <f t="shared" si="85"/>
        <v>21</v>
      </c>
      <c r="V129" s="34">
        <v>946</v>
      </c>
      <c r="W129" s="33"/>
      <c r="X129" s="33"/>
      <c r="Y129" s="33"/>
      <c r="Z129" s="33">
        <f t="shared" ref="Z129" si="131">+Z128+V129</f>
        <v>142043</v>
      </c>
      <c r="AA129" s="33"/>
      <c r="AB129" s="46">
        <f t="shared" ref="AB129" si="132">+Z129/H129</f>
        <v>3.7677068401904289E-2</v>
      </c>
      <c r="AC129" s="33"/>
      <c r="AD129" s="33">
        <f t="shared" ref="AD129" si="133">+Z129/BV129</f>
        <v>1183.6916666666666</v>
      </c>
      <c r="AE129" s="50"/>
      <c r="AF129" s="33"/>
      <c r="AG129" s="33"/>
      <c r="AH129" s="232"/>
      <c r="AI129" s="50"/>
      <c r="AJ129" s="10"/>
      <c r="AK129" s="23">
        <f t="shared" ref="AK129" si="134">+AO129-AO128</f>
        <v>61600</v>
      </c>
      <c r="AL129" s="24"/>
      <c r="AM129" s="24"/>
      <c r="AN129" s="24">
        <v>178263</v>
      </c>
      <c r="AO129" s="24">
        <v>1741233</v>
      </c>
      <c r="AP129" s="24"/>
      <c r="AQ129" s="505">
        <f t="shared" ref="AQ129" si="135">+AK129/AO128</f>
        <v>3.6674678337470151E-2</v>
      </c>
      <c r="AR129" s="25"/>
      <c r="AS129" s="25"/>
      <c r="AT129" s="24"/>
      <c r="AU129" s="342">
        <f t="shared" ref="AU129" si="136">+AO129/H129</f>
        <v>0.46186404711709139</v>
      </c>
      <c r="AV129" s="342"/>
      <c r="AW129" s="24">
        <f t="shared" ref="AW129" si="137">+AO129/BV129</f>
        <v>14510.275</v>
      </c>
      <c r="AX129" s="352"/>
      <c r="AY129" s="10"/>
      <c r="AZ129" s="66">
        <f t="shared" ref="AZ129" si="138">+BB129-BB128</f>
        <v>911678</v>
      </c>
      <c r="BA129" s="67"/>
      <c r="BB129" s="67">
        <v>46608707</v>
      </c>
      <c r="BC129" s="67"/>
      <c r="BD129" s="67">
        <f t="shared" ref="BD129" si="139">+D129</f>
        <v>74987</v>
      </c>
      <c r="BE129" s="67"/>
      <c r="BF129" s="157">
        <f t="shared" ref="BF129" si="140">+BD129/AZ129</f>
        <v>8.2251628316137929E-2</v>
      </c>
      <c r="BG129" s="67"/>
      <c r="BH129" s="184"/>
      <c r="BI129" s="67"/>
      <c r="BJ129" s="67"/>
      <c r="BK129" s="67"/>
      <c r="BL129" s="157"/>
      <c r="BM129" s="66">
        <f t="shared" ref="BM129" si="141">+BB129/BV129</f>
        <v>388405.89166666666</v>
      </c>
      <c r="BN129" s="67"/>
      <c r="BO129" s="67">
        <f t="shared" ref="BO129" si="142">+BO128+BD129</f>
        <v>3490392</v>
      </c>
      <c r="BP129" s="67"/>
      <c r="BQ129" s="479">
        <f t="shared" ref="BQ129" si="143">+BO129/BB129</f>
        <v>7.4887123558265628E-2</v>
      </c>
      <c r="BR129" s="67"/>
      <c r="BS129" s="86"/>
      <c r="BT129" s="184"/>
      <c r="BU129" s="1"/>
      <c r="BV129">
        <f t="shared" si="53"/>
        <v>120</v>
      </c>
    </row>
    <row r="130" spans="2:74" x14ac:dyDescent="0.3">
      <c r="B130" s="172">
        <f t="shared" si="52"/>
        <v>44030</v>
      </c>
      <c r="C130" s="61"/>
      <c r="D130" s="17">
        <v>63259</v>
      </c>
      <c r="E130" s="16"/>
      <c r="F130" s="16"/>
      <c r="G130" s="16"/>
      <c r="H130" s="16">
        <f t="shared" ref="H130" si="144">+H129+D130</f>
        <v>3833271</v>
      </c>
      <c r="I130" s="16"/>
      <c r="J130" s="480">
        <f t="shared" ref="J130" si="145">+D130/H129</f>
        <v>1.6779522187197284E-2</v>
      </c>
      <c r="K130" s="16"/>
      <c r="L130" s="16"/>
      <c r="M130" s="16"/>
      <c r="N130" s="16">
        <f t="shared" ref="N130" si="146">+H130/BV130</f>
        <v>31679.92561983471</v>
      </c>
      <c r="O130" s="41"/>
      <c r="P130" s="17">
        <f t="shared" ref="P130" si="147">SUM(D124:D130)</f>
        <v>473524</v>
      </c>
      <c r="Q130" s="16"/>
      <c r="R130" s="60">
        <f t="shared" ref="R130" si="148">+(P130-P123)/P123</f>
        <v>0.15492250094511043</v>
      </c>
      <c r="S130" s="16"/>
      <c r="T130" s="41"/>
      <c r="U130" s="10">
        <f t="shared" si="85"/>
        <v>22</v>
      </c>
      <c r="V130" s="34">
        <v>813</v>
      </c>
      <c r="W130" s="33"/>
      <c r="X130" s="33"/>
      <c r="Y130" s="33"/>
      <c r="Z130" s="33">
        <f t="shared" ref="Z130" si="149">+Z129+V130</f>
        <v>142856</v>
      </c>
      <c r="AA130" s="33"/>
      <c r="AB130" s="46">
        <f t="shared" ref="AB130" si="150">+Z130/H130</f>
        <v>3.7267388608840858E-2</v>
      </c>
      <c r="AC130" s="33"/>
      <c r="AD130" s="33">
        <f t="shared" ref="AD130" si="151">+Z130/BV130</f>
        <v>1180.6280991735537</v>
      </c>
      <c r="AE130" s="50"/>
      <c r="AF130" s="33"/>
      <c r="AG130" s="33"/>
      <c r="AH130" s="232"/>
      <c r="AI130" s="50"/>
      <c r="AJ130" s="10"/>
      <c r="AK130" s="23">
        <f t="shared" ref="AK130" si="152">+AO130-AO129</f>
        <v>33861</v>
      </c>
      <c r="AL130" s="24"/>
      <c r="AM130" s="24"/>
      <c r="AN130" s="24">
        <v>178263</v>
      </c>
      <c r="AO130" s="24">
        <v>1775094</v>
      </c>
      <c r="AP130" s="24"/>
      <c r="AQ130" s="505">
        <f t="shared" ref="AQ130" si="153">+AK130/AO129</f>
        <v>1.9446564589575319E-2</v>
      </c>
      <c r="AR130" s="25"/>
      <c r="AS130" s="25"/>
      <c r="AT130" s="24"/>
      <c r="AU130" s="342">
        <f t="shared" ref="AU130" si="154">+AO130/H130</f>
        <v>0.46307553001079232</v>
      </c>
      <c r="AV130" s="342"/>
      <c r="AW130" s="24">
        <f t="shared" ref="AW130" si="155">+AO130/BV130</f>
        <v>14670.198347107438</v>
      </c>
      <c r="AX130" s="352"/>
      <c r="AY130" s="10"/>
      <c r="AZ130" s="66">
        <f t="shared" ref="AZ130" si="156">+BB130-BB129</f>
        <v>989570</v>
      </c>
      <c r="BA130" s="67"/>
      <c r="BB130" s="67">
        <v>47598277</v>
      </c>
      <c r="BC130" s="67"/>
      <c r="BD130" s="67">
        <f t="shared" ref="BD130" si="157">+D130</f>
        <v>63259</v>
      </c>
      <c r="BE130" s="67"/>
      <c r="BF130" s="157">
        <f t="shared" ref="BF130" si="158">+BD130/AZ130</f>
        <v>6.3925745525834451E-2</v>
      </c>
      <c r="BG130" s="67"/>
      <c r="BH130" s="184"/>
      <c r="BI130" s="67"/>
      <c r="BJ130" s="67"/>
      <c r="BK130" s="67"/>
      <c r="BL130" s="157"/>
      <c r="BM130" s="66">
        <f t="shared" ref="BM130" si="159">+BB130/BV130</f>
        <v>393374.19008264464</v>
      </c>
      <c r="BN130" s="67"/>
      <c r="BO130" s="67">
        <f t="shared" ref="BO130" si="160">+BO129+BD130</f>
        <v>3553651</v>
      </c>
      <c r="BP130" s="67"/>
      <c r="BQ130" s="479">
        <f t="shared" ref="BQ130" si="161">+BO130/BB130</f>
        <v>7.4659236089575254E-2</v>
      </c>
      <c r="BR130" s="67"/>
      <c r="BS130" s="86"/>
      <c r="BT130" s="184"/>
      <c r="BU130" s="1"/>
      <c r="BV130">
        <f t="shared" si="53"/>
        <v>121</v>
      </c>
    </row>
    <row r="131" spans="2:74" x14ac:dyDescent="0.3">
      <c r="B131" s="391">
        <f t="shared" si="52"/>
        <v>44031</v>
      </c>
      <c r="C131" s="61"/>
      <c r="D131" s="17">
        <v>65279</v>
      </c>
      <c r="E131" s="16"/>
      <c r="F131" s="16"/>
      <c r="G131" s="16"/>
      <c r="H131" s="16">
        <f t="shared" ref="H131" si="162">+H130+D131</f>
        <v>3898550</v>
      </c>
      <c r="I131" s="16"/>
      <c r="J131" s="480">
        <f t="shared" ref="J131" si="163">+D131/H130</f>
        <v>1.7029581263625766E-2</v>
      </c>
      <c r="K131" s="16"/>
      <c r="L131" s="16"/>
      <c r="M131" s="16"/>
      <c r="N131" s="16">
        <f t="shared" ref="N131" si="164">+H131/BV131</f>
        <v>31955.327868852459</v>
      </c>
      <c r="O131" s="41"/>
      <c r="P131" s="17">
        <f t="shared" ref="P131" si="165">SUM(D125:D131)</f>
        <v>480454</v>
      </c>
      <c r="Q131" s="16"/>
      <c r="R131" s="60">
        <f t="shared" ref="R131" si="166">+(P131-P124)/P124</f>
        <v>0.13361678432556912</v>
      </c>
      <c r="S131" s="16"/>
      <c r="T131" s="41"/>
      <c r="U131" s="392">
        <f t="shared" si="85"/>
        <v>23</v>
      </c>
      <c r="V131" s="34">
        <v>412</v>
      </c>
      <c r="W131" s="33"/>
      <c r="X131" s="33"/>
      <c r="Y131" s="33"/>
      <c r="Z131" s="33">
        <f t="shared" ref="Z131" si="167">+Z130+V131</f>
        <v>143268</v>
      </c>
      <c r="AA131" s="33"/>
      <c r="AB131" s="46">
        <f t="shared" ref="AB131" si="168">+Z131/H131</f>
        <v>3.6749047722871325E-2</v>
      </c>
      <c r="AC131" s="33"/>
      <c r="AD131" s="33">
        <f t="shared" ref="AD131" si="169">+Z131/BV131</f>
        <v>1174.327868852459</v>
      </c>
      <c r="AE131" s="50"/>
      <c r="AF131" s="33">
        <f t="shared" ref="AF131" si="170">SUM(V125:V131)</f>
        <v>5537</v>
      </c>
      <c r="AG131" s="33">
        <f>SUM(D102:D153)</f>
        <v>2554631</v>
      </c>
      <c r="AH131" s="232">
        <f t="shared" ref="AH131" si="171">+(AF131-AF124)/AF124</f>
        <v>6.8712603744450873E-2</v>
      </c>
      <c r="AI131" s="50"/>
      <c r="AJ131" s="392"/>
      <c r="AK131" s="23">
        <f t="shared" ref="AK131" si="172">+AO131-AO130</f>
        <v>27244</v>
      </c>
      <c r="AL131" s="24"/>
      <c r="AM131" s="24"/>
      <c r="AN131" s="24">
        <v>178263</v>
      </c>
      <c r="AO131" s="24">
        <v>1802338</v>
      </c>
      <c r="AP131" s="24"/>
      <c r="AQ131" s="505">
        <f t="shared" ref="AQ131" si="173">+AK131/AO130</f>
        <v>1.5347919603130877E-2</v>
      </c>
      <c r="AR131" s="25"/>
      <c r="AS131" s="25"/>
      <c r="AT131" s="24"/>
      <c r="AU131" s="342">
        <f t="shared" ref="AU131" si="174">+AO131/H131</f>
        <v>0.46230983314309165</v>
      </c>
      <c r="AV131" s="342"/>
      <c r="AW131" s="24">
        <f t="shared" ref="AW131" si="175">+AO131/BV131</f>
        <v>14773.262295081968</v>
      </c>
      <c r="AX131" s="352"/>
      <c r="AY131" s="392"/>
      <c r="AZ131" s="66">
        <f t="shared" ref="AZ131" si="176">+BB131-BB130</f>
        <v>743458</v>
      </c>
      <c r="BA131" s="67"/>
      <c r="BB131" s="67">
        <v>48341735</v>
      </c>
      <c r="BC131" s="67"/>
      <c r="BD131" s="67">
        <f t="shared" ref="BD131" si="177">+D131</f>
        <v>65279</v>
      </c>
      <c r="BE131" s="67"/>
      <c r="BF131" s="157">
        <f t="shared" ref="BF131" si="178">+BD131/AZ131</f>
        <v>8.7804556545225149E-2</v>
      </c>
      <c r="BG131" s="67"/>
      <c r="BH131" s="184"/>
      <c r="BI131" s="67"/>
      <c r="BJ131" s="67">
        <f t="shared" ref="BJ131" si="179">SUM(AZ125:AZ131)</f>
        <v>5872128</v>
      </c>
      <c r="BK131" s="67"/>
      <c r="BL131" s="157">
        <f t="shared" ref="BL131" si="180">+P131/BJ131</f>
        <v>8.1819401756909937E-2</v>
      </c>
      <c r="BM131" s="66">
        <f t="shared" ref="BM131" si="181">+BB131/BV131</f>
        <v>396243.7295081967</v>
      </c>
      <c r="BN131" s="67"/>
      <c r="BO131" s="67">
        <f t="shared" ref="BO131" si="182">+BO130+BD131</f>
        <v>3618930</v>
      </c>
      <c r="BP131" s="67"/>
      <c r="BQ131" s="479">
        <f t="shared" ref="BQ131" si="183">+BO131/BB131</f>
        <v>7.4861400816499446E-2</v>
      </c>
      <c r="BR131" s="67"/>
      <c r="BS131" s="86"/>
      <c r="BT131" s="184"/>
      <c r="BU131" s="1"/>
      <c r="BV131" s="473">
        <f t="shared" si="53"/>
        <v>122</v>
      </c>
    </row>
    <row r="132" spans="2:74" x14ac:dyDescent="0.3">
      <c r="B132" s="172">
        <f t="shared" si="52"/>
        <v>44032</v>
      </c>
      <c r="C132" s="61"/>
      <c r="D132" s="17">
        <v>62879</v>
      </c>
      <c r="E132" s="16"/>
      <c r="F132" s="16"/>
      <c r="G132" s="16"/>
      <c r="H132" s="16">
        <f t="shared" ref="H132" si="184">+H131+D132</f>
        <v>3961429</v>
      </c>
      <c r="I132" s="16"/>
      <c r="J132" s="480">
        <f t="shared" ref="J132" si="185">+D132/H131</f>
        <v>1.612881712431545E-2</v>
      </c>
      <c r="K132" s="16"/>
      <c r="L132" s="16"/>
      <c r="M132" s="16"/>
      <c r="N132" s="16">
        <f t="shared" ref="N132" si="186">+H132/BV132</f>
        <v>32206.739837398374</v>
      </c>
      <c r="O132" s="41"/>
      <c r="P132" s="17">
        <f t="shared" ref="P132" si="187">SUM(D126:D132)</f>
        <v>477845</v>
      </c>
      <c r="Q132" s="16"/>
      <c r="R132" s="60">
        <f t="shared" ref="R132" si="188">+(P132-P125)/P125</f>
        <v>9.6729400963966025E-2</v>
      </c>
      <c r="S132" s="16"/>
      <c r="T132" s="41"/>
      <c r="U132" s="10">
        <f t="shared" si="85"/>
        <v>24</v>
      </c>
      <c r="V132" s="34">
        <v>545</v>
      </c>
      <c r="W132" s="33"/>
      <c r="X132" s="33"/>
      <c r="Y132" s="33"/>
      <c r="Z132" s="33">
        <f t="shared" ref="Z132" si="189">+Z131+V132</f>
        <v>143813</v>
      </c>
      <c r="AA132" s="33"/>
      <c r="AB132" s="46">
        <f t="shared" ref="AB132" si="190">+Z132/H132</f>
        <v>3.6303313778941894E-2</v>
      </c>
      <c r="AC132" s="33"/>
      <c r="AD132" s="33">
        <f t="shared" ref="AD132" si="191">+Z132/BV132</f>
        <v>1169.2113821138212</v>
      </c>
      <c r="AE132" s="50"/>
      <c r="AF132" s="33"/>
      <c r="AG132" s="33"/>
      <c r="AH132" s="232"/>
      <c r="AI132" s="50"/>
      <c r="AJ132" s="10"/>
      <c r="AK132" s="23">
        <f t="shared" ref="AK132" si="192">+AO132-AO131</f>
        <v>47651</v>
      </c>
      <c r="AL132" s="24"/>
      <c r="AM132" s="24"/>
      <c r="AN132" s="24">
        <v>178263</v>
      </c>
      <c r="AO132" s="24">
        <v>1849989</v>
      </c>
      <c r="AP132" s="24"/>
      <c r="AQ132" s="505">
        <f t="shared" ref="AQ132" si="193">+AK132/AO131</f>
        <v>2.6438437185477972E-2</v>
      </c>
      <c r="AR132" s="25"/>
      <c r="AS132" s="25"/>
      <c r="AT132" s="24"/>
      <c r="AU132" s="342">
        <f t="shared" ref="AU132" si="194">+AO132/H132</f>
        <v>0.46700041828340227</v>
      </c>
      <c r="AV132" s="342"/>
      <c r="AW132" s="24">
        <f t="shared" ref="AW132" si="195">+AO132/BV132</f>
        <v>15040.560975609756</v>
      </c>
      <c r="AX132" s="352"/>
      <c r="AY132" s="10"/>
      <c r="AZ132" s="66">
        <f t="shared" ref="AZ132" si="196">+BB132-BB131</f>
        <v>820172</v>
      </c>
      <c r="BA132" s="67"/>
      <c r="BB132" s="67">
        <v>49161907</v>
      </c>
      <c r="BC132" s="67"/>
      <c r="BD132" s="67">
        <f t="shared" ref="BD132" si="197">+D132</f>
        <v>62879</v>
      </c>
      <c r="BE132" s="67"/>
      <c r="BF132" s="157">
        <f t="shared" ref="BF132" si="198">+BD132/AZ132</f>
        <v>7.6665626234497158E-2</v>
      </c>
      <c r="BG132" s="67"/>
      <c r="BH132" s="184"/>
      <c r="BI132" s="67"/>
      <c r="BJ132" s="67"/>
      <c r="BK132" s="67"/>
      <c r="BL132" s="157"/>
      <c r="BM132" s="66">
        <f t="shared" ref="BM132" si="199">+BB132/BV132</f>
        <v>399690.30081300816</v>
      </c>
      <c r="BN132" s="67"/>
      <c r="BO132" s="67">
        <f t="shared" ref="BO132" si="200">+BO131+BD132</f>
        <v>3681809</v>
      </c>
      <c r="BP132" s="67"/>
      <c r="BQ132" s="479">
        <f t="shared" ref="BQ132" si="201">+BO132/BB132</f>
        <v>7.4891500852479143E-2</v>
      </c>
      <c r="BR132" s="67"/>
      <c r="BS132" s="86"/>
      <c r="BT132" s="184"/>
      <c r="BU132" s="1"/>
      <c r="BV132">
        <f t="shared" si="53"/>
        <v>123</v>
      </c>
    </row>
    <row r="133" spans="2:74" x14ac:dyDescent="0.3">
      <c r="B133" s="172">
        <f t="shared" si="52"/>
        <v>44033</v>
      </c>
      <c r="C133" s="61"/>
      <c r="D133" s="17">
        <v>67479</v>
      </c>
      <c r="E133" s="16"/>
      <c r="F133" s="16"/>
      <c r="G133" s="16"/>
      <c r="H133" s="16">
        <f t="shared" ref="H133" si="202">+H132+D133</f>
        <v>4028908</v>
      </c>
      <c r="I133" s="16"/>
      <c r="J133" s="480">
        <f t="shared" ref="J133" si="203">+D133/H132</f>
        <v>1.7034004648322613E-2</v>
      </c>
      <c r="K133" s="16"/>
      <c r="L133" s="16"/>
      <c r="M133" s="16"/>
      <c r="N133" s="16">
        <f t="shared" ref="N133" si="204">+H133/BV133</f>
        <v>32491.193548387098</v>
      </c>
      <c r="O133" s="41"/>
      <c r="P133" s="17">
        <f t="shared" ref="P133" si="205">SUM(D127:D133)</f>
        <v>479276</v>
      </c>
      <c r="Q133" s="16"/>
      <c r="R133" s="60">
        <f t="shared" ref="R133" si="206">+(P133-P126)/P126</f>
        <v>7.3873082593556891E-2</v>
      </c>
      <c r="S133" s="16"/>
      <c r="T133" s="41"/>
      <c r="U133" s="10">
        <f t="shared" si="85"/>
        <v>25</v>
      </c>
      <c r="V133" s="34">
        <v>1165</v>
      </c>
      <c r="W133" s="33"/>
      <c r="X133" s="33"/>
      <c r="Y133" s="33"/>
      <c r="Z133" s="33">
        <f t="shared" ref="Z133" si="207">+Z132+V133</f>
        <v>144978</v>
      </c>
      <c r="AA133" s="33"/>
      <c r="AB133" s="46">
        <f t="shared" ref="AB133" si="208">+Z133/H133</f>
        <v>3.5984440448875971E-2</v>
      </c>
      <c r="AC133" s="33"/>
      <c r="AD133" s="33">
        <f t="shared" ref="AD133" si="209">+Z133/BV133</f>
        <v>1169.1774193548388</v>
      </c>
      <c r="AE133" s="50"/>
      <c r="AF133" s="33"/>
      <c r="AG133" s="33"/>
      <c r="AH133" s="232"/>
      <c r="AI133" s="50"/>
      <c r="AJ133" s="10"/>
      <c r="AK133" s="23">
        <f t="shared" ref="AK133" si="210">+AO133-AO132</f>
        <v>36594</v>
      </c>
      <c r="AL133" s="24"/>
      <c r="AM133" s="24"/>
      <c r="AN133" s="24">
        <v>178263</v>
      </c>
      <c r="AO133" s="24">
        <v>1886583</v>
      </c>
      <c r="AP133" s="24"/>
      <c r="AQ133" s="505">
        <f t="shared" ref="AQ133" si="211">+AK133/AO132</f>
        <v>1.9780658155264707E-2</v>
      </c>
      <c r="AR133" s="25"/>
      <c r="AS133" s="25"/>
      <c r="AT133" s="24"/>
      <c r="AU133" s="342">
        <f t="shared" ref="AU133" si="212">+AO133/H133</f>
        <v>0.46826162324878107</v>
      </c>
      <c r="AV133" s="342"/>
      <c r="AW133" s="24">
        <f t="shared" ref="AW133" si="213">+AO133/BV133</f>
        <v>15214.379032258064</v>
      </c>
      <c r="AX133" s="352"/>
      <c r="AY133" s="10"/>
      <c r="AZ133" s="66">
        <f t="shared" ref="AZ133" si="214">+BB133-BB132</f>
        <v>751646</v>
      </c>
      <c r="BA133" s="67"/>
      <c r="BB133" s="67">
        <v>49913553</v>
      </c>
      <c r="BC133" s="67"/>
      <c r="BD133" s="67">
        <f t="shared" ref="BD133" si="215">+D133</f>
        <v>67479</v>
      </c>
      <c r="BE133" s="67"/>
      <c r="BF133" s="157">
        <f t="shared" ref="BF133" si="216">+BD133/AZ133</f>
        <v>8.9774973857374346E-2</v>
      </c>
      <c r="BG133" s="67"/>
      <c r="BH133" s="184"/>
      <c r="BI133" s="67"/>
      <c r="BJ133" s="67"/>
      <c r="BK133" s="67"/>
      <c r="BL133" s="157"/>
      <c r="BM133" s="66">
        <f t="shared" ref="BM133" si="217">+BB133/BV133</f>
        <v>402528.65322580643</v>
      </c>
      <c r="BN133" s="67"/>
      <c r="BO133" s="67">
        <f t="shared" ref="BO133" si="218">+BO132+BD133</f>
        <v>3749288</v>
      </c>
      <c r="BP133" s="67"/>
      <c r="BQ133" s="479">
        <f t="shared" ref="BQ133" si="219">+BO133/BB133</f>
        <v>7.5115630418054996E-2</v>
      </c>
      <c r="BR133" s="67"/>
      <c r="BS133" s="86"/>
      <c r="BT133" s="184"/>
      <c r="BU133" s="1"/>
      <c r="BV133">
        <f t="shared" si="53"/>
        <v>124</v>
      </c>
    </row>
    <row r="134" spans="2:74" x14ac:dyDescent="0.3">
      <c r="B134" s="172">
        <f t="shared" si="52"/>
        <v>44034</v>
      </c>
      <c r="C134" s="61"/>
      <c r="D134" s="17">
        <v>71967</v>
      </c>
      <c r="E134" s="16"/>
      <c r="F134" s="16"/>
      <c r="G134" s="16"/>
      <c r="H134" s="16">
        <f t="shared" ref="H134" si="220">+H133+D134</f>
        <v>4100875</v>
      </c>
      <c r="I134" s="16"/>
      <c r="J134" s="480">
        <f t="shared" ref="J134" si="221">+D134/H133</f>
        <v>1.786265658088991E-2</v>
      </c>
      <c r="K134" s="16"/>
      <c r="L134" s="16"/>
      <c r="M134" s="16"/>
      <c r="N134" s="16">
        <f t="shared" ref="N134" si="222">+H134/BV134</f>
        <v>32807</v>
      </c>
      <c r="O134" s="41"/>
      <c r="P134" s="17">
        <f t="shared" ref="P134" si="223">SUM(D128:D134)</f>
        <v>479238</v>
      </c>
      <c r="Q134" s="16"/>
      <c r="R134" s="60">
        <f t="shared" ref="R134" si="224">+(P134-P127)/P127</f>
        <v>4.9894514999025114E-2</v>
      </c>
      <c r="S134" s="16"/>
      <c r="T134" s="41"/>
      <c r="U134" s="10">
        <f t="shared" si="85"/>
        <v>26</v>
      </c>
      <c r="V134" s="34">
        <v>1205</v>
      </c>
      <c r="W134" s="33"/>
      <c r="X134" s="33"/>
      <c r="Y134" s="33"/>
      <c r="Z134" s="33">
        <f t="shared" ref="Z134" si="225">+Z133+V134</f>
        <v>146183</v>
      </c>
      <c r="AA134" s="33"/>
      <c r="AB134" s="46">
        <f t="shared" ref="AB134" si="226">+Z134/H134</f>
        <v>3.5646782698814279E-2</v>
      </c>
      <c r="AC134" s="33"/>
      <c r="AD134" s="33">
        <f t="shared" ref="AD134" si="227">+Z134/BV134</f>
        <v>1169.4639999999999</v>
      </c>
      <c r="AE134" s="50"/>
      <c r="AF134" s="33"/>
      <c r="AG134" s="33"/>
      <c r="AH134" s="232"/>
      <c r="AI134" s="50"/>
      <c r="AJ134" s="10"/>
      <c r="AK134" s="23">
        <f t="shared" ref="AK134" si="228">+AO134-AO133</f>
        <v>56054</v>
      </c>
      <c r="AL134" s="24"/>
      <c r="AM134" s="24"/>
      <c r="AN134" s="24">
        <v>178263</v>
      </c>
      <c r="AO134" s="24">
        <v>1942637</v>
      </c>
      <c r="AP134" s="24"/>
      <c r="AQ134" s="505">
        <f t="shared" ref="AQ134" si="229">+AK134/AO133</f>
        <v>2.971191832005271E-2</v>
      </c>
      <c r="AR134" s="25"/>
      <c r="AS134" s="25"/>
      <c r="AT134" s="24"/>
      <c r="AU134" s="342">
        <f t="shared" ref="AU134" si="230">+AO134/H134</f>
        <v>0.47371280519401349</v>
      </c>
      <c r="AV134" s="342"/>
      <c r="AW134" s="24">
        <f t="shared" ref="AW134" si="231">+AO134/BV134</f>
        <v>15541.096</v>
      </c>
      <c r="AX134" s="352"/>
      <c r="AY134" s="10"/>
      <c r="AZ134" s="66">
        <f t="shared" ref="AZ134" si="232">+BB134-BB133</f>
        <v>819317</v>
      </c>
      <c r="BA134" s="67"/>
      <c r="BB134" s="67">
        <v>50732870</v>
      </c>
      <c r="BC134" s="67"/>
      <c r="BD134" s="67">
        <f t="shared" ref="BD134" si="233">+D134</f>
        <v>71967</v>
      </c>
      <c r="BE134" s="67"/>
      <c r="BF134" s="157">
        <f t="shared" ref="BF134" si="234">+BD134/AZ134</f>
        <v>8.7837796603756541E-2</v>
      </c>
      <c r="BG134" s="67"/>
      <c r="BH134" s="184"/>
      <c r="BI134" s="67"/>
      <c r="BJ134" s="67"/>
      <c r="BK134" s="67"/>
      <c r="BL134" s="157"/>
      <c r="BM134" s="66">
        <f t="shared" ref="BM134" si="235">+BB134/BV134</f>
        <v>405862.96</v>
      </c>
      <c r="BN134" s="67"/>
      <c r="BO134" s="67">
        <f t="shared" ref="BO134" si="236">+BO133+BD134</f>
        <v>3821255</v>
      </c>
      <c r="BP134" s="67"/>
      <c r="BQ134" s="479">
        <f t="shared" ref="BQ134" si="237">+BO134/BB134</f>
        <v>7.5321088674857151E-2</v>
      </c>
      <c r="BR134" s="67"/>
      <c r="BS134" s="86"/>
      <c r="BT134" s="184"/>
      <c r="BU134" s="1"/>
      <c r="BV134">
        <f t="shared" si="53"/>
        <v>125</v>
      </c>
    </row>
    <row r="135" spans="2:74" x14ac:dyDescent="0.3">
      <c r="B135" s="172">
        <f t="shared" si="52"/>
        <v>44035</v>
      </c>
      <c r="C135" s="61"/>
      <c r="D135" s="17">
        <v>69443</v>
      </c>
      <c r="E135" s="16"/>
      <c r="F135" s="16"/>
      <c r="G135" s="16"/>
      <c r="H135" s="16">
        <f t="shared" ref="H135" si="238">+H134+D135</f>
        <v>4170318</v>
      </c>
      <c r="I135" s="16"/>
      <c r="J135" s="480">
        <f t="shared" ref="J135" si="239">+D135/H134</f>
        <v>1.69337031731033E-2</v>
      </c>
      <c r="K135" s="16"/>
      <c r="L135" s="16"/>
      <c r="M135" s="16"/>
      <c r="N135" s="16">
        <f t="shared" ref="N135" si="240">+H135/BV135</f>
        <v>33097.761904761908</v>
      </c>
      <c r="O135" s="41"/>
      <c r="P135" s="17">
        <f t="shared" ref="P135" si="241">SUM(D129:D135)</f>
        <v>475293</v>
      </c>
      <c r="Q135" s="16"/>
      <c r="R135" s="60">
        <f t="shared" ref="R135" si="242">+(P135-P128)/P128</f>
        <v>1.388485955152053E-2</v>
      </c>
      <c r="S135" s="16"/>
      <c r="T135" s="41"/>
      <c r="U135" s="10">
        <f t="shared" si="85"/>
        <v>27</v>
      </c>
      <c r="V135" s="34">
        <v>1166</v>
      </c>
      <c r="W135" s="33"/>
      <c r="X135" s="33"/>
      <c r="Y135" s="33"/>
      <c r="Z135" s="33">
        <f t="shared" ref="Z135" si="243">+Z134+V135</f>
        <v>147349</v>
      </c>
      <c r="AA135" s="33"/>
      <c r="AB135" s="46">
        <f t="shared" ref="AB135" si="244">+Z135/H135</f>
        <v>3.5332797163189954E-2</v>
      </c>
      <c r="AC135" s="33"/>
      <c r="AD135" s="33">
        <f t="shared" ref="AD135" si="245">+Z135/BV135</f>
        <v>1169.436507936508</v>
      </c>
      <c r="AE135" s="50"/>
      <c r="AF135" s="33"/>
      <c r="AG135" s="33"/>
      <c r="AH135" s="232"/>
      <c r="AI135" s="50"/>
      <c r="AJ135" s="10"/>
      <c r="AK135" s="23">
        <f t="shared" ref="AK135" si="246">+AO135-AO134</f>
        <v>36980</v>
      </c>
      <c r="AL135" s="24"/>
      <c r="AM135" s="24"/>
      <c r="AN135" s="24">
        <v>178263</v>
      </c>
      <c r="AO135" s="24">
        <v>1979617</v>
      </c>
      <c r="AP135" s="24"/>
      <c r="AQ135" s="505">
        <f t="shared" ref="AQ135" si="247">+AK135/AO134</f>
        <v>1.9035980473963997E-2</v>
      </c>
      <c r="AR135" s="25"/>
      <c r="AS135" s="25"/>
      <c r="AT135" s="24"/>
      <c r="AU135" s="342">
        <f t="shared" ref="AU135" si="248">+AO135/H135</f>
        <v>0.47469209782083766</v>
      </c>
      <c r="AV135" s="342"/>
      <c r="AW135" s="24">
        <f t="shared" ref="AW135" si="249">+AO135/BV135</f>
        <v>15711.246031746032</v>
      </c>
      <c r="AX135" s="352"/>
      <c r="AY135" s="10"/>
      <c r="AZ135" s="66">
        <f t="shared" ref="AZ135" si="250">+BB135-BB134</f>
        <v>819305</v>
      </c>
      <c r="BA135" s="67"/>
      <c r="BB135" s="67">
        <v>51552175</v>
      </c>
      <c r="BC135" s="67"/>
      <c r="BD135" s="67">
        <f t="shared" ref="BD135" si="251">+D135</f>
        <v>69443</v>
      </c>
      <c r="BE135" s="67"/>
      <c r="BF135" s="157">
        <f t="shared" ref="BF135" si="252">+BD135/AZ135</f>
        <v>8.475842329779508E-2</v>
      </c>
      <c r="BG135" s="67"/>
      <c r="BH135" s="184"/>
      <c r="BI135" s="67"/>
      <c r="BJ135" s="67"/>
      <c r="BK135" s="67"/>
      <c r="BL135" s="157"/>
      <c r="BM135" s="66">
        <f t="shared" ref="BM135" si="253">+BB135/BV135</f>
        <v>409144.24603174604</v>
      </c>
      <c r="BN135" s="67"/>
      <c r="BO135" s="67">
        <f t="shared" ref="BO135" si="254">+BO134+BD135</f>
        <v>3890698</v>
      </c>
      <c r="BP135" s="67"/>
      <c r="BQ135" s="479">
        <f t="shared" ref="BQ135" si="255">+BO135/BB135</f>
        <v>7.5471073722883655E-2</v>
      </c>
      <c r="BR135" s="67"/>
      <c r="BS135" s="86"/>
      <c r="BT135" s="184"/>
      <c r="BU135" s="1"/>
      <c r="BV135">
        <f t="shared" si="53"/>
        <v>126</v>
      </c>
    </row>
    <row r="136" spans="2:74" x14ac:dyDescent="0.3">
      <c r="B136" s="172">
        <f t="shared" si="52"/>
        <v>44036</v>
      </c>
      <c r="C136" s="61"/>
      <c r="D136" s="17">
        <v>77978</v>
      </c>
      <c r="E136" s="16"/>
      <c r="F136" s="16"/>
      <c r="G136" s="16"/>
      <c r="H136" s="16">
        <f t="shared" ref="H136" si="256">+H135+D136</f>
        <v>4248296</v>
      </c>
      <c r="I136" s="16"/>
      <c r="J136" s="480">
        <f t="shared" ref="J136" si="257">+D136/H135</f>
        <v>1.8698334275707513E-2</v>
      </c>
      <c r="K136" s="16"/>
      <c r="L136" s="16"/>
      <c r="M136" s="16"/>
      <c r="N136" s="16">
        <f t="shared" ref="N136" si="258">+H136/BV136</f>
        <v>33451.149606299216</v>
      </c>
      <c r="O136" s="41"/>
      <c r="P136" s="17">
        <f t="shared" ref="P136" si="259">SUM(D130:D136)</f>
        <v>478284</v>
      </c>
      <c r="Q136" s="16"/>
      <c r="R136" s="60">
        <f t="shared" ref="R136" si="260">+(P136-P129)/P129</f>
        <v>1.3347910098647412E-2</v>
      </c>
      <c r="S136" s="16"/>
      <c r="T136" s="41"/>
      <c r="U136" s="10">
        <f t="shared" si="85"/>
        <v>28</v>
      </c>
      <c r="V136" s="34">
        <v>1141</v>
      </c>
      <c r="W136" s="33"/>
      <c r="X136" s="33"/>
      <c r="Y136" s="33"/>
      <c r="Z136" s="33">
        <f t="shared" ref="Z136" si="261">+Z135+V136</f>
        <v>148490</v>
      </c>
      <c r="AA136" s="33"/>
      <c r="AB136" s="46">
        <f t="shared" ref="AB136" si="262">+Z136/H136</f>
        <v>3.4952837561224546E-2</v>
      </c>
      <c r="AC136" s="33"/>
      <c r="AD136" s="33">
        <f t="shared" ref="AD136" si="263">+Z136/BV136</f>
        <v>1169.2125984251968</v>
      </c>
      <c r="AE136" s="50"/>
      <c r="AF136" s="33"/>
      <c r="AG136" s="33"/>
      <c r="AH136" s="232"/>
      <c r="AI136" s="50"/>
      <c r="AJ136" s="10"/>
      <c r="AK136" s="23">
        <f t="shared" ref="AK136" si="264">+AO136-AO135</f>
        <v>48275</v>
      </c>
      <c r="AL136" s="24"/>
      <c r="AM136" s="24"/>
      <c r="AN136" s="24">
        <v>178263</v>
      </c>
      <c r="AO136" s="24">
        <v>2027892</v>
      </c>
      <c r="AP136" s="24"/>
      <c r="AQ136" s="505">
        <f t="shared" ref="AQ136" si="265">+AK136/AO135</f>
        <v>2.4386030227059072E-2</v>
      </c>
      <c r="AR136" s="25"/>
      <c r="AS136" s="25"/>
      <c r="AT136" s="24"/>
      <c r="AU136" s="342">
        <f t="shared" ref="AU136" si="266">+AO136/H136</f>
        <v>0.47734244506503315</v>
      </c>
      <c r="AV136" s="342"/>
      <c r="AW136" s="24">
        <f t="shared" ref="AW136" si="267">+AO136/BV136</f>
        <v>15967.653543307086</v>
      </c>
      <c r="AX136" s="352"/>
      <c r="AY136" s="10"/>
      <c r="AZ136" s="66">
        <f t="shared" ref="AZ136" si="268">+BB136-BB135</f>
        <v>968251</v>
      </c>
      <c r="BA136" s="67"/>
      <c r="BB136" s="67">
        <v>52520426</v>
      </c>
      <c r="BC136" s="67"/>
      <c r="BD136" s="67">
        <f t="shared" ref="BD136" si="269">+D136</f>
        <v>77978</v>
      </c>
      <c r="BE136" s="67"/>
      <c r="BF136" s="157">
        <f t="shared" ref="BF136" si="270">+BD136/AZ136</f>
        <v>8.0534902623390012E-2</v>
      </c>
      <c r="BG136" s="67"/>
      <c r="BH136" s="184"/>
      <c r="BI136" s="67"/>
      <c r="BJ136" s="67"/>
      <c r="BK136" s="67"/>
      <c r="BL136" s="157"/>
      <c r="BM136" s="66">
        <f t="shared" ref="BM136" si="271">+BB136/BV136</f>
        <v>413546.66141732282</v>
      </c>
      <c r="BN136" s="67"/>
      <c r="BO136" s="67">
        <f t="shared" ref="BO136" si="272">+BO135+BD136</f>
        <v>3968676</v>
      </c>
      <c r="BP136" s="67"/>
      <c r="BQ136" s="479">
        <f t="shared" ref="BQ136" si="273">+BO136/BB136</f>
        <v>7.5564428970930284E-2</v>
      </c>
      <c r="BR136" s="67"/>
      <c r="BS136" s="86"/>
      <c r="BT136" s="184"/>
      <c r="BU136" s="1"/>
      <c r="BV136">
        <f t="shared" si="53"/>
        <v>127</v>
      </c>
    </row>
    <row r="137" spans="2:74" x14ac:dyDescent="0.3">
      <c r="B137" s="172">
        <f t="shared" si="52"/>
        <v>44037</v>
      </c>
      <c r="C137" s="61"/>
      <c r="D137" s="17">
        <v>67413</v>
      </c>
      <c r="E137" s="16"/>
      <c r="F137" s="16"/>
      <c r="G137" s="16"/>
      <c r="H137" s="16">
        <f t="shared" ref="H137" si="274">+H136+D137</f>
        <v>4315709</v>
      </c>
      <c r="I137" s="16"/>
      <c r="J137" s="480">
        <f t="shared" ref="J137" si="275">+D137/H136</f>
        <v>1.5868244585593848E-2</v>
      </c>
      <c r="K137" s="16"/>
      <c r="L137" s="16"/>
      <c r="M137" s="16"/>
      <c r="N137" s="16">
        <f t="shared" ref="N137" si="276">+H137/BV137</f>
        <v>33716.4765625</v>
      </c>
      <c r="O137" s="41"/>
      <c r="P137" s="17">
        <f t="shared" ref="P137" si="277">SUM(D131:D137)</f>
        <v>482438</v>
      </c>
      <c r="Q137" s="16"/>
      <c r="R137" s="60">
        <f t="shared" ref="R137" si="278">+(P137-P130)/P130</f>
        <v>1.8824811413993801E-2</v>
      </c>
      <c r="S137" s="16"/>
      <c r="T137" s="41"/>
      <c r="U137" s="10">
        <f t="shared" si="85"/>
        <v>29</v>
      </c>
      <c r="V137" s="34">
        <v>908</v>
      </c>
      <c r="W137" s="33"/>
      <c r="X137" s="33"/>
      <c r="Y137" s="33"/>
      <c r="Z137" s="33">
        <f t="shared" ref="Z137" si="279">+Z136+V137</f>
        <v>149398</v>
      </c>
      <c r="AA137" s="33"/>
      <c r="AB137" s="46">
        <f t="shared" ref="AB137" si="280">+Z137/H137</f>
        <v>3.4617255241259318E-2</v>
      </c>
      <c r="AC137" s="33"/>
      <c r="AD137" s="33">
        <f t="shared" ref="AD137" si="281">+Z137/BV137</f>
        <v>1167.171875</v>
      </c>
      <c r="AE137" s="50"/>
      <c r="AF137" s="33"/>
      <c r="AG137" s="33"/>
      <c r="AH137" s="232"/>
      <c r="AI137" s="50"/>
      <c r="AJ137" s="10"/>
      <c r="AK137" s="23">
        <f t="shared" ref="AK137" si="282">+AO137-AO136</f>
        <v>33800</v>
      </c>
      <c r="AL137" s="24"/>
      <c r="AM137" s="24"/>
      <c r="AN137" s="24">
        <v>178263</v>
      </c>
      <c r="AO137" s="24">
        <v>2061692</v>
      </c>
      <c r="AP137" s="24"/>
      <c r="AQ137" s="505">
        <f t="shared" ref="AQ137" si="283">+AK137/AO136</f>
        <v>1.6667554287900933E-2</v>
      </c>
      <c r="AR137" s="25"/>
      <c r="AS137" s="25"/>
      <c r="AT137" s="24"/>
      <c r="AU137" s="342">
        <f t="shared" ref="AU137" si="284">+AO137/H137</f>
        <v>0.47771802964472349</v>
      </c>
      <c r="AV137" s="342"/>
      <c r="AW137" s="24">
        <f t="shared" ref="AW137" si="285">+AO137/BV137</f>
        <v>16106.96875</v>
      </c>
      <c r="AX137" s="352"/>
      <c r="AY137" s="10"/>
      <c r="AZ137" s="66">
        <f t="shared" ref="AZ137" si="286">+BB137-BB136</f>
        <v>831824</v>
      </c>
      <c r="BA137" s="67"/>
      <c r="BB137" s="67">
        <v>53352250</v>
      </c>
      <c r="BC137" s="67"/>
      <c r="BD137" s="67">
        <f t="shared" ref="BD137" si="287">+D137</f>
        <v>67413</v>
      </c>
      <c r="BE137" s="67"/>
      <c r="BF137" s="157">
        <f t="shared" ref="BF137" si="288">+BD137/AZ137</f>
        <v>8.1042383965838932E-2</v>
      </c>
      <c r="BG137" s="67"/>
      <c r="BH137" s="184"/>
      <c r="BI137" s="67"/>
      <c r="BJ137" s="67"/>
      <c r="BK137" s="67"/>
      <c r="BL137" s="157"/>
      <c r="BM137" s="66">
        <f t="shared" ref="BM137" si="289">+BB137/BV137</f>
        <v>416814.453125</v>
      </c>
      <c r="BN137" s="67"/>
      <c r="BO137" s="67">
        <f t="shared" ref="BO137" si="290">+BO136+BD137</f>
        <v>4036089</v>
      </c>
      <c r="BP137" s="67"/>
      <c r="BQ137" s="479">
        <f t="shared" ref="BQ137" si="291">+BO137/BB137</f>
        <v>7.5649836698545983E-2</v>
      </c>
      <c r="BR137" s="67"/>
      <c r="BS137" s="86"/>
      <c r="BT137" s="184"/>
      <c r="BU137" s="1"/>
      <c r="BV137">
        <f t="shared" si="53"/>
        <v>128</v>
      </c>
    </row>
    <row r="138" spans="2:74" x14ac:dyDescent="0.3">
      <c r="B138" s="391">
        <f t="shared" si="52"/>
        <v>44038</v>
      </c>
      <c r="C138" s="61"/>
      <c r="D138" s="17">
        <v>56130</v>
      </c>
      <c r="E138" s="16"/>
      <c r="F138" s="16"/>
      <c r="G138" s="16"/>
      <c r="H138" s="16">
        <f t="shared" ref="H138" si="292">+H137+D138</f>
        <v>4371839</v>
      </c>
      <c r="I138" s="16"/>
      <c r="J138" s="480">
        <f t="shared" ref="J138" si="293">+D138/H137</f>
        <v>1.3005974221153465E-2</v>
      </c>
      <c r="K138" s="16"/>
      <c r="L138" s="16"/>
      <c r="M138" s="16"/>
      <c r="N138" s="16">
        <f t="shared" ref="N138" si="294">+H138/BV138</f>
        <v>33890.22480620155</v>
      </c>
      <c r="O138" s="41"/>
      <c r="P138" s="17">
        <f t="shared" ref="P138" si="295">SUM(D132:D138)</f>
        <v>473289</v>
      </c>
      <c r="Q138" s="16"/>
      <c r="R138" s="60">
        <f t="shared" ref="R138" si="296">+(P138-P131)/P131</f>
        <v>-1.4912978141507823E-2</v>
      </c>
      <c r="S138" s="16"/>
      <c r="T138" s="41"/>
      <c r="U138" s="392">
        <f t="shared" si="85"/>
        <v>30</v>
      </c>
      <c r="V138" s="34">
        <v>450</v>
      </c>
      <c r="W138" s="33"/>
      <c r="X138" s="33"/>
      <c r="Y138" s="33"/>
      <c r="Z138" s="33">
        <f t="shared" ref="Z138" si="297">+Z137+V138</f>
        <v>149848</v>
      </c>
      <c r="AA138" s="33"/>
      <c r="AB138" s="46">
        <f t="shared" ref="AB138" si="298">+Z138/H138</f>
        <v>3.4275736137584209E-2</v>
      </c>
      <c r="AC138" s="33"/>
      <c r="AD138" s="33">
        <f t="shared" ref="AD138" si="299">+Z138/BV138</f>
        <v>1161.6124031007753</v>
      </c>
      <c r="AE138" s="50"/>
      <c r="AF138" s="33">
        <f t="shared" ref="AF138" si="300">SUM(V132:V138)</f>
        <v>6580</v>
      </c>
      <c r="AG138" s="33">
        <f t="shared" ref="AG138:AG146" si="301">SUM(D109:D160)</f>
        <v>2350753</v>
      </c>
      <c r="AH138" s="232">
        <f t="shared" ref="AH138" si="302">+(AF138-AF131)/AF131</f>
        <v>0.18836915297092288</v>
      </c>
      <c r="AI138" s="50"/>
      <c r="AJ138" s="392"/>
      <c r="AK138" s="23">
        <f t="shared" ref="AK138" si="303">+AO138-AO137</f>
        <v>28437</v>
      </c>
      <c r="AL138" s="24"/>
      <c r="AM138" s="24"/>
      <c r="AN138" s="24">
        <v>178263</v>
      </c>
      <c r="AO138" s="24">
        <v>2090129</v>
      </c>
      <c r="AP138" s="24"/>
      <c r="AQ138" s="505">
        <f t="shared" ref="AQ138" si="304">+AK138/AO137</f>
        <v>1.3793039891506587E-2</v>
      </c>
      <c r="AR138" s="25"/>
      <c r="AS138" s="25"/>
      <c r="AT138" s="24"/>
      <c r="AU138" s="342">
        <f t="shared" ref="AU138" si="305">+AO138/H138</f>
        <v>0.47808919770375807</v>
      </c>
      <c r="AV138" s="342"/>
      <c r="AW138" s="24">
        <f t="shared" ref="AW138" si="306">+AO138/BV138</f>
        <v>16202.550387596899</v>
      </c>
      <c r="AX138" s="352"/>
      <c r="AY138" s="392"/>
      <c r="AZ138" s="66">
        <f t="shared" ref="AZ138" si="307">+BB138-BB137</f>
        <v>867325</v>
      </c>
      <c r="BA138" s="67"/>
      <c r="BB138" s="67">
        <v>54219575</v>
      </c>
      <c r="BC138" s="67"/>
      <c r="BD138" s="67">
        <f t="shared" ref="BD138" si="308">+D138</f>
        <v>56130</v>
      </c>
      <c r="BE138" s="67"/>
      <c r="BF138" s="157">
        <f t="shared" ref="BF138" si="309">+BD138/AZ138</f>
        <v>6.4716225175107375E-2</v>
      </c>
      <c r="BG138" s="67"/>
      <c r="BH138" s="184"/>
      <c r="BI138" s="67"/>
      <c r="BJ138" s="67">
        <f t="shared" ref="BJ138" si="310">SUM(AZ132:AZ138)</f>
        <v>5877840</v>
      </c>
      <c r="BK138" s="67"/>
      <c r="BL138" s="157">
        <f t="shared" ref="BL138" si="311">+P138/BJ138</f>
        <v>8.0520905638806095E-2</v>
      </c>
      <c r="BM138" s="66">
        <f t="shared" ref="BM138" si="312">+BB138/BV138</f>
        <v>420306.78294573643</v>
      </c>
      <c r="BN138" s="67"/>
      <c r="BO138" s="67">
        <f t="shared" ref="BO138" si="313">+BO137+BD138</f>
        <v>4092219</v>
      </c>
      <c r="BP138" s="67"/>
      <c r="BQ138" s="479">
        <f t="shared" ref="BQ138" si="314">+BO138/BB138</f>
        <v>7.5474936865513972E-2</v>
      </c>
      <c r="BR138" s="67"/>
      <c r="BS138" s="86"/>
      <c r="BT138" s="184"/>
      <c r="BU138" s="1"/>
      <c r="BV138" s="473">
        <f t="shared" si="53"/>
        <v>129</v>
      </c>
    </row>
    <row r="139" spans="2:74" x14ac:dyDescent="0.3">
      <c r="B139" s="172">
        <f t="shared" si="52"/>
        <v>44039</v>
      </c>
      <c r="C139" s="61"/>
      <c r="D139" s="17">
        <v>61571</v>
      </c>
      <c r="E139" s="16"/>
      <c r="F139" s="16"/>
      <c r="G139" s="16"/>
      <c r="H139" s="16">
        <f t="shared" ref="H139" si="315">+H138+D139</f>
        <v>4433410</v>
      </c>
      <c r="I139" s="16"/>
      <c r="J139" s="480">
        <f t="shared" ref="J139" si="316">+D139/H138</f>
        <v>1.4083546992467014E-2</v>
      </c>
      <c r="K139" s="16"/>
      <c r="L139" s="16"/>
      <c r="M139" s="16"/>
      <c r="N139" s="16">
        <f t="shared" ref="N139" si="317">+H139/BV139</f>
        <v>34103.153846153844</v>
      </c>
      <c r="O139" s="41"/>
      <c r="P139" s="17">
        <f t="shared" ref="P139" si="318">SUM(D133:D139)</f>
        <v>471981</v>
      </c>
      <c r="Q139" s="16"/>
      <c r="R139" s="60">
        <f t="shared" ref="R139" si="319">+(P139-P132)/P132</f>
        <v>-1.2271761763751844E-2</v>
      </c>
      <c r="S139" s="16"/>
      <c r="T139" s="41"/>
      <c r="U139" s="10">
        <f t="shared" ref="U139" si="320">+U138+1</f>
        <v>31</v>
      </c>
      <c r="V139" s="34">
        <v>596</v>
      </c>
      <c r="W139" s="33"/>
      <c r="X139" s="33"/>
      <c r="Y139" s="33"/>
      <c r="Z139" s="33">
        <f t="shared" ref="Z139" si="321">+Z138+V139</f>
        <v>150444</v>
      </c>
      <c r="AA139" s="33"/>
      <c r="AB139" s="46">
        <f t="shared" ref="AB139" si="322">+Z139/H139</f>
        <v>3.3934150010939662E-2</v>
      </c>
      <c r="AC139" s="33"/>
      <c r="AD139" s="33">
        <f t="shared" ref="AD139" si="323">+Z139/BV139</f>
        <v>1157.2615384615385</v>
      </c>
      <c r="AE139" s="50"/>
      <c r="AF139" s="33">
        <f t="shared" ref="AF139" si="324">SUM(V133:V139)</f>
        <v>6631</v>
      </c>
      <c r="AG139" s="33">
        <f t="shared" si="301"/>
        <v>2307172</v>
      </c>
      <c r="AH139" s="232" t="e">
        <f t="shared" ref="AH139" si="325">+(AF139-AF132)/AF132</f>
        <v>#DIV/0!</v>
      </c>
      <c r="AI139" s="50"/>
      <c r="AJ139" s="10"/>
      <c r="AK139" s="23">
        <f t="shared" ref="AK139" si="326">+AO139-AO138</f>
        <v>46474</v>
      </c>
      <c r="AL139" s="24"/>
      <c r="AM139" s="24"/>
      <c r="AN139" s="24">
        <v>178263</v>
      </c>
      <c r="AO139" s="24">
        <v>2136603</v>
      </c>
      <c r="AP139" s="24"/>
      <c r="AQ139" s="505">
        <f t="shared" ref="AQ139" si="327">+AK139/AO138</f>
        <v>2.2234991237382956E-2</v>
      </c>
      <c r="AR139" s="25"/>
      <c r="AS139" s="25"/>
      <c r="AT139" s="24"/>
      <c r="AU139" s="342">
        <f t="shared" ref="AU139" si="328">+AO139/H139</f>
        <v>0.48193219215006056</v>
      </c>
      <c r="AV139" s="342"/>
      <c r="AW139" s="24">
        <f t="shared" ref="AW139" si="329">+AO139/BV139</f>
        <v>16435.407692307694</v>
      </c>
      <c r="AX139" s="352"/>
      <c r="AY139" s="10"/>
      <c r="AZ139" s="66">
        <f t="shared" ref="AZ139" si="330">+BB139-BB138</f>
        <v>798661</v>
      </c>
      <c r="BA139" s="67"/>
      <c r="BB139" s="67">
        <v>55018236</v>
      </c>
      <c r="BC139" s="67"/>
      <c r="BD139" s="67">
        <f t="shared" ref="BD139" si="331">+D139</f>
        <v>61571</v>
      </c>
      <c r="BE139" s="67"/>
      <c r="BF139" s="157">
        <f t="shared" ref="BF139" si="332">+BD139/AZ139</f>
        <v>7.7092784047299162E-2</v>
      </c>
      <c r="BG139" s="67"/>
      <c r="BH139" s="184"/>
      <c r="BI139" s="67"/>
      <c r="BJ139" s="67">
        <f t="shared" ref="BJ139" si="333">SUM(AZ133:AZ139)</f>
        <v>5856329</v>
      </c>
      <c r="BK139" s="67"/>
      <c r="BL139" s="157">
        <f t="shared" ref="BL139" si="334">+P139/BJ139</f>
        <v>8.059332049138633E-2</v>
      </c>
      <c r="BM139" s="66">
        <f t="shared" ref="BM139" si="335">+BB139/BV139</f>
        <v>423217.2</v>
      </c>
      <c r="BN139" s="67"/>
      <c r="BO139" s="67">
        <f t="shared" ref="BO139" si="336">+BO138+BD139</f>
        <v>4153790</v>
      </c>
      <c r="BP139" s="67"/>
      <c r="BQ139" s="479">
        <f t="shared" ref="BQ139" si="337">+BO139/BB139</f>
        <v>7.5498422014111832E-2</v>
      </c>
      <c r="BR139" s="67"/>
      <c r="BS139" s="86"/>
      <c r="BT139" s="184"/>
      <c r="BU139" s="1"/>
      <c r="BV139" s="61">
        <f t="shared" si="53"/>
        <v>130</v>
      </c>
    </row>
    <row r="140" spans="2:74" x14ac:dyDescent="0.3">
      <c r="B140" s="172">
        <f t="shared" si="52"/>
        <v>44040</v>
      </c>
      <c r="C140" s="61"/>
      <c r="D140" s="17">
        <v>64729</v>
      </c>
      <c r="E140" s="16"/>
      <c r="F140" s="16"/>
      <c r="G140" s="16"/>
      <c r="H140" s="16">
        <f t="shared" ref="H140" si="338">+H139+D140</f>
        <v>4498139</v>
      </c>
      <c r="I140" s="16"/>
      <c r="J140" s="480">
        <f t="shared" ref="J140" si="339">+D140/H139</f>
        <v>1.4600273829851063E-2</v>
      </c>
      <c r="K140" s="16"/>
      <c r="L140" s="16"/>
      <c r="M140" s="16"/>
      <c r="N140" s="16">
        <f t="shared" ref="N140" si="340">+H140/BV140</f>
        <v>34336.938931297707</v>
      </c>
      <c r="O140" s="41"/>
      <c r="P140" s="17">
        <f t="shared" ref="P140" si="341">SUM(D134:D140)</f>
        <v>469231</v>
      </c>
      <c r="Q140" s="16"/>
      <c r="R140" s="60">
        <f t="shared" ref="R140" si="342">+(P140-P133)/P133</f>
        <v>-2.0958696033183385E-2</v>
      </c>
      <c r="S140" s="16"/>
      <c r="T140" s="41"/>
      <c r="U140" s="10">
        <f t="shared" ref="U140:U146" si="343">+U139+1</f>
        <v>32</v>
      </c>
      <c r="V140" s="34">
        <v>1245</v>
      </c>
      <c r="W140" s="33"/>
      <c r="X140" s="33"/>
      <c r="Y140" s="33"/>
      <c r="Z140" s="33">
        <f t="shared" ref="Z140" si="344">+Z139+V140</f>
        <v>151689</v>
      </c>
      <c r="AA140" s="33"/>
      <c r="AB140" s="46">
        <f t="shared" ref="AB140" si="345">+Z140/H140</f>
        <v>3.3722612840554729E-2</v>
      </c>
      <c r="AC140" s="33"/>
      <c r="AD140" s="33">
        <f t="shared" ref="AD140" si="346">+Z140/BV140</f>
        <v>1157.9312977099237</v>
      </c>
      <c r="AE140" s="50"/>
      <c r="AF140" s="33">
        <f t="shared" ref="AF140" si="347">SUM(V134:V140)</f>
        <v>6711</v>
      </c>
      <c r="AG140" s="33">
        <f t="shared" si="301"/>
        <v>2266632</v>
      </c>
      <c r="AH140" s="232" t="e">
        <f t="shared" ref="AH140" si="348">+(AF140-AF133)/AF133</f>
        <v>#DIV/0!</v>
      </c>
      <c r="AI140" s="50"/>
      <c r="AJ140" s="10"/>
      <c r="AK140" s="23">
        <f t="shared" ref="AK140" si="349">+AO140-AO139</f>
        <v>49291</v>
      </c>
      <c r="AL140" s="24"/>
      <c r="AM140" s="24"/>
      <c r="AN140" s="24">
        <v>178263</v>
      </c>
      <c r="AO140" s="24">
        <v>2185894</v>
      </c>
      <c r="AP140" s="24"/>
      <c r="AQ140" s="505">
        <f t="shared" ref="AQ140" si="350">+AK140/AO139</f>
        <v>2.3069798179633744E-2</v>
      </c>
      <c r="AR140" s="25"/>
      <c r="AS140" s="25"/>
      <c r="AT140" s="24"/>
      <c r="AU140" s="342">
        <f t="shared" ref="AU140" si="351">+AO140/H140</f>
        <v>0.48595519169149731</v>
      </c>
      <c r="AV140" s="342"/>
      <c r="AW140" s="24">
        <f t="shared" ref="AW140" si="352">+AO140/BV140</f>
        <v>16686.213740458013</v>
      </c>
      <c r="AX140" s="352"/>
      <c r="AY140" s="10"/>
      <c r="AZ140" s="66">
        <f t="shared" ref="AZ140" si="353">+BB140-BB139</f>
        <v>787180</v>
      </c>
      <c r="BA140" s="67"/>
      <c r="BB140" s="67">
        <v>55805416</v>
      </c>
      <c r="BC140" s="67"/>
      <c r="BD140" s="67">
        <f t="shared" ref="BD140" si="354">+D140</f>
        <v>64729</v>
      </c>
      <c r="BE140" s="67"/>
      <c r="BF140" s="157">
        <f t="shared" ref="BF140" si="355">+BD140/AZ140</f>
        <v>8.2228969231941867E-2</v>
      </c>
      <c r="BG140" s="67"/>
      <c r="BH140" s="184"/>
      <c r="BI140" s="67"/>
      <c r="BJ140" s="67">
        <f t="shared" ref="BJ140" si="356">SUM(AZ134:AZ140)</f>
        <v>5891863</v>
      </c>
      <c r="BK140" s="67"/>
      <c r="BL140" s="157">
        <f t="shared" ref="BL140" si="357">+P140/BJ140</f>
        <v>7.9640514383990266E-2</v>
      </c>
      <c r="BM140" s="66">
        <f t="shared" ref="BM140" si="358">+BB140/BV140</f>
        <v>425995.54198473284</v>
      </c>
      <c r="BN140" s="67"/>
      <c r="BO140" s="67">
        <f t="shared" ref="BO140" si="359">+BO139+BD140</f>
        <v>4218519</v>
      </c>
      <c r="BP140" s="67"/>
      <c r="BQ140" s="479">
        <f t="shared" ref="BQ140" si="360">+BO140/BB140</f>
        <v>7.5593361762593084E-2</v>
      </c>
      <c r="BR140" s="67"/>
      <c r="BS140" s="86"/>
      <c r="BT140" s="184"/>
      <c r="BU140" s="1"/>
      <c r="BV140" s="61">
        <f t="shared" si="53"/>
        <v>131</v>
      </c>
    </row>
    <row r="141" spans="2:74" x14ac:dyDescent="0.3">
      <c r="B141" s="172">
        <f t="shared" si="52"/>
        <v>44041</v>
      </c>
      <c r="C141" s="61"/>
      <c r="D141" s="17">
        <v>66921</v>
      </c>
      <c r="E141" s="16"/>
      <c r="F141" s="16"/>
      <c r="G141" s="16"/>
      <c r="H141" s="16">
        <f t="shared" ref="H141" si="361">+H140+D141</f>
        <v>4565060</v>
      </c>
      <c r="I141" s="16"/>
      <c r="J141" s="480">
        <f t="shared" ref="J141" si="362">+D141/H140</f>
        <v>1.4877486000321466E-2</v>
      </c>
      <c r="K141" s="16"/>
      <c r="L141" s="16"/>
      <c r="M141" s="16"/>
      <c r="N141" s="16">
        <f t="shared" ref="N141" si="363">+H141/BV141</f>
        <v>34583.78787878788</v>
      </c>
      <c r="O141" s="41"/>
      <c r="P141" s="17">
        <f t="shared" ref="P141" si="364">SUM(D135:D141)</f>
        <v>464185</v>
      </c>
      <c r="Q141" s="16"/>
      <c r="R141" s="60">
        <f t="shared" ref="R141" si="365">+(P141-P134)/P134</f>
        <v>-3.1410280486939682E-2</v>
      </c>
      <c r="S141" s="16"/>
      <c r="T141" s="41"/>
      <c r="U141" s="10">
        <f t="shared" si="343"/>
        <v>33</v>
      </c>
      <c r="V141" s="34">
        <v>1485</v>
      </c>
      <c r="W141" s="33"/>
      <c r="X141" s="33"/>
      <c r="Y141" s="33"/>
      <c r="Z141" s="33">
        <f t="shared" ref="Z141" si="366">+Z140+V141</f>
        <v>153174</v>
      </c>
      <c r="AA141" s="33"/>
      <c r="AB141" s="46">
        <f t="shared" ref="AB141" si="367">+Z141/H141</f>
        <v>3.3553556798815352E-2</v>
      </c>
      <c r="AC141" s="33"/>
      <c r="AD141" s="33">
        <f t="shared" ref="AD141" si="368">+Z141/BV141</f>
        <v>1160.409090909091</v>
      </c>
      <c r="AE141" s="50"/>
      <c r="AF141" s="33">
        <f t="shared" ref="AF141" si="369">SUM(V135:V141)</f>
        <v>6991</v>
      </c>
      <c r="AG141" s="33">
        <f t="shared" si="301"/>
        <v>2221898</v>
      </c>
      <c r="AH141" s="232" t="e">
        <f t="shared" ref="AH141" si="370">+(AF141-AF134)/AF134</f>
        <v>#DIV/0!</v>
      </c>
      <c r="AI141" s="50"/>
      <c r="AJ141" s="10"/>
      <c r="AK141" s="23">
        <f t="shared" ref="AK141" si="371">+AO141-AO140</f>
        <v>59150</v>
      </c>
      <c r="AL141" s="24"/>
      <c r="AM141" s="24"/>
      <c r="AN141" s="24">
        <v>178263</v>
      </c>
      <c r="AO141" s="24">
        <v>2245044</v>
      </c>
      <c r="AP141" s="24"/>
      <c r="AQ141" s="505">
        <f t="shared" ref="AQ141" si="372">+AK141/AO140</f>
        <v>2.7059866580904656E-2</v>
      </c>
      <c r="AR141" s="25"/>
      <c r="AS141" s="25"/>
      <c r="AT141" s="24"/>
      <c r="AU141" s="342">
        <f t="shared" ref="AU141" si="373">+AO141/H141</f>
        <v>0.49178849785106876</v>
      </c>
      <c r="AV141" s="342"/>
      <c r="AW141" s="24">
        <f t="shared" ref="AW141" si="374">+AO141/BV141</f>
        <v>17007.909090909092</v>
      </c>
      <c r="AX141" s="352"/>
      <c r="AY141" s="10"/>
      <c r="AZ141" s="66">
        <f t="shared" ref="AZ141" si="375">+BB141-BB140</f>
        <v>878963</v>
      </c>
      <c r="BA141" s="67"/>
      <c r="BB141" s="67">
        <v>56684379</v>
      </c>
      <c r="BC141" s="67"/>
      <c r="BD141" s="67">
        <f t="shared" ref="BD141" si="376">+D141</f>
        <v>66921</v>
      </c>
      <c r="BE141" s="67"/>
      <c r="BF141" s="157">
        <f t="shared" ref="BF141" si="377">+BD141/AZ141</f>
        <v>7.6136310629685205E-2</v>
      </c>
      <c r="BG141" s="67"/>
      <c r="BH141" s="184"/>
      <c r="BI141" s="67"/>
      <c r="BJ141" s="67">
        <f t="shared" ref="BJ141" si="378">SUM(AZ135:AZ141)</f>
        <v>5951509</v>
      </c>
      <c r="BK141" s="67"/>
      <c r="BL141" s="157">
        <f t="shared" ref="BL141" si="379">+P141/BJ141</f>
        <v>7.7994505259086397E-2</v>
      </c>
      <c r="BM141" s="66">
        <f t="shared" ref="BM141" si="380">+BB141/BV141</f>
        <v>429427.11363636365</v>
      </c>
      <c r="BN141" s="67"/>
      <c r="BO141" s="67">
        <f t="shared" ref="BO141" si="381">+BO140+BD141</f>
        <v>4285440</v>
      </c>
      <c r="BP141" s="67"/>
      <c r="BQ141" s="479">
        <f t="shared" ref="BQ141" si="382">+BO141/BB141</f>
        <v>7.5601780871587212E-2</v>
      </c>
      <c r="BR141" s="67"/>
      <c r="BS141" s="86"/>
      <c r="BT141" s="184"/>
      <c r="BU141" s="1"/>
      <c r="BV141" s="61">
        <f t="shared" si="53"/>
        <v>132</v>
      </c>
    </row>
    <row r="142" spans="2:74" x14ac:dyDescent="0.3">
      <c r="B142" s="172">
        <f t="shared" si="52"/>
        <v>44042</v>
      </c>
      <c r="C142" s="61"/>
      <c r="D142" s="17">
        <v>68569</v>
      </c>
      <c r="E142" s="16"/>
      <c r="F142" s="16"/>
      <c r="G142" s="16"/>
      <c r="H142" s="16">
        <f t="shared" ref="H142" si="383">+H141+D142</f>
        <v>4633629</v>
      </c>
      <c r="I142" s="16"/>
      <c r="J142" s="480">
        <f t="shared" ref="J142" si="384">+D142/H141</f>
        <v>1.5020394036442019E-2</v>
      </c>
      <c r="K142" s="16"/>
      <c r="L142" s="16"/>
      <c r="M142" s="16"/>
      <c r="N142" s="16">
        <f t="shared" ref="N142" si="385">+H142/BV142</f>
        <v>34839.315789473687</v>
      </c>
      <c r="O142" s="41"/>
      <c r="P142" s="17">
        <f t="shared" ref="P142" si="386">SUM(D136:D142)</f>
        <v>463311</v>
      </c>
      <c r="Q142" s="16"/>
      <c r="R142" s="60">
        <f t="shared" ref="R142" si="387">+(P142-P135)/P135</f>
        <v>-2.5209712745611654E-2</v>
      </c>
      <c r="S142" s="16"/>
      <c r="T142" s="41"/>
      <c r="U142" s="10">
        <f t="shared" si="343"/>
        <v>34</v>
      </c>
      <c r="V142" s="34">
        <v>1465</v>
      </c>
      <c r="W142" s="33"/>
      <c r="X142" s="33"/>
      <c r="Y142" s="33"/>
      <c r="Z142" s="33">
        <f t="shared" ref="Z142" si="388">+Z141+V142</f>
        <v>154639</v>
      </c>
      <c r="AA142" s="33"/>
      <c r="AB142" s="46">
        <f t="shared" ref="AB142" si="389">+Z142/H142</f>
        <v>3.3373194099052816E-2</v>
      </c>
      <c r="AC142" s="33"/>
      <c r="AD142" s="33">
        <f t="shared" ref="AD142" si="390">+Z142/BV142</f>
        <v>1162.6992481203008</v>
      </c>
      <c r="AE142" s="50"/>
      <c r="AF142" s="33">
        <f t="shared" ref="AF142" si="391">SUM(V136:V142)</f>
        <v>7290</v>
      </c>
      <c r="AG142" s="33">
        <f t="shared" si="301"/>
        <v>2175856</v>
      </c>
      <c r="AH142" s="232" t="e">
        <f t="shared" ref="AH142" si="392">+(AF142-AF135)/AF135</f>
        <v>#DIV/0!</v>
      </c>
      <c r="AI142" s="50"/>
      <c r="AJ142" s="10"/>
      <c r="AK142" s="23">
        <f t="shared" ref="AK142" si="393">+AO142-AO141</f>
        <v>39921</v>
      </c>
      <c r="AL142" s="24"/>
      <c r="AM142" s="24"/>
      <c r="AN142" s="24">
        <v>178263</v>
      </c>
      <c r="AO142" s="24">
        <v>2284965</v>
      </c>
      <c r="AP142" s="24"/>
      <c r="AQ142" s="505">
        <f t="shared" ref="AQ142" si="394">+AK142/AO141</f>
        <v>1.7781834119954886E-2</v>
      </c>
      <c r="AR142" s="25"/>
      <c r="AS142" s="25"/>
      <c r="AT142" s="24"/>
      <c r="AU142" s="342">
        <f t="shared" ref="AU142" si="395">+AO142/H142</f>
        <v>0.49312644581601162</v>
      </c>
      <c r="AV142" s="342"/>
      <c r="AW142" s="24">
        <f t="shared" ref="AW142" si="396">+AO142/BV142</f>
        <v>17180.187969924813</v>
      </c>
      <c r="AX142" s="352"/>
      <c r="AY142" s="10"/>
      <c r="AZ142" s="66">
        <f t="shared" ref="AZ142" si="397">+BB142-BB141</f>
        <v>836765</v>
      </c>
      <c r="BA142" s="67"/>
      <c r="BB142" s="67">
        <v>57521144</v>
      </c>
      <c r="BC142" s="67"/>
      <c r="BD142" s="67">
        <f t="shared" ref="BD142" si="398">+D142</f>
        <v>68569</v>
      </c>
      <c r="BE142" s="67"/>
      <c r="BF142" s="157">
        <f t="shared" ref="BF142" si="399">+BD142/AZ142</f>
        <v>8.1945349052601382E-2</v>
      </c>
      <c r="BG142" s="67"/>
      <c r="BH142" s="184"/>
      <c r="BI142" s="67"/>
      <c r="BJ142" s="67">
        <f t="shared" ref="BJ142" si="400">SUM(AZ136:AZ142)</f>
        <v>5968969</v>
      </c>
      <c r="BK142" s="67"/>
      <c r="BL142" s="157">
        <f t="shared" ref="BL142" si="401">+P142/BJ142</f>
        <v>7.7619937379470386E-2</v>
      </c>
      <c r="BM142" s="66">
        <f t="shared" ref="BM142" si="402">+BB142/BV142</f>
        <v>432489.80451127817</v>
      </c>
      <c r="BN142" s="67"/>
      <c r="BO142" s="67">
        <f t="shared" ref="BO142" si="403">+BO141+BD142</f>
        <v>4354009</v>
      </c>
      <c r="BP142" s="67"/>
      <c r="BQ142" s="479">
        <f t="shared" ref="BQ142" si="404">+BO142/BB142</f>
        <v>7.5694061300310714E-2</v>
      </c>
      <c r="BR142" s="67"/>
      <c r="BS142" s="86"/>
      <c r="BT142" s="184"/>
      <c r="BU142" s="1"/>
      <c r="BV142" s="61">
        <f t="shared" si="53"/>
        <v>133</v>
      </c>
    </row>
    <row r="143" spans="2:74" x14ac:dyDescent="0.3">
      <c r="B143" s="172">
        <f t="shared" si="52"/>
        <v>44043</v>
      </c>
      <c r="C143" s="61"/>
      <c r="D143" s="17">
        <v>71083</v>
      </c>
      <c r="E143" s="16"/>
      <c r="F143" s="16"/>
      <c r="G143" s="16"/>
      <c r="H143" s="16">
        <f t="shared" ref="H143" si="405">+H142+D143</f>
        <v>4704712</v>
      </c>
      <c r="I143" s="16"/>
      <c r="J143" s="480">
        <f t="shared" ref="J143" si="406">+D143/H142</f>
        <v>1.534067574249039E-2</v>
      </c>
      <c r="K143" s="16"/>
      <c r="L143" s="16"/>
      <c r="M143" s="16"/>
      <c r="N143" s="16">
        <f t="shared" ref="N143" si="407">+H143/BV143</f>
        <v>35109.791044776117</v>
      </c>
      <c r="O143" s="41"/>
      <c r="P143" s="17">
        <f t="shared" ref="P143" si="408">SUM(D137:D143)</f>
        <v>456416</v>
      </c>
      <c r="Q143" s="16"/>
      <c r="R143" s="60">
        <f t="shared" ref="R143" si="409">+(P143-P136)/P136</f>
        <v>-4.5721788728036061E-2</v>
      </c>
      <c r="S143" s="16"/>
      <c r="T143" s="41"/>
      <c r="U143" s="10">
        <f t="shared" si="343"/>
        <v>35</v>
      </c>
      <c r="V143" s="34">
        <v>1462</v>
      </c>
      <c r="W143" s="33"/>
      <c r="X143" s="33"/>
      <c r="Y143" s="33"/>
      <c r="Z143" s="33">
        <f t="shared" ref="Z143" si="410">+Z142+V143</f>
        <v>156101</v>
      </c>
      <c r="AA143" s="33"/>
      <c r="AB143" s="46">
        <f t="shared" ref="AB143" si="411">+Z143/H143</f>
        <v>3.3179714294945151E-2</v>
      </c>
      <c r="AC143" s="33"/>
      <c r="AD143" s="33">
        <f t="shared" ref="AD143" si="412">+Z143/BV143</f>
        <v>1164.9328358208954</v>
      </c>
      <c r="AE143" s="50"/>
      <c r="AF143" s="542"/>
      <c r="AG143" s="33">
        <f t="shared" si="301"/>
        <v>2124759</v>
      </c>
      <c r="AH143" s="232" t="e">
        <f>+(AF177-AF136)/AF136</f>
        <v>#DIV/0!</v>
      </c>
      <c r="AI143" s="50"/>
      <c r="AJ143" s="10"/>
      <c r="AK143" s="23">
        <f t="shared" ref="AK143" si="413">+AO143-AO142</f>
        <v>42607</v>
      </c>
      <c r="AL143" s="24"/>
      <c r="AM143" s="24"/>
      <c r="AN143" s="24">
        <v>178263</v>
      </c>
      <c r="AO143" s="24">
        <v>2327572</v>
      </c>
      <c r="AP143" s="24"/>
      <c r="AQ143" s="505">
        <f t="shared" ref="AQ143" si="414">+AK143/AO142</f>
        <v>1.8646675113185542E-2</v>
      </c>
      <c r="AR143" s="25"/>
      <c r="AS143" s="25"/>
      <c r="AT143" s="24"/>
      <c r="AU143" s="342">
        <f t="shared" ref="AU143" si="415">+AO143/H143</f>
        <v>0.49473208987075085</v>
      </c>
      <c r="AV143" s="342"/>
      <c r="AW143" s="24">
        <f t="shared" ref="AW143" si="416">+AO143/BV143</f>
        <v>17369.940298507463</v>
      </c>
      <c r="AX143" s="352"/>
      <c r="AY143" s="10"/>
      <c r="AZ143" s="66">
        <f t="shared" ref="AZ143" si="417">+BB143-BB142</f>
        <v>972569</v>
      </c>
      <c r="BA143" s="67"/>
      <c r="BB143" s="67">
        <v>58493713</v>
      </c>
      <c r="BC143" s="67"/>
      <c r="BD143" s="67">
        <f t="shared" ref="BD143" si="418">+D143</f>
        <v>71083</v>
      </c>
      <c r="BE143" s="67"/>
      <c r="BF143" s="157">
        <f t="shared" ref="BF143" si="419">+BD143/AZ143</f>
        <v>7.3087873456793295E-2</v>
      </c>
      <c r="BG143" s="67"/>
      <c r="BH143" s="184"/>
      <c r="BI143" s="67"/>
      <c r="BJ143" s="67">
        <f t="shared" ref="BJ143" si="420">SUM(AZ137:AZ143)</f>
        <v>5973287</v>
      </c>
      <c r="BK143" s="67"/>
      <c r="BL143" s="157">
        <f t="shared" ref="BL143" si="421">+P143/BJ143</f>
        <v>7.6409521256889212E-2</v>
      </c>
      <c r="BM143" s="66">
        <f t="shared" ref="BM143" si="422">+BB143/BV143</f>
        <v>436520.24626865675</v>
      </c>
      <c r="BN143" s="67"/>
      <c r="BO143" s="67">
        <f t="shared" ref="BO143" si="423">+BO142+BD143</f>
        <v>4425092</v>
      </c>
      <c r="BP143" s="67"/>
      <c r="BQ143" s="479">
        <f t="shared" ref="BQ143" si="424">+BO143/BB143</f>
        <v>7.5650728480853996E-2</v>
      </c>
      <c r="BR143" s="67"/>
      <c r="BS143" s="86"/>
      <c r="BT143" s="184"/>
      <c r="BU143" s="1"/>
      <c r="BV143" s="61">
        <f t="shared" si="53"/>
        <v>134</v>
      </c>
    </row>
    <row r="144" spans="2:74" x14ac:dyDescent="0.3">
      <c r="B144" s="172">
        <f t="shared" si="52"/>
        <v>44044</v>
      </c>
      <c r="C144" s="61"/>
      <c r="D144" s="17">
        <v>58541</v>
      </c>
      <c r="E144" s="16"/>
      <c r="F144" s="16"/>
      <c r="G144" s="16"/>
      <c r="H144" s="16">
        <f t="shared" ref="H144" si="425">+H143+D144</f>
        <v>4763253</v>
      </c>
      <c r="I144" s="16"/>
      <c r="J144" s="480">
        <f t="shared" ref="J144" si="426">+D144/H143</f>
        <v>1.2443057088297859E-2</v>
      </c>
      <c r="K144" s="16"/>
      <c r="L144" s="16"/>
      <c r="M144" s="16"/>
      <c r="N144" s="16">
        <f t="shared" ref="N144" si="427">+H144/BV144</f>
        <v>35283.355555555558</v>
      </c>
      <c r="O144" s="41"/>
      <c r="P144" s="17">
        <f t="shared" ref="P144" si="428">SUM(D138:D144)</f>
        <v>447544</v>
      </c>
      <c r="Q144" s="16"/>
      <c r="R144" s="60">
        <f t="shared" ref="R144" si="429">+(P144-P137)/P137</f>
        <v>-7.2328465004829631E-2</v>
      </c>
      <c r="S144" s="16"/>
      <c r="T144" s="41"/>
      <c r="U144" s="10">
        <f t="shared" si="343"/>
        <v>36</v>
      </c>
      <c r="V144" s="34">
        <v>1123</v>
      </c>
      <c r="W144" s="33"/>
      <c r="X144" s="33"/>
      <c r="Y144" s="33"/>
      <c r="Z144" s="33">
        <f t="shared" ref="Z144" si="430">+Z143+V144</f>
        <v>157224</v>
      </c>
      <c r="AA144" s="33"/>
      <c r="AB144" s="46">
        <f t="shared" ref="AB144" si="431">+Z144/H144</f>
        <v>3.3007694531447314E-2</v>
      </c>
      <c r="AC144" s="33"/>
      <c r="AD144" s="33">
        <f t="shared" ref="AD144" si="432">+Z144/BV144</f>
        <v>1164.6222222222223</v>
      </c>
      <c r="AE144" s="50"/>
      <c r="AF144" s="33">
        <f t="shared" ref="AF144" si="433">SUM(V138:V144)</f>
        <v>7826</v>
      </c>
      <c r="AG144" s="33">
        <f t="shared" si="301"/>
        <v>2069784</v>
      </c>
      <c r="AH144" s="232" t="e">
        <f t="shared" ref="AH144" si="434">+(AF144-AF137)/AF137</f>
        <v>#DIV/0!</v>
      </c>
      <c r="AI144" s="50"/>
      <c r="AJ144" s="10"/>
      <c r="AK144" s="23">
        <f t="shared" ref="AK144" si="435">+AO144-AO143</f>
        <v>35331</v>
      </c>
      <c r="AL144" s="24"/>
      <c r="AM144" s="24"/>
      <c r="AN144" s="24">
        <v>178263</v>
      </c>
      <c r="AO144" s="24">
        <v>2362903</v>
      </c>
      <c r="AP144" s="24"/>
      <c r="AQ144" s="505">
        <f t="shared" ref="AQ144" si="436">+AK144/AO143</f>
        <v>1.5179337094620488E-2</v>
      </c>
      <c r="AR144" s="25"/>
      <c r="AS144" s="25"/>
      <c r="AT144" s="24"/>
      <c r="AU144" s="342">
        <f t="shared" ref="AU144" si="437">+AO144/H144</f>
        <v>0.49606917793365163</v>
      </c>
      <c r="AV144" s="342"/>
      <c r="AW144" s="24">
        <f t="shared" ref="AW144" si="438">+AO144/BV144</f>
        <v>17502.985185185185</v>
      </c>
      <c r="AX144" s="352"/>
      <c r="AY144" s="10"/>
      <c r="AZ144" s="66">
        <f t="shared" ref="AZ144" si="439">+BB144-BB143</f>
        <v>733196</v>
      </c>
      <c r="BA144" s="67"/>
      <c r="BB144" s="67">
        <v>59226909</v>
      </c>
      <c r="BC144" s="67"/>
      <c r="BD144" s="67">
        <f t="shared" ref="BD144" si="440">+D144</f>
        <v>58541</v>
      </c>
      <c r="BE144" s="67"/>
      <c r="BF144" s="157">
        <f t="shared" ref="BF144" si="441">+BD144/AZ144</f>
        <v>7.984358889028309E-2</v>
      </c>
      <c r="BG144" s="67"/>
      <c r="BH144" s="184"/>
      <c r="BI144" s="67"/>
      <c r="BJ144" s="67">
        <f t="shared" ref="BJ144" si="442">SUM(AZ138:AZ144)</f>
        <v>5874659</v>
      </c>
      <c r="BK144" s="67"/>
      <c r="BL144" s="157">
        <f t="shared" ref="BL144" si="443">+P144/BJ144</f>
        <v>7.6182123932640178E-2</v>
      </c>
      <c r="BM144" s="66">
        <f t="shared" ref="BM144" si="444">+BB144/BV144</f>
        <v>438717.84444444446</v>
      </c>
      <c r="BN144" s="67"/>
      <c r="BO144" s="67">
        <f t="shared" ref="BO144" si="445">+BO143+BD144</f>
        <v>4483633</v>
      </c>
      <c r="BP144" s="67"/>
      <c r="BQ144" s="479">
        <f t="shared" ref="BQ144" si="446">+BO144/BB144</f>
        <v>7.5702633747103024E-2</v>
      </c>
      <c r="BR144" s="67"/>
      <c r="BS144" s="86"/>
      <c r="BT144" s="184"/>
      <c r="BU144" s="1"/>
      <c r="BV144" s="61">
        <f t="shared" si="53"/>
        <v>135</v>
      </c>
    </row>
    <row r="145" spans="2:84" x14ac:dyDescent="0.3">
      <c r="B145" s="391">
        <f t="shared" si="52"/>
        <v>44045</v>
      </c>
      <c r="C145" s="61"/>
      <c r="D145" s="17">
        <v>49038</v>
      </c>
      <c r="E145" s="16"/>
      <c r="F145" s="16"/>
      <c r="G145" s="16"/>
      <c r="H145" s="16">
        <f t="shared" ref="H145" si="447">+H144+D145</f>
        <v>4812291</v>
      </c>
      <c r="I145" s="16"/>
      <c r="J145" s="480">
        <f t="shared" ref="J145" si="448">+D145/H144</f>
        <v>1.0295065158201758E-2</v>
      </c>
      <c r="K145" s="16"/>
      <c r="L145" s="16"/>
      <c r="M145" s="16"/>
      <c r="N145" s="16">
        <f t="shared" ref="N145" si="449">+H145/BV145</f>
        <v>35384.492647058825</v>
      </c>
      <c r="O145" s="41"/>
      <c r="P145" s="17">
        <f t="shared" ref="P145" si="450">SUM(D139:D145)</f>
        <v>440452</v>
      </c>
      <c r="Q145" s="16"/>
      <c r="R145" s="60">
        <f t="shared" ref="R145" si="451">+(P145-P138)/P138</f>
        <v>-6.9380441970973344E-2</v>
      </c>
      <c r="S145" s="16"/>
      <c r="T145" s="41"/>
      <c r="U145" s="10">
        <f t="shared" si="343"/>
        <v>37</v>
      </c>
      <c r="V145" s="34">
        <v>467</v>
      </c>
      <c r="W145" s="33"/>
      <c r="X145" s="33"/>
      <c r="Y145" s="33"/>
      <c r="Z145" s="33">
        <f t="shared" ref="Z145" si="452">+Z144+V145</f>
        <v>157691</v>
      </c>
      <c r="AA145" s="33"/>
      <c r="AB145" s="46">
        <f t="shared" ref="AB145" si="453">+Z145/H145</f>
        <v>3.276838412307153E-2</v>
      </c>
      <c r="AC145" s="33"/>
      <c r="AD145" s="33">
        <f t="shared" ref="AD145" si="454">+Z145/BV145</f>
        <v>1159.4926470588234</v>
      </c>
      <c r="AE145" s="50"/>
      <c r="AF145" s="33">
        <f t="shared" ref="AF145" si="455">SUM(V139:V145)</f>
        <v>7843</v>
      </c>
      <c r="AG145" s="33">
        <f t="shared" si="301"/>
        <v>3011693</v>
      </c>
      <c r="AH145" s="232">
        <f t="shared" ref="AH145" si="456">+(AF145-AF138)/AF138</f>
        <v>0.1919452887537994</v>
      </c>
      <c r="AI145" s="50"/>
      <c r="AJ145" s="10"/>
      <c r="AK145" s="23">
        <f t="shared" ref="AK145" si="457">+AO145-AO144</f>
        <v>17314</v>
      </c>
      <c r="AL145" s="24"/>
      <c r="AM145" s="24"/>
      <c r="AN145" s="24">
        <v>178263</v>
      </c>
      <c r="AO145" s="24">
        <v>2380217</v>
      </c>
      <c r="AP145" s="24"/>
      <c r="AQ145" s="505">
        <f t="shared" ref="AQ145" si="458">+AK145/AO144</f>
        <v>7.327427321392372E-3</v>
      </c>
      <c r="AR145" s="25"/>
      <c r="AS145" s="25"/>
      <c r="AT145" s="24"/>
      <c r="AU145" s="342">
        <f t="shared" ref="AU145" si="459">+AO145/H145</f>
        <v>0.4946120257482351</v>
      </c>
      <c r="AV145" s="342"/>
      <c r="AW145" s="24">
        <f t="shared" ref="AW145" si="460">+AO145/BV145</f>
        <v>17501.595588235294</v>
      </c>
      <c r="AX145" s="352"/>
      <c r="AY145" s="10"/>
      <c r="AZ145" s="66">
        <f t="shared" ref="AZ145" si="461">+BB145-BB144</f>
        <v>698375</v>
      </c>
      <c r="BA145" s="67"/>
      <c r="BB145" s="67">
        <v>59925284</v>
      </c>
      <c r="BC145" s="67"/>
      <c r="BD145" s="67">
        <f t="shared" ref="BD145" si="462">+D145</f>
        <v>49038</v>
      </c>
      <c r="BE145" s="67"/>
      <c r="BF145" s="157">
        <f t="shared" ref="BF145" si="463">+BD145/AZ145</f>
        <v>7.0217290137819938E-2</v>
      </c>
      <c r="BG145" s="67"/>
      <c r="BH145" s="184"/>
      <c r="BI145" s="67"/>
      <c r="BJ145" s="67">
        <f t="shared" ref="BJ145" si="464">SUM(AZ139:AZ145)</f>
        <v>5705709</v>
      </c>
      <c r="BK145" s="67"/>
      <c r="BL145" s="157">
        <f t="shared" ref="BL145" si="465">+P145/BJ145</f>
        <v>7.7194963851118237E-2</v>
      </c>
      <c r="BM145" s="66">
        <f t="shared" ref="BM145" si="466">+BB145/BV145</f>
        <v>440627.0882352941</v>
      </c>
      <c r="BN145" s="67"/>
      <c r="BO145" s="67">
        <f t="shared" ref="BO145" si="467">+BO144+BD145</f>
        <v>4532671</v>
      </c>
      <c r="BP145" s="67"/>
      <c r="BQ145" s="479">
        <f t="shared" ref="BQ145" si="468">+BO145/BB145</f>
        <v>7.5638707027237448E-2</v>
      </c>
      <c r="BR145" s="67"/>
      <c r="BS145" s="86"/>
      <c r="BT145" s="184"/>
      <c r="BU145" s="1"/>
      <c r="BV145" s="61">
        <f t="shared" si="53"/>
        <v>136</v>
      </c>
    </row>
    <row r="146" spans="2:84" x14ac:dyDescent="0.3">
      <c r="B146" s="172">
        <f t="shared" si="52"/>
        <v>44046</v>
      </c>
      <c r="C146" s="61"/>
      <c r="D146" s="17">
        <v>48622</v>
      </c>
      <c r="E146" s="16"/>
      <c r="F146" s="16"/>
      <c r="G146" s="16"/>
      <c r="H146" s="16">
        <f t="shared" ref="H146" si="469">+H145+D146</f>
        <v>4860913</v>
      </c>
      <c r="I146" s="16"/>
      <c r="J146" s="480">
        <f t="shared" ref="J146" si="470">+D146/H145</f>
        <v>1.0103711517030038E-2</v>
      </c>
      <c r="K146" s="16"/>
      <c r="L146" s="16"/>
      <c r="M146" s="16"/>
      <c r="N146" s="16">
        <f t="shared" ref="N146" si="471">+H146/BV146</f>
        <v>35481.116788321167</v>
      </c>
      <c r="O146" s="41"/>
      <c r="P146" s="17">
        <f t="shared" ref="P146" si="472">SUM(D140:D146)</f>
        <v>427503</v>
      </c>
      <c r="Q146" s="16"/>
      <c r="R146" s="60">
        <f t="shared" ref="R146" si="473">+(P146-P139)/P139</f>
        <v>-9.4236844279748544E-2</v>
      </c>
      <c r="S146" s="16"/>
      <c r="T146" s="41"/>
      <c r="U146" s="10">
        <f t="shared" si="343"/>
        <v>38</v>
      </c>
      <c r="V146" s="34">
        <v>568</v>
      </c>
      <c r="W146" s="33"/>
      <c r="X146" s="33"/>
      <c r="Y146" s="33"/>
      <c r="Z146" s="33">
        <f t="shared" ref="Z146" si="474">+Z145+V146</f>
        <v>158259</v>
      </c>
      <c r="AA146" s="33"/>
      <c r="AB146" s="46">
        <f t="shared" ref="AB146" si="475">+Z146/H146</f>
        <v>3.255746399904709E-2</v>
      </c>
      <c r="AC146" s="33"/>
      <c r="AD146" s="33">
        <f t="shared" ref="AD146" si="476">+Z146/BV146</f>
        <v>1155.1751824817518</v>
      </c>
      <c r="AE146" s="50"/>
      <c r="AF146" s="33">
        <f t="shared" ref="AF146" si="477">SUM(V140:V146)</f>
        <v>7815</v>
      </c>
      <c r="AG146" s="33">
        <f t="shared" si="301"/>
        <v>2965109</v>
      </c>
      <c r="AH146" s="232">
        <f t="shared" ref="AH146" si="478">+(AF146-AF139)/AF139</f>
        <v>0.17855527069823557</v>
      </c>
      <c r="AI146" s="50"/>
      <c r="AJ146" s="10"/>
      <c r="AK146" s="23">
        <f t="shared" ref="AK146" si="479">+AO146-AO145</f>
        <v>66581</v>
      </c>
      <c r="AL146" s="24"/>
      <c r="AM146" s="24"/>
      <c r="AN146" s="24">
        <v>178263</v>
      </c>
      <c r="AO146" s="24">
        <v>2446798</v>
      </c>
      <c r="AP146" s="24"/>
      <c r="AQ146" s="505">
        <f t="shared" ref="AQ146" si="480">+AK146/AO145</f>
        <v>2.7972659635655067E-2</v>
      </c>
      <c r="AR146" s="25"/>
      <c r="AS146" s="25"/>
      <c r="AT146" s="24"/>
      <c r="AU146" s="342">
        <f t="shared" ref="AU146" si="481">+AO146/H146</f>
        <v>0.50336181700845084</v>
      </c>
      <c r="AV146" s="342"/>
      <c r="AW146" s="24">
        <f t="shared" ref="AW146" si="482">+AO146/BV146</f>
        <v>17859.839416058396</v>
      </c>
      <c r="AX146" s="352"/>
      <c r="AY146" s="10"/>
      <c r="AZ146" s="66">
        <f t="shared" ref="AZ146" si="483">+BB146-BB145</f>
        <v>1012257</v>
      </c>
      <c r="BA146" s="67"/>
      <c r="BB146" s="67">
        <v>60937541</v>
      </c>
      <c r="BC146" s="67"/>
      <c r="BD146" s="67">
        <f t="shared" ref="BD146" si="484">+D146</f>
        <v>48622</v>
      </c>
      <c r="BE146" s="67"/>
      <c r="BF146" s="157">
        <f t="shared" ref="BF146" si="485">+BD146/AZ146</f>
        <v>4.8033256376592108E-2</v>
      </c>
      <c r="BG146" s="67"/>
      <c r="BH146" s="184"/>
      <c r="BI146" s="67"/>
      <c r="BJ146" s="67">
        <f t="shared" ref="BJ146" si="486">SUM(AZ140:AZ146)</f>
        <v>5919305</v>
      </c>
      <c r="BK146" s="67"/>
      <c r="BL146" s="157">
        <f t="shared" ref="BL146" si="487">+P146/BJ146</f>
        <v>7.2221823339057536E-2</v>
      </c>
      <c r="BM146" s="66">
        <f t="shared" ref="BM146" si="488">+BB146/BV146</f>
        <v>444799.56934306567</v>
      </c>
      <c r="BN146" s="67"/>
      <c r="BO146" s="67">
        <f t="shared" ref="BO146" si="489">+BO145+BD146</f>
        <v>4581293</v>
      </c>
      <c r="BP146" s="67"/>
      <c r="BQ146" s="479">
        <f t="shared" ref="BQ146" si="490">+BO146/BB146</f>
        <v>7.5180142237770961E-2</v>
      </c>
      <c r="BR146" s="67"/>
      <c r="BS146" s="86"/>
      <c r="BT146" s="184"/>
      <c r="BU146" s="1"/>
      <c r="BV146" s="61">
        <f t="shared" si="53"/>
        <v>137</v>
      </c>
    </row>
    <row r="147" spans="2:84" x14ac:dyDescent="0.3">
      <c r="B147" s="172">
        <f t="shared" si="52"/>
        <v>44047</v>
      </c>
      <c r="C147" s="61"/>
      <c r="D147" s="17"/>
      <c r="E147" s="16"/>
      <c r="F147" s="16"/>
      <c r="G147" s="16"/>
      <c r="H147" s="16"/>
      <c r="I147" s="16"/>
      <c r="J147" s="480"/>
      <c r="K147" s="16"/>
      <c r="L147" s="16"/>
      <c r="M147" s="16"/>
      <c r="N147" s="16"/>
      <c r="O147" s="41"/>
      <c r="P147" s="17"/>
      <c r="Q147" s="16"/>
      <c r="R147" s="60"/>
      <c r="S147" s="16"/>
      <c r="T147" s="41"/>
      <c r="U147" s="10"/>
      <c r="V147" s="34"/>
      <c r="W147" s="33"/>
      <c r="X147" s="33"/>
      <c r="Y147" s="33"/>
      <c r="Z147" s="33"/>
      <c r="AA147" s="33"/>
      <c r="AB147" s="46"/>
      <c r="AC147" s="33"/>
      <c r="AD147" s="33"/>
      <c r="AE147" s="50"/>
      <c r="AF147" s="33"/>
      <c r="AG147" s="33"/>
      <c r="AH147" s="232"/>
      <c r="AI147" s="50"/>
      <c r="AJ147" s="10"/>
      <c r="AK147" s="23"/>
      <c r="AL147" s="24"/>
      <c r="AM147" s="24"/>
      <c r="AN147" s="24"/>
      <c r="AO147" s="24"/>
      <c r="AP147" s="24"/>
      <c r="AQ147" s="505"/>
      <c r="AR147" s="25"/>
      <c r="AS147" s="25"/>
      <c r="AT147" s="24"/>
      <c r="AU147" s="342"/>
      <c r="AV147" s="342"/>
      <c r="AW147" s="24"/>
      <c r="AX147" s="352"/>
      <c r="AY147" s="10"/>
      <c r="AZ147" s="66"/>
      <c r="BA147" s="67"/>
      <c r="BB147" s="67"/>
      <c r="BC147" s="67"/>
      <c r="BD147" s="67"/>
      <c r="BE147" s="67"/>
      <c r="BF147" s="157"/>
      <c r="BG147" s="67"/>
      <c r="BH147" s="184"/>
      <c r="BI147" s="67"/>
      <c r="BJ147" s="67"/>
      <c r="BK147" s="67"/>
      <c r="BL147" s="157"/>
      <c r="BM147" s="66"/>
      <c r="BN147" s="67"/>
      <c r="BO147" s="67"/>
      <c r="BP147" s="67"/>
      <c r="BQ147" s="479"/>
      <c r="BR147" s="67"/>
      <c r="BS147" s="86"/>
      <c r="BT147" s="184"/>
      <c r="BU147" s="1"/>
      <c r="BV147" s="61">
        <f t="shared" si="53"/>
        <v>138</v>
      </c>
    </row>
    <row r="148" spans="2:84" x14ac:dyDescent="0.3">
      <c r="B148" s="172">
        <f t="shared" si="52"/>
        <v>44048</v>
      </c>
      <c r="C148" s="61"/>
      <c r="D148" s="17"/>
      <c r="E148" s="16"/>
      <c r="F148" s="16"/>
      <c r="G148" s="16"/>
      <c r="H148" s="16"/>
      <c r="I148" s="16"/>
      <c r="J148" s="480"/>
      <c r="K148" s="16"/>
      <c r="L148" s="16"/>
      <c r="M148" s="16"/>
      <c r="N148" s="16"/>
      <c r="O148" s="41"/>
      <c r="P148" s="17"/>
      <c r="Q148" s="16"/>
      <c r="R148" s="60"/>
      <c r="S148" s="16"/>
      <c r="T148" s="41"/>
      <c r="U148" s="10"/>
      <c r="V148" s="34"/>
      <c r="W148" s="33"/>
      <c r="X148" s="33"/>
      <c r="Y148" s="33"/>
      <c r="Z148" s="33"/>
      <c r="AA148" s="33"/>
      <c r="AB148" s="46"/>
      <c r="AC148" s="33"/>
      <c r="AD148" s="33"/>
      <c r="AE148" s="50"/>
      <c r="AF148" s="33"/>
      <c r="AG148" s="33"/>
      <c r="AH148" s="232"/>
      <c r="AI148" s="50"/>
      <c r="AJ148" s="10"/>
      <c r="AK148" s="23"/>
      <c r="AL148" s="24"/>
      <c r="AM148" s="24"/>
      <c r="AN148" s="24"/>
      <c r="AO148" s="24"/>
      <c r="AP148" s="24"/>
      <c r="AQ148" s="505"/>
      <c r="AR148" s="25"/>
      <c r="AS148" s="25"/>
      <c r="AT148" s="24"/>
      <c r="AU148" s="342"/>
      <c r="AV148" s="342"/>
      <c r="AW148" s="24"/>
      <c r="AX148" s="352"/>
      <c r="AY148" s="10"/>
      <c r="AZ148" s="66"/>
      <c r="BA148" s="67"/>
      <c r="BB148" s="67"/>
      <c r="BC148" s="67"/>
      <c r="BD148" s="67"/>
      <c r="BE148" s="67"/>
      <c r="BF148" s="157"/>
      <c r="BG148" s="67"/>
      <c r="BH148" s="184"/>
      <c r="BI148" s="67"/>
      <c r="BJ148" s="67"/>
      <c r="BK148" s="67"/>
      <c r="BL148" s="157"/>
      <c r="BM148" s="66"/>
      <c r="BN148" s="67"/>
      <c r="BO148" s="67"/>
      <c r="BP148" s="67"/>
      <c r="BQ148" s="479"/>
      <c r="BR148" s="67"/>
      <c r="BS148" s="86"/>
      <c r="BT148" s="184"/>
      <c r="BU148" s="1"/>
      <c r="BV148" s="61">
        <f t="shared" si="53"/>
        <v>139</v>
      </c>
    </row>
    <row r="149" spans="2:84" x14ac:dyDescent="0.3">
      <c r="B149" s="172">
        <f t="shared" si="52"/>
        <v>44049</v>
      </c>
      <c r="C149" s="61"/>
      <c r="D149" s="17"/>
      <c r="E149" s="16"/>
      <c r="F149" s="16"/>
      <c r="G149" s="16"/>
      <c r="H149" s="16"/>
      <c r="I149" s="16"/>
      <c r="J149" s="480"/>
      <c r="K149" s="16"/>
      <c r="L149" s="16"/>
      <c r="M149" s="16"/>
      <c r="N149" s="16"/>
      <c r="O149" s="41"/>
      <c r="P149" s="17"/>
      <c r="Q149" s="16"/>
      <c r="R149" s="60"/>
      <c r="S149" s="16"/>
      <c r="T149" s="41"/>
      <c r="U149" s="10"/>
      <c r="V149" s="34"/>
      <c r="W149" s="33"/>
      <c r="X149" s="33"/>
      <c r="Y149" s="33"/>
      <c r="Z149" s="33"/>
      <c r="AA149" s="33"/>
      <c r="AB149" s="46"/>
      <c r="AC149" s="33"/>
      <c r="AD149" s="33"/>
      <c r="AE149" s="50"/>
      <c r="AF149" s="33"/>
      <c r="AG149" s="33"/>
      <c r="AH149" s="232"/>
      <c r="AI149" s="50"/>
      <c r="AJ149" s="10"/>
      <c r="AK149" s="23"/>
      <c r="AL149" s="24"/>
      <c r="AM149" s="24"/>
      <c r="AN149" s="24"/>
      <c r="AO149" s="24"/>
      <c r="AP149" s="24"/>
      <c r="AQ149" s="505"/>
      <c r="AR149" s="25"/>
      <c r="AS149" s="25"/>
      <c r="AT149" s="24"/>
      <c r="AU149" s="342"/>
      <c r="AV149" s="342"/>
      <c r="AW149" s="24"/>
      <c r="AX149" s="352"/>
      <c r="AY149" s="10"/>
      <c r="AZ149" s="66"/>
      <c r="BA149" s="67"/>
      <c r="BB149" s="67"/>
      <c r="BC149" s="67"/>
      <c r="BD149" s="67"/>
      <c r="BE149" s="67"/>
      <c r="BF149" s="157"/>
      <c r="BG149" s="67"/>
      <c r="BH149" s="184"/>
      <c r="BI149" s="67"/>
      <c r="BJ149" s="67"/>
      <c r="BK149" s="67"/>
      <c r="BL149" s="157"/>
      <c r="BM149" s="66"/>
      <c r="BN149" s="67"/>
      <c r="BO149" s="67"/>
      <c r="BP149" s="67"/>
      <c r="BQ149" s="479"/>
      <c r="BR149" s="67"/>
      <c r="BS149" s="86"/>
      <c r="BT149" s="184"/>
      <c r="BU149" s="1"/>
      <c r="BV149" s="61">
        <f t="shared" si="53"/>
        <v>140</v>
      </c>
    </row>
    <row r="150" spans="2:84" x14ac:dyDescent="0.3">
      <c r="B150" s="172">
        <f t="shared" si="52"/>
        <v>44050</v>
      </c>
      <c r="C150" s="61"/>
      <c r="D150" s="17"/>
      <c r="E150" s="16"/>
      <c r="F150" s="16"/>
      <c r="G150" s="16"/>
      <c r="H150" s="16"/>
      <c r="I150" s="16"/>
      <c r="J150" s="480"/>
      <c r="K150" s="16"/>
      <c r="L150" s="16"/>
      <c r="M150" s="16"/>
      <c r="N150" s="16"/>
      <c r="O150" s="41"/>
      <c r="P150" s="17"/>
      <c r="Q150" s="16"/>
      <c r="R150" s="60"/>
      <c r="S150" s="16"/>
      <c r="T150" s="41"/>
      <c r="U150" s="10"/>
      <c r="V150" s="34"/>
      <c r="W150" s="33"/>
      <c r="X150" s="33"/>
      <c r="Y150" s="33"/>
      <c r="Z150" s="33"/>
      <c r="AA150" s="33"/>
      <c r="AB150" s="46"/>
      <c r="AC150" s="33"/>
      <c r="AD150" s="33"/>
      <c r="AE150" s="50"/>
      <c r="AF150" s="33"/>
      <c r="AG150" s="33"/>
      <c r="AH150" s="232"/>
      <c r="AI150" s="50"/>
      <c r="AJ150" s="10"/>
      <c r="AK150" s="23"/>
      <c r="AL150" s="24"/>
      <c r="AM150" s="24"/>
      <c r="AN150" s="24"/>
      <c r="AO150" s="24"/>
      <c r="AP150" s="24"/>
      <c r="AQ150" s="505"/>
      <c r="AR150" s="25"/>
      <c r="AS150" s="25"/>
      <c r="AT150" s="24"/>
      <c r="AU150" s="342"/>
      <c r="AV150" s="342"/>
      <c r="AW150" s="24"/>
      <c r="AX150" s="352"/>
      <c r="AY150" s="10"/>
      <c r="AZ150" s="66"/>
      <c r="BA150" s="67"/>
      <c r="BB150" s="67"/>
      <c r="BC150" s="67"/>
      <c r="BD150" s="67"/>
      <c r="BE150" s="67"/>
      <c r="BF150" s="157"/>
      <c r="BG150" s="67"/>
      <c r="BH150" s="184"/>
      <c r="BI150" s="67"/>
      <c r="BJ150" s="67"/>
      <c r="BK150" s="67"/>
      <c r="BL150" s="157"/>
      <c r="BM150" s="66"/>
      <c r="BN150" s="67"/>
      <c r="BO150" s="67"/>
      <c r="BP150" s="67"/>
      <c r="BQ150" s="479"/>
      <c r="BR150" s="67"/>
      <c r="BS150" s="86"/>
      <c r="BT150" s="184"/>
      <c r="BU150" s="1"/>
      <c r="BV150" s="61">
        <f t="shared" si="53"/>
        <v>141</v>
      </c>
    </row>
    <row r="151" spans="2:84" x14ac:dyDescent="0.3">
      <c r="B151" s="172">
        <f t="shared" si="52"/>
        <v>44051</v>
      </c>
      <c r="C151" s="61"/>
      <c r="D151" s="17"/>
      <c r="E151" s="16"/>
      <c r="F151" s="16"/>
      <c r="G151" s="16"/>
      <c r="H151" s="543"/>
      <c r="I151" s="16"/>
      <c r="J151" s="38"/>
      <c r="K151" s="16"/>
      <c r="L151" s="16"/>
      <c r="M151" s="16"/>
      <c r="N151" s="16"/>
      <c r="O151" s="41"/>
      <c r="P151" s="454"/>
      <c r="Q151" s="16"/>
      <c r="R151" s="60"/>
      <c r="S151" s="16"/>
      <c r="T151" s="41"/>
      <c r="U151" s="10"/>
      <c r="V151" s="34"/>
      <c r="W151" s="33"/>
      <c r="X151" s="33"/>
      <c r="Y151" s="33"/>
      <c r="Z151" s="542"/>
      <c r="AA151" s="33"/>
      <c r="AB151" s="46"/>
      <c r="AC151" s="33"/>
      <c r="AD151" s="33"/>
      <c r="AE151" s="50"/>
      <c r="AF151" s="542"/>
      <c r="AG151" s="33"/>
      <c r="AH151" s="232"/>
      <c r="AI151" s="50"/>
      <c r="AJ151" s="10"/>
      <c r="AK151" s="23"/>
      <c r="AL151" s="24"/>
      <c r="AM151" s="24"/>
      <c r="AN151" s="24"/>
      <c r="AO151" s="24"/>
      <c r="AP151" s="24"/>
      <c r="AQ151" s="25"/>
      <c r="AR151" s="25"/>
      <c r="AS151" s="25"/>
      <c r="AT151" s="24"/>
      <c r="AU151" s="342"/>
      <c r="AV151" s="342"/>
      <c r="AW151" s="24"/>
      <c r="AX151" s="352"/>
      <c r="AY151" s="10"/>
      <c r="AZ151" s="66"/>
      <c r="BA151" s="67"/>
      <c r="BB151" s="67"/>
      <c r="BC151" s="67"/>
      <c r="BD151" s="67"/>
      <c r="BE151" s="67"/>
      <c r="BF151" s="157"/>
      <c r="BG151" s="67"/>
      <c r="BH151" s="184"/>
      <c r="BI151" s="67"/>
      <c r="BJ151" s="67"/>
      <c r="BK151" s="67"/>
      <c r="BL151" s="157"/>
      <c r="BM151" s="66"/>
      <c r="BN151" s="67"/>
      <c r="BO151" s="67"/>
      <c r="BP151" s="67"/>
      <c r="BQ151" s="479"/>
      <c r="BR151" s="67"/>
      <c r="BS151" s="86"/>
      <c r="BT151" s="184"/>
      <c r="BU151" s="1"/>
      <c r="BV151" s="61">
        <f t="shared" si="53"/>
        <v>142</v>
      </c>
    </row>
    <row r="152" spans="2:84" x14ac:dyDescent="0.3">
      <c r="B152" s="172">
        <f t="shared" si="52"/>
        <v>44052</v>
      </c>
      <c r="D152" s="18"/>
      <c r="E152" s="19"/>
      <c r="F152" s="19"/>
      <c r="G152" s="19"/>
      <c r="H152" s="19"/>
      <c r="I152" s="19"/>
      <c r="J152" s="39"/>
      <c r="K152" s="19"/>
      <c r="L152" s="19"/>
      <c r="M152" s="19"/>
      <c r="N152" s="19"/>
      <c r="O152" s="43"/>
      <c r="P152" s="18"/>
      <c r="Q152" s="19"/>
      <c r="R152" s="19"/>
      <c r="S152" s="19"/>
      <c r="T152" s="43"/>
      <c r="U152" s="1"/>
      <c r="V152" s="35"/>
      <c r="W152" s="36"/>
      <c r="X152" s="36"/>
      <c r="Y152" s="36"/>
      <c r="Z152" s="36"/>
      <c r="AA152" s="36"/>
      <c r="AB152" s="47"/>
      <c r="AC152" s="36"/>
      <c r="AD152" s="36"/>
      <c r="AE152" s="51"/>
      <c r="AF152" s="36"/>
      <c r="AG152" s="36"/>
      <c r="AH152" s="36"/>
      <c r="AI152" s="51"/>
      <c r="AJ152" s="1"/>
      <c r="AK152" s="26"/>
      <c r="AL152" s="27"/>
      <c r="AM152" s="27"/>
      <c r="AN152" s="27"/>
      <c r="AO152" s="27"/>
      <c r="AP152" s="27"/>
      <c r="AQ152" s="27"/>
      <c r="AR152" s="27"/>
      <c r="AS152" s="27"/>
      <c r="AT152" s="27"/>
      <c r="AU152" s="344"/>
      <c r="AV152" s="344"/>
      <c r="AW152" s="27"/>
      <c r="AX152" s="351"/>
      <c r="AY152" s="1"/>
      <c r="AZ152" s="68"/>
      <c r="BA152" s="69"/>
      <c r="BB152" s="69"/>
      <c r="BC152" s="69"/>
      <c r="BD152" s="69"/>
      <c r="BE152" s="69"/>
      <c r="BF152" s="69"/>
      <c r="BG152" s="69"/>
      <c r="BH152" s="185"/>
      <c r="BI152" s="69"/>
      <c r="BJ152" s="69"/>
      <c r="BK152" s="69"/>
      <c r="BL152" s="69"/>
      <c r="BM152" s="68"/>
      <c r="BN152" s="69"/>
      <c r="BO152" s="69"/>
      <c r="BP152" s="69"/>
      <c r="BQ152" s="71"/>
      <c r="BR152" s="69"/>
      <c r="BS152" s="69"/>
      <c r="BT152" s="185"/>
      <c r="BU152" s="1"/>
      <c r="BV152" s="61">
        <f t="shared" si="53"/>
        <v>143</v>
      </c>
    </row>
    <row r="153" spans="2:84" x14ac:dyDescent="0.3">
      <c r="B153" s="56"/>
      <c r="D153" s="1"/>
      <c r="E153" s="1"/>
      <c r="F153" s="1"/>
      <c r="G153" s="1"/>
      <c r="H153" s="59"/>
      <c r="I153" s="1"/>
      <c r="J153" s="59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59"/>
      <c r="W153" s="1"/>
      <c r="X153" s="1"/>
      <c r="Y153" s="1"/>
      <c r="Z153" s="1"/>
      <c r="AA153" s="1"/>
      <c r="AB153" s="59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59"/>
      <c r="BC153" s="1"/>
      <c r="BD153" s="59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</row>
    <row r="154" spans="2:84" x14ac:dyDescent="0.3">
      <c r="B154" s="180" t="s">
        <v>82</v>
      </c>
      <c r="D154" s="56">
        <f>+D146</f>
        <v>48622</v>
      </c>
      <c r="E154" s="56">
        <f t="shared" ref="E154:G154" si="491">+E137</f>
        <v>0</v>
      </c>
      <c r="F154" s="56">
        <f t="shared" si="491"/>
        <v>0</v>
      </c>
      <c r="G154" s="56">
        <f t="shared" si="491"/>
        <v>0</v>
      </c>
      <c r="H154" s="56">
        <f t="shared" ref="H154:BO154" si="492">+H146</f>
        <v>4860913</v>
      </c>
      <c r="I154" s="56">
        <f t="shared" si="492"/>
        <v>0</v>
      </c>
      <c r="J154" s="56">
        <f t="shared" si="492"/>
        <v>1.0103711517030038E-2</v>
      </c>
      <c r="K154" s="56">
        <f t="shared" si="492"/>
        <v>0</v>
      </c>
      <c r="L154" s="56">
        <f t="shared" si="492"/>
        <v>0</v>
      </c>
      <c r="M154" s="56">
        <f t="shared" si="492"/>
        <v>0</v>
      </c>
      <c r="N154" s="56">
        <f t="shared" si="492"/>
        <v>35481.116788321167</v>
      </c>
      <c r="O154" s="56">
        <f t="shared" si="492"/>
        <v>0</v>
      </c>
      <c r="P154" s="56">
        <f t="shared" si="492"/>
        <v>427503</v>
      </c>
      <c r="Q154" s="56">
        <f t="shared" si="492"/>
        <v>0</v>
      </c>
      <c r="R154" s="56">
        <f t="shared" si="492"/>
        <v>-9.4236844279748544E-2</v>
      </c>
      <c r="S154" s="56">
        <f t="shared" si="492"/>
        <v>0</v>
      </c>
      <c r="T154" s="56">
        <f t="shared" si="492"/>
        <v>0</v>
      </c>
      <c r="U154" s="56">
        <f t="shared" si="492"/>
        <v>38</v>
      </c>
      <c r="V154" s="56">
        <f t="shared" si="492"/>
        <v>568</v>
      </c>
      <c r="W154" s="56">
        <f t="shared" si="492"/>
        <v>0</v>
      </c>
      <c r="X154" s="56">
        <f t="shared" si="492"/>
        <v>0</v>
      </c>
      <c r="Y154" s="56">
        <f t="shared" si="492"/>
        <v>0</v>
      </c>
      <c r="Z154" s="56">
        <f t="shared" si="492"/>
        <v>158259</v>
      </c>
      <c r="AA154" s="56">
        <f t="shared" si="492"/>
        <v>0</v>
      </c>
      <c r="AB154" s="56">
        <f t="shared" si="492"/>
        <v>3.255746399904709E-2</v>
      </c>
      <c r="AC154" s="56">
        <f t="shared" si="492"/>
        <v>0</v>
      </c>
      <c r="AD154" s="56">
        <f t="shared" si="492"/>
        <v>1155.1751824817518</v>
      </c>
      <c r="AE154" s="56">
        <f t="shared" si="492"/>
        <v>0</v>
      </c>
      <c r="AF154" s="56">
        <f t="shared" si="492"/>
        <v>7815</v>
      </c>
      <c r="AG154" s="56">
        <f t="shared" si="492"/>
        <v>2965109</v>
      </c>
      <c r="AH154" s="56">
        <f t="shared" si="492"/>
        <v>0.17855527069823557</v>
      </c>
      <c r="AI154" s="56">
        <f t="shared" si="492"/>
        <v>0</v>
      </c>
      <c r="AJ154" s="56">
        <f t="shared" si="492"/>
        <v>0</v>
      </c>
      <c r="AK154" s="56">
        <f t="shared" si="492"/>
        <v>66581</v>
      </c>
      <c r="AL154" s="56">
        <f t="shared" si="492"/>
        <v>0</v>
      </c>
      <c r="AM154" s="56">
        <f t="shared" si="492"/>
        <v>0</v>
      </c>
      <c r="AN154" s="56">
        <f t="shared" si="492"/>
        <v>178263</v>
      </c>
      <c r="AO154" s="56">
        <f t="shared" si="492"/>
        <v>2446798</v>
      </c>
      <c r="AP154" s="56">
        <f t="shared" si="492"/>
        <v>0</v>
      </c>
      <c r="AQ154" s="56">
        <f t="shared" si="492"/>
        <v>2.7972659635655067E-2</v>
      </c>
      <c r="AR154" s="56">
        <f t="shared" si="492"/>
        <v>0</v>
      </c>
      <c r="AS154" s="56">
        <f t="shared" si="492"/>
        <v>0</v>
      </c>
      <c r="AT154" s="56">
        <f t="shared" si="492"/>
        <v>0</v>
      </c>
      <c r="AU154" s="56">
        <f t="shared" si="492"/>
        <v>0.50336181700845084</v>
      </c>
      <c r="AV154" s="56">
        <f t="shared" si="492"/>
        <v>0</v>
      </c>
      <c r="AW154" s="56">
        <f t="shared" si="492"/>
        <v>17859.839416058396</v>
      </c>
      <c r="AX154" s="56">
        <f t="shared" si="492"/>
        <v>0</v>
      </c>
      <c r="AY154" s="56">
        <f t="shared" si="492"/>
        <v>0</v>
      </c>
      <c r="AZ154" s="56">
        <f t="shared" si="492"/>
        <v>1012257</v>
      </c>
      <c r="BA154" s="56">
        <f t="shared" si="492"/>
        <v>0</v>
      </c>
      <c r="BB154" s="56">
        <f t="shared" si="492"/>
        <v>60937541</v>
      </c>
      <c r="BC154" s="56">
        <f t="shared" si="492"/>
        <v>0</v>
      </c>
      <c r="BD154" s="56">
        <f t="shared" si="492"/>
        <v>48622</v>
      </c>
      <c r="BE154" s="56">
        <f t="shared" si="492"/>
        <v>0</v>
      </c>
      <c r="BF154" s="56">
        <f t="shared" si="492"/>
        <v>4.8033256376592108E-2</v>
      </c>
      <c r="BG154" s="56">
        <f t="shared" si="492"/>
        <v>0</v>
      </c>
      <c r="BH154" s="56">
        <f t="shared" si="492"/>
        <v>0</v>
      </c>
      <c r="BI154" s="56">
        <f t="shared" si="492"/>
        <v>0</v>
      </c>
      <c r="BJ154" s="56">
        <f t="shared" si="492"/>
        <v>5919305</v>
      </c>
      <c r="BK154" s="56">
        <f t="shared" si="492"/>
        <v>0</v>
      </c>
      <c r="BL154" s="56">
        <f t="shared" si="492"/>
        <v>7.2221823339057536E-2</v>
      </c>
      <c r="BM154" s="56">
        <f t="shared" si="492"/>
        <v>444799.56934306567</v>
      </c>
      <c r="BN154" s="56">
        <f t="shared" si="492"/>
        <v>0</v>
      </c>
      <c r="BO154" s="56">
        <f t="shared" si="492"/>
        <v>4581293</v>
      </c>
      <c r="BP154" s="10"/>
      <c r="BQ154" s="62"/>
      <c r="BR154" s="10"/>
      <c r="BS154" s="10"/>
      <c r="BT154" s="10"/>
      <c r="BU154" s="10"/>
      <c r="BV154" s="161"/>
      <c r="BW154" s="10"/>
      <c r="BX154" s="62"/>
      <c r="BY154" s="10"/>
      <c r="BZ154" s="161"/>
      <c r="CA154" s="61"/>
      <c r="CB154" s="61"/>
      <c r="CC154" s="61"/>
      <c r="CD154" s="61"/>
      <c r="CE154" s="61"/>
      <c r="CF154" s="158"/>
    </row>
    <row r="155" spans="2:84" x14ac:dyDescent="0.3">
      <c r="B155" t="s">
        <v>118</v>
      </c>
      <c r="D155" s="56">
        <f>+D145-D154</f>
        <v>416</v>
      </c>
      <c r="E155" s="56">
        <f>+E137-E154</f>
        <v>0</v>
      </c>
      <c r="F155" s="56">
        <f>+F137-F154</f>
        <v>0</v>
      </c>
      <c r="G155" s="56">
        <f>+G137-G154</f>
        <v>0</v>
      </c>
      <c r="H155" s="56">
        <f t="shared" ref="H155:BO155" si="493">+H145-H154</f>
        <v>-48622</v>
      </c>
      <c r="I155" s="56">
        <f t="shared" si="493"/>
        <v>0</v>
      </c>
      <c r="J155" s="56">
        <f t="shared" si="493"/>
        <v>1.9135364117171989E-4</v>
      </c>
      <c r="K155" s="56">
        <f t="shared" si="493"/>
        <v>0</v>
      </c>
      <c r="L155" s="56">
        <f t="shared" si="493"/>
        <v>0</v>
      </c>
      <c r="M155" s="56">
        <f t="shared" si="493"/>
        <v>0</v>
      </c>
      <c r="N155" s="56">
        <f t="shared" si="493"/>
        <v>-96.624141262342164</v>
      </c>
      <c r="O155" s="56">
        <f t="shared" si="493"/>
        <v>0</v>
      </c>
      <c r="P155" s="56">
        <f t="shared" si="493"/>
        <v>12949</v>
      </c>
      <c r="Q155" s="56">
        <f t="shared" si="493"/>
        <v>0</v>
      </c>
      <c r="R155" s="56">
        <f t="shared" si="493"/>
        <v>2.48564023087752E-2</v>
      </c>
      <c r="S155" s="56">
        <f t="shared" si="493"/>
        <v>0</v>
      </c>
      <c r="T155" s="56">
        <f t="shared" si="493"/>
        <v>0</v>
      </c>
      <c r="U155" s="56">
        <f t="shared" si="493"/>
        <v>-1</v>
      </c>
      <c r="V155" s="56">
        <f t="shared" si="493"/>
        <v>-101</v>
      </c>
      <c r="W155" s="56">
        <f t="shared" si="493"/>
        <v>0</v>
      </c>
      <c r="X155" s="56">
        <f t="shared" si="493"/>
        <v>0</v>
      </c>
      <c r="Y155" s="56">
        <f t="shared" si="493"/>
        <v>0</v>
      </c>
      <c r="Z155" s="56">
        <f t="shared" si="493"/>
        <v>-568</v>
      </c>
      <c r="AA155" s="56">
        <f t="shared" si="493"/>
        <v>0</v>
      </c>
      <c r="AB155" s="56">
        <f t="shared" si="493"/>
        <v>2.1092012402443988E-4</v>
      </c>
      <c r="AC155" s="56">
        <f t="shared" si="493"/>
        <v>0</v>
      </c>
      <c r="AD155" s="56">
        <f t="shared" si="493"/>
        <v>4.3174645770716324</v>
      </c>
      <c r="AE155" s="56">
        <f t="shared" si="493"/>
        <v>0</v>
      </c>
      <c r="AF155" s="56">
        <f t="shared" si="493"/>
        <v>28</v>
      </c>
      <c r="AG155" s="56">
        <f t="shared" si="493"/>
        <v>46584</v>
      </c>
      <c r="AH155" s="56">
        <f t="shared" si="493"/>
        <v>1.3390018055563835E-2</v>
      </c>
      <c r="AI155" s="56">
        <f t="shared" si="493"/>
        <v>0</v>
      </c>
      <c r="AJ155" s="56">
        <f t="shared" si="493"/>
        <v>0</v>
      </c>
      <c r="AK155" s="56">
        <f t="shared" si="493"/>
        <v>-49267</v>
      </c>
      <c r="AL155" s="56">
        <f t="shared" si="493"/>
        <v>0</v>
      </c>
      <c r="AM155" s="56">
        <f t="shared" si="493"/>
        <v>0</v>
      </c>
      <c r="AN155" s="56">
        <f t="shared" si="493"/>
        <v>0</v>
      </c>
      <c r="AO155" s="56">
        <f t="shared" si="493"/>
        <v>-66581</v>
      </c>
      <c r="AP155" s="56">
        <f t="shared" si="493"/>
        <v>0</v>
      </c>
      <c r="AQ155" s="56">
        <f t="shared" si="493"/>
        <v>-2.0645232314262695E-2</v>
      </c>
      <c r="AR155" s="56">
        <f t="shared" si="493"/>
        <v>0</v>
      </c>
      <c r="AS155" s="56">
        <f t="shared" si="493"/>
        <v>0</v>
      </c>
      <c r="AT155" s="56">
        <f t="shared" si="493"/>
        <v>0</v>
      </c>
      <c r="AU155" s="56">
        <f t="shared" si="493"/>
        <v>-8.7497912602157446E-3</v>
      </c>
      <c r="AV155" s="56">
        <f t="shared" si="493"/>
        <v>0</v>
      </c>
      <c r="AW155" s="56">
        <f t="shared" si="493"/>
        <v>-358.24382782310204</v>
      </c>
      <c r="AX155" s="56">
        <f t="shared" si="493"/>
        <v>0</v>
      </c>
      <c r="AY155" s="56">
        <f t="shared" si="493"/>
        <v>0</v>
      </c>
      <c r="AZ155" s="56">
        <f t="shared" si="493"/>
        <v>-313882</v>
      </c>
      <c r="BA155" s="56">
        <f t="shared" si="493"/>
        <v>0</v>
      </c>
      <c r="BB155" s="56">
        <f t="shared" si="493"/>
        <v>-1012257</v>
      </c>
      <c r="BC155" s="56">
        <f t="shared" si="493"/>
        <v>0</v>
      </c>
      <c r="BD155" s="56">
        <f t="shared" si="493"/>
        <v>416</v>
      </c>
      <c r="BE155" s="56">
        <f t="shared" si="493"/>
        <v>0</v>
      </c>
      <c r="BF155" s="56">
        <f t="shared" si="493"/>
        <v>2.218403376122783E-2</v>
      </c>
      <c r="BG155" s="56">
        <f t="shared" si="493"/>
        <v>0</v>
      </c>
      <c r="BH155" s="56">
        <f t="shared" si="493"/>
        <v>0</v>
      </c>
      <c r="BI155" s="56">
        <f t="shared" si="493"/>
        <v>0</v>
      </c>
      <c r="BJ155" s="56">
        <f t="shared" si="493"/>
        <v>-213596</v>
      </c>
      <c r="BK155" s="56">
        <f t="shared" si="493"/>
        <v>0</v>
      </c>
      <c r="BL155" s="56">
        <f t="shared" si="493"/>
        <v>4.9731405120607003E-3</v>
      </c>
      <c r="BM155" s="56">
        <f t="shared" si="493"/>
        <v>-4172.4811077715713</v>
      </c>
      <c r="BN155" s="56">
        <f t="shared" si="493"/>
        <v>0</v>
      </c>
      <c r="BO155" s="56">
        <f t="shared" si="493"/>
        <v>-48622</v>
      </c>
      <c r="BP155" s="10"/>
      <c r="BQ155" s="10"/>
      <c r="BR155" s="10"/>
      <c r="BS155" s="10"/>
      <c r="BT155" s="10"/>
      <c r="BU155" s="10"/>
      <c r="BV155" s="62"/>
      <c r="BW155" s="10"/>
      <c r="BX155" s="10"/>
      <c r="BY155" s="10"/>
      <c r="BZ155" s="62"/>
      <c r="CA155" s="61"/>
      <c r="CB155" s="61"/>
      <c r="CC155" s="61"/>
      <c r="CD155" s="61"/>
      <c r="CE155" s="61"/>
      <c r="CF155" s="117"/>
    </row>
    <row r="156" spans="2:84" x14ac:dyDescent="0.3">
      <c r="N156" s="59"/>
      <c r="Z156" s="56"/>
      <c r="AB156" s="59"/>
      <c r="AD156" s="274"/>
      <c r="AZ156" s="59"/>
      <c r="BF156" s="59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61"/>
      <c r="CB156" s="117"/>
      <c r="CC156" s="117"/>
      <c r="CD156" s="117"/>
      <c r="CE156" s="117"/>
    </row>
    <row r="157" spans="2:84" x14ac:dyDescent="0.3">
      <c r="D157" s="56"/>
      <c r="H157" s="1"/>
      <c r="J157" t="s">
        <v>157</v>
      </c>
      <c r="N157" s="59"/>
      <c r="V157" s="56"/>
      <c r="Z157" s="55"/>
      <c r="AZ157" s="59"/>
      <c r="BB157" s="56"/>
      <c r="BD157" s="59"/>
      <c r="BI157" s="61"/>
      <c r="BJ157" s="62">
        <f>+BJ155/BJ82</f>
        <v>-7.3078964052071788E-2</v>
      </c>
      <c r="BK157" s="61"/>
      <c r="BL157" s="61"/>
      <c r="BM157" s="61"/>
      <c r="BN157" s="61"/>
      <c r="BO157" s="61"/>
      <c r="BP157" s="61"/>
      <c r="BQ157" s="61"/>
      <c r="BR157" s="10"/>
      <c r="BS157" s="10"/>
    </row>
    <row r="158" spans="2:84" x14ac:dyDescent="0.3">
      <c r="H158" s="56"/>
      <c r="V158" s="56"/>
      <c r="Z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BG158" s="108"/>
      <c r="BH158" s="108"/>
      <c r="BI158" s="108"/>
      <c r="BJ158" s="538">
        <f>+BJ54</f>
        <v>1726276</v>
      </c>
      <c r="BK158" s="108"/>
      <c r="BL158" s="108"/>
      <c r="BM158" s="108"/>
      <c r="BN158" s="108"/>
      <c r="BO158" s="108"/>
      <c r="BP158" s="108"/>
      <c r="BQ158" s="90"/>
      <c r="BR158" s="1"/>
      <c r="BS158" s="1"/>
    </row>
    <row r="159" spans="2:84" x14ac:dyDescent="0.3">
      <c r="D159" s="1"/>
      <c r="E159" s="123" t="s">
        <v>28</v>
      </c>
      <c r="F159" s="124"/>
      <c r="H159" s="124" t="s">
        <v>67</v>
      </c>
      <c r="I159" s="116"/>
      <c r="J159" s="116"/>
      <c r="K159" s="61"/>
      <c r="L159" s="10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BG159" s="108"/>
      <c r="BH159" s="108"/>
      <c r="BI159" s="108"/>
      <c r="BJ159" s="539"/>
      <c r="BK159" s="108"/>
      <c r="BL159" s="108"/>
      <c r="BM159" s="108"/>
      <c r="BN159" s="108"/>
      <c r="BO159" s="108"/>
      <c r="BP159" s="108"/>
      <c r="BQ159" s="90"/>
      <c r="BR159" s="1"/>
      <c r="BS159" s="1"/>
    </row>
    <row r="160" spans="2:84" x14ac:dyDescent="0.3">
      <c r="D160" s="1"/>
      <c r="E160" s="123" t="s">
        <v>40</v>
      </c>
      <c r="F160" s="124"/>
      <c r="H160" s="124" t="s">
        <v>42</v>
      </c>
      <c r="I160" s="10"/>
      <c r="J160" s="10"/>
      <c r="K160" s="61"/>
      <c r="L160" s="10"/>
      <c r="AC160" s="1"/>
      <c r="AD160" s="1"/>
      <c r="AE160" s="1"/>
      <c r="AF160" s="1"/>
      <c r="AG160" s="1"/>
      <c r="AH160" s="1"/>
      <c r="AI160" s="1"/>
      <c r="AJ160" s="1"/>
      <c r="AK160" s="1" t="s">
        <v>17</v>
      </c>
      <c r="AL160" s="1"/>
      <c r="AM160" s="1"/>
      <c r="AN160" s="1"/>
      <c r="BG160" s="109"/>
      <c r="BH160" s="109"/>
      <c r="BI160" s="109"/>
      <c r="BJ160" s="538">
        <f>+BJ154-BJ158</f>
        <v>4193029</v>
      </c>
      <c r="BK160" s="109"/>
      <c r="BL160" s="109"/>
      <c r="BM160" s="109"/>
      <c r="BN160" s="109"/>
      <c r="BO160" s="109"/>
      <c r="BP160" s="109"/>
      <c r="BQ160" s="90"/>
      <c r="BR160" s="1"/>
      <c r="BS160" s="1"/>
    </row>
    <row r="161" spans="2:71" x14ac:dyDescent="0.3">
      <c r="D161" s="1"/>
      <c r="E161" s="123" t="s">
        <v>47</v>
      </c>
      <c r="F161" s="124"/>
      <c r="H161" s="124" t="s">
        <v>57</v>
      </c>
      <c r="I161" s="10"/>
      <c r="J161" s="10"/>
      <c r="K161" s="61"/>
      <c r="L161" s="10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BG161" s="109"/>
      <c r="BH161" s="109"/>
      <c r="BI161" s="109"/>
      <c r="BJ161" s="538"/>
      <c r="BK161" s="109"/>
      <c r="BL161" s="109"/>
      <c r="BM161" s="109"/>
      <c r="BN161" s="109"/>
      <c r="BO161" s="109"/>
      <c r="BP161" s="109"/>
      <c r="BQ161" s="90"/>
      <c r="BR161" s="1"/>
      <c r="BS161" s="1"/>
    </row>
    <row r="162" spans="2:71" x14ac:dyDescent="0.3">
      <c r="D162" s="1"/>
      <c r="E162" s="123" t="s">
        <v>68</v>
      </c>
      <c r="F162" s="61"/>
      <c r="H162" s="93" t="s">
        <v>149</v>
      </c>
      <c r="I162" s="61"/>
      <c r="J162" s="61"/>
      <c r="K162" s="61"/>
      <c r="L162" s="6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BG162" s="109"/>
      <c r="BH162" s="109"/>
      <c r="BI162" s="109"/>
      <c r="BJ162" s="541">
        <f>+BJ160/BJ158</f>
        <v>2.4289447342139958</v>
      </c>
      <c r="BK162" s="109"/>
      <c r="BL162" s="109"/>
      <c r="BM162" s="109"/>
      <c r="BN162" s="109"/>
      <c r="BO162" s="109"/>
      <c r="BP162" s="109"/>
      <c r="BQ162" s="90"/>
      <c r="BR162" s="1"/>
      <c r="BS162" s="1"/>
    </row>
    <row r="163" spans="2:71" x14ac:dyDescent="0.3">
      <c r="E163" s="123" t="s">
        <v>150</v>
      </c>
      <c r="H163" s="93" t="s">
        <v>151</v>
      </c>
      <c r="AC163" s="1"/>
      <c r="AD163" s="1"/>
      <c r="AE163" s="1"/>
      <c r="AF163" s="1"/>
      <c r="AG163" s="1"/>
      <c r="AH163" s="1"/>
      <c r="BC163" s="90"/>
      <c r="BD163" s="90"/>
      <c r="BE163" s="90"/>
      <c r="BF163" s="90"/>
      <c r="BG163" s="90"/>
      <c r="BH163" s="90"/>
      <c r="BI163" s="90"/>
      <c r="BJ163" s="539">
        <f>+BL54</f>
        <v>0.11641359782560842</v>
      </c>
      <c r="BK163" s="90"/>
      <c r="BL163" s="90"/>
      <c r="BM163" s="90"/>
      <c r="BN163" s="90"/>
      <c r="BO163" s="90"/>
      <c r="BP163" s="90"/>
      <c r="BQ163" s="90"/>
      <c r="BR163" s="1"/>
      <c r="BS163" s="1"/>
    </row>
    <row r="164" spans="2:71" x14ac:dyDescent="0.3">
      <c r="AC164" s="1"/>
      <c r="AD164" s="1"/>
      <c r="AE164" s="1"/>
      <c r="AF164" s="1"/>
      <c r="AG164" s="1"/>
      <c r="AH164" s="1"/>
      <c r="BJ164" s="540"/>
    </row>
    <row r="165" spans="2:71" ht="15" thickBot="1" x14ac:dyDescent="0.35">
      <c r="D165" s="56"/>
      <c r="AC165" s="1"/>
      <c r="AD165" s="1"/>
      <c r="AE165" s="1"/>
      <c r="AF165" s="1"/>
      <c r="AG165" s="1"/>
      <c r="AH165" s="529"/>
      <c r="AI165" s="530"/>
      <c r="AJ165" s="530"/>
      <c r="AK165" s="530"/>
      <c r="AL165" s="530"/>
      <c r="AM165" s="530"/>
      <c r="AN165" s="530"/>
      <c r="AO165" s="530"/>
      <c r="AP165" s="530"/>
      <c r="AQ165" s="530"/>
      <c r="AR165" s="530"/>
      <c r="AS165" s="530"/>
      <c r="AT165" s="530"/>
      <c r="AU165" s="530"/>
      <c r="AV165" s="530"/>
      <c r="AW165" s="530"/>
      <c r="AY165" s="118"/>
      <c r="AZ165" s="118"/>
      <c r="BA165" s="118"/>
      <c r="BB165" s="118"/>
      <c r="BJ165" s="1">
        <f>+BJ160*BJ163</f>
        <v>488125.59167711309</v>
      </c>
    </row>
    <row r="166" spans="2:71" x14ac:dyDescent="0.3">
      <c r="D166" s="1">
        <v>4900</v>
      </c>
      <c r="J166" s="531">
        <f>+BQ125</f>
        <v>7.4075240343216359E-2</v>
      </c>
      <c r="U166" s="118"/>
      <c r="Z166" s="56"/>
      <c r="AC166" s="1"/>
      <c r="AD166" s="1"/>
      <c r="AE166" s="1"/>
      <c r="AF166" s="1"/>
      <c r="AG166" s="1"/>
      <c r="AH166" s="529"/>
      <c r="AI166" s="508"/>
      <c r="AJ166" s="509"/>
      <c r="AK166" s="509"/>
      <c r="AL166" s="509"/>
      <c r="AM166" s="509"/>
      <c r="AN166" s="509"/>
      <c r="AO166" s="509"/>
      <c r="AP166" s="509"/>
      <c r="AQ166" s="509"/>
      <c r="AR166" s="509"/>
      <c r="AS166" s="509"/>
      <c r="AT166" s="509"/>
      <c r="AU166" s="509"/>
      <c r="AV166" s="510"/>
      <c r="AW166" s="530"/>
      <c r="AY166" s="118"/>
      <c r="AZ166" s="118"/>
      <c r="BA166" s="118"/>
      <c r="BB166" s="118"/>
    </row>
    <row r="167" spans="2:71" x14ac:dyDescent="0.3">
      <c r="D167" s="1">
        <v>1000000</v>
      </c>
      <c r="J167" s="233">
        <f>+AB125</f>
        <v>3.9670638055519833E-2</v>
      </c>
      <c r="AC167" s="1"/>
      <c r="AD167" s="1"/>
      <c r="AE167" s="1"/>
      <c r="AF167" s="1"/>
      <c r="AG167" s="1"/>
      <c r="AH167" s="529"/>
      <c r="AI167" s="511"/>
      <c r="AJ167" s="547" t="s">
        <v>156</v>
      </c>
      <c r="AK167" s="547"/>
      <c r="AL167" s="547"/>
      <c r="AM167" s="547"/>
      <c r="AN167" s="547"/>
      <c r="AO167" s="547"/>
      <c r="AP167" s="547"/>
      <c r="AQ167" s="547"/>
      <c r="AR167" s="547"/>
      <c r="AS167" s="547"/>
      <c r="AT167" s="547"/>
      <c r="AU167" s="547"/>
      <c r="AV167" s="512"/>
      <c r="AW167" s="530"/>
      <c r="AY167" s="118"/>
      <c r="AZ167" s="118"/>
      <c r="BA167" s="118"/>
      <c r="BB167" s="118"/>
    </row>
    <row r="168" spans="2:71" ht="15.6" x14ac:dyDescent="0.3">
      <c r="J168" s="57">
        <f>+J166*J167</f>
        <v>2.938612048531377E-3</v>
      </c>
      <c r="AC168" s="1"/>
      <c r="AD168" s="1"/>
      <c r="AE168" s="1"/>
      <c r="AF168" s="1"/>
      <c r="AG168" s="1"/>
      <c r="AH168" s="529"/>
      <c r="AI168" s="511"/>
      <c r="AJ168" s="547" t="s">
        <v>155</v>
      </c>
      <c r="AK168" s="547"/>
      <c r="AL168" s="547"/>
      <c r="AM168" s="547"/>
      <c r="AN168" s="517"/>
      <c r="AO168" s="518" t="s">
        <v>20</v>
      </c>
      <c r="AP168" s="517"/>
      <c r="AQ168" s="518" t="s">
        <v>4</v>
      </c>
      <c r="AR168" s="519"/>
      <c r="AS168" s="519"/>
      <c r="AT168" s="519"/>
      <c r="AU168" s="523" t="s">
        <v>10</v>
      </c>
      <c r="AV168" s="512"/>
      <c r="AW168" s="530"/>
      <c r="AY168" s="118"/>
      <c r="AZ168" s="118"/>
      <c r="BA168" s="118"/>
      <c r="BB168" s="118"/>
    </row>
    <row r="169" spans="2:71" ht="15.6" x14ac:dyDescent="0.3">
      <c r="AC169" s="1"/>
      <c r="AD169" s="1"/>
      <c r="AE169" s="1"/>
      <c r="AF169" s="1"/>
      <c r="AG169" s="1"/>
      <c r="AH169" s="529"/>
      <c r="AI169" s="511"/>
      <c r="AJ169" s="545" t="s">
        <v>152</v>
      </c>
      <c r="AK169" s="545"/>
      <c r="AL169" s="545"/>
      <c r="AM169" s="545"/>
      <c r="AN169" s="517"/>
      <c r="AO169" s="520">
        <f>+AG50</f>
        <v>898992</v>
      </c>
      <c r="AP169" s="521"/>
      <c r="AQ169" s="520">
        <f>+AG51</f>
        <v>55687</v>
      </c>
      <c r="AR169" s="522"/>
      <c r="AS169" s="522"/>
      <c r="AT169" s="522"/>
      <c r="AU169" s="536">
        <f>+AQ169/AO169</f>
        <v>6.194382152455194E-2</v>
      </c>
      <c r="AV169" s="512"/>
      <c r="AW169" s="530"/>
      <c r="AY169" s="118"/>
      <c r="AZ169" s="118"/>
      <c r="BA169" s="118"/>
      <c r="BB169" s="118"/>
    </row>
    <row r="170" spans="2:71" ht="15.6" x14ac:dyDescent="0.3">
      <c r="D170" s="278">
        <f>+D166/D167</f>
        <v>4.8999999999999998E-3</v>
      </c>
      <c r="AC170" s="1"/>
      <c r="AD170" s="1"/>
      <c r="AE170" s="1"/>
      <c r="AF170" s="1"/>
      <c r="AG170" s="1"/>
      <c r="AH170" s="529"/>
      <c r="AI170" s="511"/>
      <c r="AJ170" s="548" t="s">
        <v>153</v>
      </c>
      <c r="AK170" s="546"/>
      <c r="AL170" s="546"/>
      <c r="AM170" s="546"/>
      <c r="AN170" s="65"/>
      <c r="AO170" s="513">
        <f>+AF83</f>
        <v>742147</v>
      </c>
      <c r="AP170" s="65"/>
      <c r="AQ170" s="513">
        <f>+AF84</f>
        <v>42339</v>
      </c>
      <c r="AR170" s="65"/>
      <c r="AS170" s="65"/>
      <c r="AT170" s="65"/>
      <c r="AU170" s="534">
        <f>+AQ170/AO170</f>
        <v>5.7049344671608188E-2</v>
      </c>
      <c r="AV170" s="512"/>
      <c r="AW170" s="530"/>
      <c r="AY170" s="118"/>
      <c r="AZ170" s="118"/>
      <c r="BA170" s="118"/>
      <c r="BB170" s="118"/>
    </row>
    <row r="171" spans="2:71" ht="15.6" x14ac:dyDescent="0.3">
      <c r="AC171" s="1"/>
      <c r="AD171" s="1"/>
      <c r="AE171" s="1"/>
      <c r="AF171" s="1"/>
      <c r="AG171" s="1"/>
      <c r="AH171" s="529"/>
      <c r="AI171" s="511"/>
      <c r="AJ171" s="546" t="s">
        <v>154</v>
      </c>
      <c r="AK171" s="546"/>
      <c r="AL171" s="546"/>
      <c r="AM171" s="546"/>
      <c r="AN171" s="65"/>
      <c r="AO171" s="513">
        <f>+AG113</f>
        <v>869627</v>
      </c>
      <c r="AP171" s="65"/>
      <c r="AQ171" s="513">
        <f>+AG114</f>
        <v>21252</v>
      </c>
      <c r="AR171" s="65"/>
      <c r="AS171" s="65"/>
      <c r="AT171" s="65"/>
      <c r="AU171" s="534">
        <f>+AQ171/AO171</f>
        <v>2.4438063675575852E-2</v>
      </c>
      <c r="AV171" s="512"/>
      <c r="AW171" s="530"/>
      <c r="AY171" s="118"/>
      <c r="AZ171" s="118"/>
      <c r="BA171" s="118"/>
      <c r="BB171" s="118"/>
    </row>
    <row r="172" spans="2:71" ht="15.6" x14ac:dyDescent="0.3">
      <c r="D172" s="472">
        <v>32000</v>
      </c>
      <c r="AC172" s="1"/>
      <c r="AD172" s="1"/>
      <c r="AE172" s="1"/>
      <c r="AF172" s="1"/>
      <c r="AG172" s="1"/>
      <c r="AH172" s="529"/>
      <c r="AI172" s="511"/>
      <c r="AJ172" s="546" t="s">
        <v>158</v>
      </c>
      <c r="AK172" s="546"/>
      <c r="AL172" s="546"/>
      <c r="AM172" s="546"/>
      <c r="AN172" s="65"/>
      <c r="AO172" s="513">
        <f>+AF175</f>
        <v>1970617</v>
      </c>
      <c r="AP172" s="65"/>
      <c r="AQ172" s="513">
        <f>+AF177</f>
        <v>25901</v>
      </c>
      <c r="AR172" s="65"/>
      <c r="AS172" s="65"/>
      <c r="AT172" s="65"/>
      <c r="AU172" s="534">
        <f>+AQ172/AO172</f>
        <v>1.3143599187462607E-2</v>
      </c>
      <c r="AV172" s="512"/>
      <c r="AW172" s="530"/>
    </row>
    <row r="173" spans="2:71" ht="15" thickBot="1" x14ac:dyDescent="0.35">
      <c r="B173" s="471"/>
      <c r="D173" s="278"/>
      <c r="AC173" s="1"/>
      <c r="AD173" s="1"/>
      <c r="AE173" s="1"/>
      <c r="AF173" s="1"/>
      <c r="AG173" s="1"/>
      <c r="AH173" s="529"/>
      <c r="AI173" s="511"/>
      <c r="AJ173" s="524"/>
      <c r="AK173" s="524"/>
      <c r="AL173" s="524"/>
      <c r="AM173" s="524"/>
      <c r="AN173" s="525"/>
      <c r="AO173" s="526"/>
      <c r="AP173" s="525"/>
      <c r="AQ173" s="526"/>
      <c r="AR173" s="525"/>
      <c r="AS173" s="525"/>
      <c r="AT173" s="525"/>
      <c r="AU173" s="527"/>
      <c r="AV173" s="512"/>
      <c r="AW173" s="530"/>
    </row>
    <row r="174" spans="2:71" ht="15.6" x14ac:dyDescent="0.3">
      <c r="B174" s="471"/>
      <c r="D174" s="278"/>
      <c r="AC174" s="1"/>
      <c r="AD174" s="1"/>
      <c r="AE174" s="1"/>
      <c r="AF174" s="1"/>
      <c r="AG174" s="1"/>
      <c r="AH174" s="529"/>
      <c r="AI174" s="511"/>
      <c r="AJ174" s="545" t="s">
        <v>152</v>
      </c>
      <c r="AK174" s="545"/>
      <c r="AL174" s="545"/>
      <c r="AM174" s="545"/>
      <c r="AN174" s="65"/>
      <c r="AO174" s="513"/>
      <c r="AP174" s="65"/>
      <c r="AQ174" s="513">
        <f>+AQ169</f>
        <v>55687</v>
      </c>
      <c r="AR174" s="65"/>
      <c r="AS174" s="65"/>
      <c r="AT174" s="65"/>
      <c r="AU174" s="157"/>
      <c r="AV174" s="512"/>
      <c r="AW174" s="530"/>
    </row>
    <row r="175" spans="2:71" ht="15.6" x14ac:dyDescent="0.3">
      <c r="B175" s="471"/>
      <c r="D175" s="278"/>
      <c r="AC175" s="1"/>
      <c r="AD175" s="1"/>
      <c r="AE175" s="1"/>
      <c r="AF175" s="33">
        <f>SUM(D113:D143)</f>
        <v>1970617</v>
      </c>
      <c r="AG175" s="1"/>
      <c r="AH175" s="529"/>
      <c r="AI175" s="511"/>
      <c r="AJ175" s="546" t="s">
        <v>158</v>
      </c>
      <c r="AK175" s="546"/>
      <c r="AL175" s="546"/>
      <c r="AM175" s="64"/>
      <c r="AN175" s="65"/>
      <c r="AO175" s="513"/>
      <c r="AP175" s="65"/>
      <c r="AQ175" s="513">
        <f>+AQ172</f>
        <v>25901</v>
      </c>
      <c r="AR175" s="65"/>
      <c r="AS175" s="65"/>
      <c r="AT175" s="65"/>
      <c r="AU175" s="157"/>
      <c r="AV175" s="512"/>
      <c r="AW175" s="530"/>
    </row>
    <row r="176" spans="2:71" ht="15.6" x14ac:dyDescent="0.3">
      <c r="B176" s="471"/>
      <c r="D176" s="278"/>
      <c r="AC176" s="1"/>
      <c r="AD176" s="1"/>
      <c r="AE176" s="1"/>
      <c r="AF176" s="33">
        <f>SUM(V125:V138)</f>
        <v>12117</v>
      </c>
      <c r="AG176" s="1"/>
      <c r="AH176" s="529"/>
      <c r="AI176" s="511"/>
      <c r="AJ176" s="64"/>
      <c r="AK176" s="544" t="s">
        <v>3</v>
      </c>
      <c r="AL176" s="64"/>
      <c r="AM176" s="64"/>
      <c r="AN176" s="65"/>
      <c r="AO176" s="513"/>
      <c r="AP176" s="65"/>
      <c r="AQ176" s="513">
        <f>+AQ174-AQ175</f>
        <v>29786</v>
      </c>
      <c r="AR176" s="65"/>
      <c r="AS176" s="65"/>
      <c r="AT176" s="65"/>
      <c r="AU176" s="528">
        <f>+AQ176/AQ174</f>
        <v>0.53488246808052153</v>
      </c>
      <c r="AV176" s="512"/>
      <c r="AW176" s="530"/>
    </row>
    <row r="177" spans="4:86" ht="15" thickBot="1" x14ac:dyDescent="0.35">
      <c r="D177" s="471"/>
      <c r="AC177" s="1"/>
      <c r="AD177" s="1"/>
      <c r="AE177" s="1"/>
      <c r="AF177" s="33">
        <f>SUM(V113:V143)</f>
        <v>25901</v>
      </c>
      <c r="AG177" s="1"/>
      <c r="AH177" s="529"/>
      <c r="AI177" s="514"/>
      <c r="AJ177" s="515"/>
      <c r="AK177" s="515"/>
      <c r="AL177" s="515"/>
      <c r="AM177" s="515"/>
      <c r="AN177" s="515"/>
      <c r="AO177" s="515"/>
      <c r="AP177" s="515"/>
      <c r="AQ177" s="515"/>
      <c r="AR177" s="515"/>
      <c r="AS177" s="515"/>
      <c r="AT177" s="515"/>
      <c r="AU177" s="515"/>
      <c r="AV177" s="516"/>
      <c r="AW177" s="530"/>
      <c r="BC177" s="90"/>
      <c r="BD177" s="90"/>
      <c r="BE177" s="90"/>
      <c r="BF177" s="90"/>
      <c r="BG177" s="90"/>
      <c r="BH177" s="90"/>
      <c r="BI177" s="90"/>
      <c r="BJ177" s="90"/>
      <c r="BK177" s="90"/>
      <c r="BL177" s="90"/>
      <c r="BM177" s="90"/>
      <c r="BN177" s="90"/>
      <c r="BO177" s="90"/>
      <c r="BP177" s="90"/>
      <c r="BQ177" s="90"/>
      <c r="BR177" s="1"/>
      <c r="BS177" s="1"/>
      <c r="BT177" s="1"/>
      <c r="BU177" s="1"/>
      <c r="BV177" s="90"/>
      <c r="BW177" s="90"/>
      <c r="BX177" s="90"/>
      <c r="BY177" s="90"/>
      <c r="BZ177" s="90"/>
      <c r="CA177" s="90"/>
      <c r="CB177" s="90"/>
      <c r="CC177" s="90"/>
      <c r="CD177" s="90"/>
      <c r="CE177" s="90"/>
      <c r="CF177" s="90"/>
      <c r="CG177" s="90"/>
      <c r="CH177" s="90"/>
    </row>
    <row r="178" spans="4:86" x14ac:dyDescent="0.3">
      <c r="AC178" s="10"/>
      <c r="AD178" s="10"/>
      <c r="AE178" s="10"/>
      <c r="AF178" s="10"/>
      <c r="AG178" s="10"/>
      <c r="AH178" s="529"/>
      <c r="AI178" s="530"/>
      <c r="AJ178" s="530"/>
      <c r="AK178" s="530"/>
      <c r="AL178" s="530"/>
      <c r="AM178" s="530"/>
      <c r="AN178" s="530"/>
      <c r="AO178" s="530"/>
      <c r="AP178" s="530"/>
      <c r="AQ178" s="530"/>
      <c r="AR178" s="530"/>
      <c r="AS178" s="530"/>
      <c r="AT178" s="530"/>
      <c r="AU178" s="530"/>
      <c r="AV178" s="530"/>
      <c r="AW178" s="530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89"/>
      <c r="BW178" s="89"/>
      <c r="BX178" s="89"/>
      <c r="BY178" s="89"/>
      <c r="BZ178" s="121"/>
      <c r="CA178" s="1"/>
      <c r="CB178" s="1"/>
      <c r="CC178" s="1"/>
      <c r="CD178" s="1"/>
      <c r="CE178" s="1"/>
      <c r="CF178" s="1"/>
      <c r="CG178" s="1"/>
      <c r="CH178" s="1"/>
    </row>
    <row r="179" spans="4:86" x14ac:dyDescent="0.3">
      <c r="D179">
        <v>10</v>
      </c>
      <c r="AC179" s="10"/>
      <c r="AD179" s="10"/>
      <c r="AE179" s="10"/>
      <c r="AF179" s="10"/>
      <c r="AG179" s="10"/>
      <c r="AH179" s="10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89"/>
      <c r="BW179" s="89"/>
      <c r="BX179" s="89"/>
      <c r="BY179" s="89"/>
      <c r="BZ179" s="89"/>
      <c r="CA179" s="1"/>
      <c r="CB179" s="1"/>
      <c r="CC179" s="1"/>
      <c r="CD179" s="1"/>
      <c r="CE179" s="1"/>
      <c r="CF179" s="1"/>
      <c r="CG179" s="1"/>
      <c r="CH179" s="1"/>
    </row>
    <row r="180" spans="4:86" x14ac:dyDescent="0.3">
      <c r="D180" s="1">
        <v>50000000</v>
      </c>
      <c r="AC180" s="10"/>
      <c r="AD180" s="10"/>
      <c r="AE180" s="10"/>
      <c r="AF180" s="10"/>
      <c r="AG180" s="10"/>
      <c r="AH180" s="10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89"/>
      <c r="BW180" s="89"/>
      <c r="BX180" s="89"/>
      <c r="BY180" s="89"/>
      <c r="BZ180" s="89"/>
      <c r="CA180" s="1"/>
      <c r="CB180" s="1"/>
      <c r="CC180" s="1"/>
      <c r="CD180" s="1"/>
      <c r="CE180" s="1"/>
      <c r="CF180" s="1"/>
    </row>
    <row r="181" spans="4:86" x14ac:dyDescent="0.3">
      <c r="D181" s="57">
        <f>+D180/D183</f>
        <v>0.15105740181268881</v>
      </c>
      <c r="AC181" s="10"/>
      <c r="AD181" s="10"/>
      <c r="AE181" s="10"/>
      <c r="AF181" s="10"/>
      <c r="AG181" s="10"/>
      <c r="AH181" s="10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89"/>
      <c r="BW181" s="89"/>
      <c r="BX181" s="89"/>
      <c r="BY181" s="89"/>
      <c r="BZ181" s="89"/>
      <c r="CA181" s="1"/>
      <c r="CB181" s="1"/>
      <c r="CC181" s="1"/>
      <c r="CD181" s="1"/>
      <c r="CE181" s="1"/>
      <c r="CF181" s="1"/>
    </row>
    <row r="182" spans="4:86" x14ac:dyDescent="0.3">
      <c r="AC182" s="10"/>
      <c r="AD182" s="10"/>
      <c r="AE182" s="10"/>
      <c r="AF182" s="10"/>
      <c r="AG182" s="10"/>
      <c r="AH182" s="10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89"/>
      <c r="BW182" s="89"/>
      <c r="BX182" s="122"/>
      <c r="BY182" s="89"/>
      <c r="BZ182" s="89"/>
    </row>
    <row r="183" spans="4:86" x14ac:dyDescent="0.3">
      <c r="D183" s="1">
        <v>331000000</v>
      </c>
      <c r="AC183" s="10"/>
      <c r="AD183" s="10"/>
      <c r="AE183" s="10"/>
      <c r="AF183" s="10"/>
      <c r="AG183" s="10"/>
      <c r="AH183" s="10"/>
      <c r="AI183" s="90"/>
      <c r="AJ183" s="90"/>
      <c r="AK183" s="155"/>
      <c r="AL183" s="155"/>
      <c r="AM183" s="155"/>
      <c r="AN183" s="155"/>
      <c r="AO183" s="155"/>
      <c r="AP183" s="155"/>
      <c r="AQ183" s="155"/>
      <c r="AR183" s="155"/>
      <c r="AS183" s="155"/>
      <c r="AT183" s="155"/>
      <c r="AU183" s="155"/>
      <c r="AV183" s="155"/>
      <c r="AW183" s="155"/>
      <c r="AX183" s="155"/>
      <c r="AY183" s="155"/>
      <c r="AZ183" s="155"/>
      <c r="BA183" s="90"/>
      <c r="BB183" s="90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89"/>
      <c r="BW183" s="89"/>
      <c r="BX183" s="89"/>
      <c r="BY183" s="89"/>
      <c r="BZ183" s="89"/>
    </row>
    <row r="184" spans="4:86" x14ac:dyDescent="0.3">
      <c r="AC184" s="10"/>
      <c r="AD184" s="10"/>
      <c r="AE184" s="10"/>
      <c r="AF184" s="10"/>
      <c r="AG184" s="10"/>
      <c r="AH184" s="10"/>
      <c r="AI184" s="90"/>
      <c r="AJ184" s="90"/>
      <c r="AK184" s="151"/>
      <c r="AL184" s="151"/>
      <c r="AM184" s="151"/>
      <c r="AN184" s="151"/>
      <c r="AO184" s="151"/>
      <c r="AP184" s="151"/>
      <c r="AQ184" s="151"/>
      <c r="AR184" s="90"/>
      <c r="AS184" s="90"/>
      <c r="AT184" s="90"/>
      <c r="AU184" s="110"/>
      <c r="AV184" s="110"/>
      <c r="AW184" s="110"/>
      <c r="AX184" s="110"/>
      <c r="AY184" s="90"/>
      <c r="AZ184" s="90"/>
      <c r="BA184" s="110"/>
      <c r="BB184" s="90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89"/>
      <c r="BW184" s="89"/>
      <c r="BX184" s="89"/>
      <c r="BY184" s="89"/>
      <c r="BZ184" s="89"/>
    </row>
    <row r="185" spans="4:86" x14ac:dyDescent="0.3">
      <c r="D185" s="469">
        <v>7.1999999999999995E-2</v>
      </c>
      <c r="AC185" s="10"/>
      <c r="AD185" s="10"/>
      <c r="AE185" s="10"/>
      <c r="AF185" s="10"/>
      <c r="AG185" s="10"/>
      <c r="AH185" s="10"/>
      <c r="AI185" s="90"/>
      <c r="AJ185" s="90"/>
      <c r="AK185" s="151"/>
      <c r="AL185" s="151"/>
      <c r="AM185" s="151"/>
      <c r="AN185" s="151"/>
      <c r="AO185" s="151"/>
      <c r="AP185" s="151"/>
      <c r="AQ185" s="151"/>
      <c r="AR185" s="151"/>
      <c r="AS185" s="110"/>
      <c r="AT185" s="90"/>
      <c r="AU185" s="110"/>
      <c r="AV185" s="110"/>
      <c r="AW185" s="110"/>
      <c r="AX185" s="110"/>
      <c r="AY185" s="90"/>
      <c r="AZ185" s="90"/>
      <c r="BA185" s="110"/>
      <c r="BB185" s="90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89"/>
      <c r="BW185" s="89"/>
      <c r="BX185" s="89"/>
      <c r="BY185" s="89"/>
      <c r="BZ185" s="89"/>
    </row>
    <row r="186" spans="4:86" x14ac:dyDescent="0.3">
      <c r="AC186" s="10"/>
      <c r="AD186" s="10"/>
      <c r="AE186" s="10"/>
      <c r="AF186" s="10"/>
      <c r="AG186" s="10"/>
      <c r="AH186" s="10"/>
      <c r="AI186" s="90"/>
      <c r="AJ186" s="90"/>
      <c r="AK186" s="90"/>
      <c r="AL186" s="90"/>
      <c r="AM186" s="152"/>
      <c r="AN186" s="152"/>
      <c r="AO186" s="152"/>
      <c r="AP186" s="152"/>
      <c r="AQ186" s="152"/>
      <c r="AR186" s="90"/>
      <c r="AS186" s="90"/>
      <c r="AT186" s="90"/>
      <c r="AU186" s="110"/>
      <c r="AV186" s="110"/>
      <c r="AW186" s="110"/>
      <c r="AX186" s="110"/>
      <c r="AY186" s="90"/>
      <c r="AZ186" s="90"/>
      <c r="BA186" s="110"/>
      <c r="BB186" s="90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89"/>
      <c r="BW186" s="89"/>
      <c r="BX186" s="89"/>
      <c r="BY186" s="89"/>
      <c r="BZ186" s="89"/>
    </row>
    <row r="187" spans="4:86" x14ac:dyDescent="0.3">
      <c r="D187" s="278">
        <v>4.2000000000000003E-2</v>
      </c>
      <c r="AC187" s="10"/>
      <c r="AD187" s="10"/>
      <c r="AE187" s="10"/>
      <c r="AF187" s="10"/>
      <c r="AG187" s="10"/>
      <c r="AH187" s="10"/>
      <c r="AI187" s="90"/>
      <c r="AJ187" s="90"/>
      <c r="AK187" s="151"/>
      <c r="AL187" s="151"/>
      <c r="AM187" s="151"/>
      <c r="AN187" s="151"/>
      <c r="AO187" s="151"/>
      <c r="AP187" s="151"/>
      <c r="AQ187" s="151"/>
      <c r="AR187" s="151"/>
      <c r="AS187" s="151"/>
      <c r="AT187" s="151"/>
      <c r="AU187" s="110"/>
      <c r="AV187" s="110"/>
      <c r="AW187" s="110"/>
      <c r="AX187" s="110"/>
      <c r="AY187" s="90"/>
      <c r="AZ187" s="90"/>
      <c r="BA187" s="110"/>
      <c r="BB187" s="90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</row>
    <row r="188" spans="4:86" x14ac:dyDescent="0.3">
      <c r="D188" s="1">
        <f>+D183*D185*D187</f>
        <v>1000944.0000000001</v>
      </c>
      <c r="AC188" s="10"/>
      <c r="AD188" s="10"/>
      <c r="AE188" s="10"/>
      <c r="AF188" s="10"/>
      <c r="AG188" s="10"/>
      <c r="AH188" s="10"/>
      <c r="AI188" s="90"/>
      <c r="AJ188" s="90"/>
      <c r="AK188" s="90"/>
      <c r="AL188" s="90"/>
      <c r="AM188" s="152"/>
      <c r="AN188" s="152"/>
      <c r="AO188" s="152"/>
      <c r="AP188" s="152"/>
      <c r="AQ188" s="152"/>
      <c r="AR188" s="152"/>
      <c r="AS188" s="152"/>
      <c r="AT188" s="90"/>
      <c r="AU188" s="110"/>
      <c r="AV188" s="110"/>
      <c r="AW188" s="110"/>
      <c r="AX188" s="110"/>
      <c r="AY188" s="90"/>
      <c r="AZ188" s="90"/>
      <c r="BA188" s="110"/>
      <c r="BB188" s="90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</row>
    <row r="189" spans="4:86" x14ac:dyDescent="0.3">
      <c r="AC189" s="10"/>
      <c r="AD189" s="10"/>
      <c r="AE189" s="10"/>
      <c r="AF189" s="10"/>
      <c r="AG189" s="10"/>
      <c r="AH189" s="10"/>
      <c r="AI189" s="90"/>
      <c r="AJ189" s="90"/>
      <c r="AK189" s="90"/>
      <c r="AL189" s="90"/>
      <c r="AM189" s="152"/>
      <c r="AN189" s="152"/>
      <c r="AO189" s="152"/>
      <c r="AP189" s="152"/>
      <c r="AQ189" s="152"/>
      <c r="AR189" s="152"/>
      <c r="AS189" s="152"/>
      <c r="AT189" s="90"/>
      <c r="AU189" s="110"/>
      <c r="AV189" s="110"/>
      <c r="AW189" s="110"/>
      <c r="AX189" s="110"/>
      <c r="AY189" s="90"/>
      <c r="AZ189" s="90"/>
      <c r="BA189" s="110"/>
      <c r="BB189" s="90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</row>
    <row r="190" spans="4:86" x14ac:dyDescent="0.3">
      <c r="AC190" s="10"/>
      <c r="AD190" s="10"/>
      <c r="AE190" s="10"/>
      <c r="AF190" s="10"/>
      <c r="AG190" s="10"/>
      <c r="AH190" s="10"/>
      <c r="AI190" s="90"/>
      <c r="AJ190" s="90"/>
      <c r="AK190" s="90"/>
      <c r="AL190" s="90"/>
      <c r="AM190" s="152"/>
      <c r="AN190" s="152"/>
      <c r="AO190" s="152"/>
      <c r="AP190" s="152"/>
      <c r="AQ190" s="152"/>
      <c r="AR190" s="152"/>
      <c r="AS190" s="152"/>
      <c r="AT190" s="90"/>
      <c r="AU190" s="110"/>
      <c r="AV190" s="110"/>
      <c r="AW190" s="110"/>
      <c r="AX190" s="110"/>
      <c r="AY190" s="90"/>
      <c r="AZ190" s="90"/>
      <c r="BA190" s="110"/>
      <c r="BB190" s="90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</row>
    <row r="191" spans="4:86" x14ac:dyDescent="0.3">
      <c r="AC191" s="10"/>
      <c r="AD191" s="10"/>
      <c r="AE191" s="10"/>
      <c r="AF191" s="10"/>
      <c r="AG191" s="10"/>
      <c r="AH191" s="10"/>
      <c r="AI191" s="90"/>
      <c r="AJ191" s="90"/>
      <c r="AK191" s="90"/>
      <c r="AL191" s="90"/>
      <c r="AM191" s="152"/>
      <c r="AN191" s="152"/>
      <c r="AO191" s="152"/>
      <c r="AP191" s="152"/>
      <c r="AQ191" s="152"/>
      <c r="AR191" s="152"/>
      <c r="AS191" s="152"/>
      <c r="AT191" s="90"/>
      <c r="AU191" s="110"/>
      <c r="AV191" s="110"/>
      <c r="AW191" s="110"/>
      <c r="AX191" s="110"/>
      <c r="AY191" s="90"/>
      <c r="AZ191" s="90"/>
      <c r="BA191" s="110"/>
      <c r="BB191" s="90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</row>
    <row r="192" spans="4:86" x14ac:dyDescent="0.3">
      <c r="AC192" s="10"/>
      <c r="AD192" s="10"/>
      <c r="AE192" s="10"/>
      <c r="AF192" s="10"/>
      <c r="AG192" s="10"/>
      <c r="AH192" s="10"/>
      <c r="AI192" s="90"/>
      <c r="AJ192" s="90"/>
      <c r="AK192" s="90"/>
      <c r="AL192" s="90"/>
      <c r="AM192" s="152"/>
      <c r="AN192" s="152"/>
      <c r="AO192" s="152"/>
      <c r="AP192" s="152"/>
      <c r="AQ192" s="152"/>
      <c r="AR192" s="152"/>
      <c r="AS192" s="152"/>
      <c r="AT192" s="90"/>
      <c r="AU192" s="110"/>
      <c r="AV192" s="110"/>
      <c r="AW192" s="110"/>
      <c r="AX192" s="110"/>
      <c r="AY192" s="90"/>
      <c r="AZ192" s="90"/>
      <c r="BA192" s="110"/>
      <c r="BB192" s="90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</row>
    <row r="193" spans="2:78" x14ac:dyDescent="0.3">
      <c r="AC193" s="10"/>
      <c r="AD193" s="10"/>
      <c r="AE193" s="10"/>
      <c r="AF193" s="10"/>
      <c r="AG193" s="10"/>
      <c r="AH193" s="10"/>
      <c r="AI193" s="90"/>
      <c r="AJ193" s="90"/>
      <c r="AK193" s="151"/>
      <c r="AL193" s="151"/>
      <c r="AM193" s="151"/>
      <c r="AN193" s="151"/>
      <c r="AO193" s="151"/>
      <c r="AP193" s="151"/>
      <c r="AQ193" s="151"/>
      <c r="AR193" s="151"/>
      <c r="AS193" s="151"/>
      <c r="AT193" s="151"/>
      <c r="AU193" s="90"/>
      <c r="AV193" s="90"/>
      <c r="AW193" s="90"/>
      <c r="AX193" s="90"/>
      <c r="AY193" s="90"/>
      <c r="AZ193" s="110"/>
      <c r="BA193" s="110"/>
      <c r="BB193" s="90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</row>
    <row r="194" spans="2:78" x14ac:dyDescent="0.3">
      <c r="AC194" s="10"/>
      <c r="AD194" s="10"/>
      <c r="AE194" s="10"/>
      <c r="AF194" s="10"/>
      <c r="AG194" s="10"/>
      <c r="AH194" s="10"/>
      <c r="AI194" s="90"/>
      <c r="AJ194" s="90"/>
      <c r="AK194" s="151"/>
      <c r="AL194" s="151"/>
      <c r="AM194" s="151"/>
      <c r="AN194" s="151"/>
      <c r="AO194" s="151"/>
      <c r="AP194" s="151"/>
      <c r="AQ194" s="151"/>
      <c r="AR194" s="151"/>
      <c r="AS194" s="151"/>
      <c r="AT194" s="151"/>
      <c r="AU194" s="151"/>
      <c r="AV194" s="151"/>
      <c r="AW194" s="151"/>
      <c r="AX194" s="151"/>
      <c r="AY194" s="90"/>
      <c r="AZ194" s="90"/>
      <c r="BA194" s="110"/>
      <c r="BB194" s="90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</row>
    <row r="195" spans="2:78" x14ac:dyDescent="0.3">
      <c r="AI195" s="110"/>
      <c r="AJ195" s="110"/>
      <c r="AK195" s="110"/>
      <c r="AL195" s="110"/>
      <c r="AM195" s="110"/>
      <c r="AN195" s="110"/>
      <c r="AO195" s="110"/>
      <c r="AP195" s="110"/>
      <c r="AQ195" s="110"/>
      <c r="AR195" s="110"/>
      <c r="AS195" s="90"/>
      <c r="AT195" s="110"/>
      <c r="AU195" s="153"/>
      <c r="AV195" s="153"/>
      <c r="AW195" s="153"/>
      <c r="AX195" s="153"/>
      <c r="AY195" s="110"/>
      <c r="AZ195" s="110"/>
      <c r="BA195" s="110"/>
      <c r="BB195" s="110"/>
    </row>
    <row r="196" spans="2:78" x14ac:dyDescent="0.3">
      <c r="B196" s="125"/>
      <c r="D196" s="55"/>
      <c r="AI196" s="110"/>
      <c r="AJ196" s="110"/>
      <c r="AK196" s="110"/>
      <c r="AL196" s="110"/>
      <c r="AM196" s="110"/>
      <c r="AN196" s="110"/>
      <c r="AO196" s="110"/>
      <c r="AP196" s="110"/>
      <c r="AQ196" s="110"/>
      <c r="AR196" s="110"/>
      <c r="AS196" s="110"/>
      <c r="AT196" s="110"/>
      <c r="AU196" s="90"/>
      <c r="AV196" s="90"/>
      <c r="AW196" s="90"/>
      <c r="AX196" s="90"/>
      <c r="AY196" s="110"/>
      <c r="AZ196" s="154"/>
      <c r="BA196" s="110"/>
      <c r="BB196" s="110"/>
    </row>
    <row r="197" spans="2:78" x14ac:dyDescent="0.3">
      <c r="B197" s="1"/>
      <c r="D197" s="55"/>
      <c r="W197" s="61"/>
      <c r="X197" s="61"/>
      <c r="Y197" s="110"/>
      <c r="Z197" s="110"/>
      <c r="AA197" s="110"/>
      <c r="AB197" s="110"/>
      <c r="AC197" s="110"/>
      <c r="AD197" s="110"/>
      <c r="AE197" s="110"/>
      <c r="AF197" s="110"/>
      <c r="AG197" s="110"/>
      <c r="AH197" s="110"/>
      <c r="AI197" s="110"/>
      <c r="AJ197" s="110"/>
      <c r="AK197" s="110"/>
      <c r="AL197" s="110"/>
      <c r="AM197" s="110"/>
      <c r="AN197" s="110"/>
      <c r="AO197" s="110"/>
      <c r="AP197" s="110"/>
      <c r="AQ197" s="110"/>
      <c r="AR197" s="110"/>
      <c r="AS197" s="110"/>
      <c r="AT197" s="110"/>
      <c r="AU197" s="110"/>
      <c r="AV197" s="110"/>
      <c r="AW197" s="110"/>
      <c r="AX197" s="110"/>
      <c r="AY197" s="110"/>
      <c r="AZ197" s="110"/>
      <c r="BA197" s="110"/>
      <c r="BB197" s="110"/>
    </row>
    <row r="198" spans="2:78" x14ac:dyDescent="0.3">
      <c r="B198" s="1"/>
      <c r="D198" s="55"/>
      <c r="W198" s="61"/>
      <c r="X198" s="61"/>
      <c r="Y198" s="110"/>
      <c r="Z198" s="110"/>
      <c r="AA198" s="110"/>
      <c r="AB198" s="110"/>
      <c r="AC198" s="110"/>
      <c r="AD198" s="110"/>
      <c r="AE198" s="110"/>
      <c r="AF198" s="110"/>
      <c r="AG198" s="110"/>
      <c r="AH198" s="110"/>
      <c r="AI198" s="110"/>
      <c r="AJ198" s="110"/>
      <c r="AK198" s="110"/>
      <c r="AL198" s="110"/>
      <c r="AM198" s="110"/>
      <c r="AN198" s="110"/>
      <c r="AO198" s="110"/>
      <c r="AP198" s="110"/>
      <c r="AQ198" s="110"/>
      <c r="AR198" s="110"/>
      <c r="AS198" s="110"/>
      <c r="AT198" s="110"/>
      <c r="AU198" s="110"/>
      <c r="AV198" s="110"/>
      <c r="AW198" s="110"/>
      <c r="AX198" s="110"/>
      <c r="AY198" s="110"/>
      <c r="AZ198" s="110"/>
      <c r="BA198" s="110"/>
      <c r="BB198" s="110"/>
    </row>
    <row r="199" spans="2:78" x14ac:dyDescent="0.3">
      <c r="B199" s="1"/>
      <c r="D199" s="55"/>
      <c r="W199" s="61"/>
      <c r="X199" s="61"/>
      <c r="Y199" s="110"/>
      <c r="Z199" s="110"/>
      <c r="AA199" s="110"/>
      <c r="AB199" s="110"/>
      <c r="AC199" s="110"/>
      <c r="AD199" s="110"/>
      <c r="AE199" s="110"/>
      <c r="AF199" s="110"/>
      <c r="AG199" s="110"/>
      <c r="AH199" s="110"/>
      <c r="AI199" s="110"/>
      <c r="AJ199" s="110"/>
      <c r="AK199" s="110"/>
      <c r="AL199" s="110"/>
      <c r="AM199" s="110"/>
      <c r="AN199" s="110"/>
      <c r="AO199" s="110"/>
      <c r="AP199" s="110"/>
      <c r="AQ199" s="110"/>
    </row>
    <row r="200" spans="2:78" x14ac:dyDescent="0.3">
      <c r="B200" s="1"/>
      <c r="D200" s="55"/>
      <c r="W200" s="61"/>
      <c r="X200" s="61"/>
      <c r="Y200" s="110"/>
      <c r="Z200" s="110"/>
      <c r="AA200" s="110"/>
      <c r="AB200" s="110"/>
      <c r="AC200" s="110"/>
      <c r="AD200" s="110"/>
      <c r="AE200" s="110"/>
      <c r="AF200" s="110"/>
      <c r="AG200" s="110"/>
      <c r="AH200" s="110"/>
      <c r="AI200" s="110"/>
      <c r="AJ200" s="110"/>
      <c r="AK200" s="110"/>
      <c r="AL200" s="110"/>
      <c r="AM200" s="110"/>
      <c r="AN200" s="110"/>
      <c r="AO200" s="110"/>
      <c r="AP200" s="110"/>
      <c r="AQ200" s="110"/>
    </row>
    <row r="201" spans="2:78" x14ac:dyDescent="0.3">
      <c r="B201" s="55"/>
      <c r="D201" s="55"/>
      <c r="W201" s="61"/>
      <c r="X201" s="61"/>
      <c r="Y201" s="110"/>
      <c r="Z201" s="110"/>
      <c r="AA201" s="110"/>
      <c r="AB201" s="110"/>
      <c r="AC201" s="110"/>
      <c r="AD201" s="110"/>
      <c r="AE201" s="110"/>
      <c r="AF201" s="110"/>
      <c r="AG201" s="110"/>
      <c r="AH201" s="110"/>
      <c r="AI201" s="110"/>
      <c r="AJ201" s="110"/>
      <c r="AK201" s="110"/>
      <c r="AL201" s="110"/>
      <c r="AM201" s="110"/>
      <c r="AN201" s="110"/>
      <c r="AO201" s="110"/>
      <c r="AP201" s="110"/>
      <c r="AQ201" s="110"/>
    </row>
    <row r="202" spans="2:78" x14ac:dyDescent="0.3">
      <c r="B202" s="57"/>
      <c r="D202" s="55"/>
      <c r="W202" s="61"/>
      <c r="X202" s="61"/>
      <c r="Y202" s="110"/>
      <c r="Z202" s="110"/>
      <c r="AA202" s="110"/>
      <c r="AB202" s="110"/>
      <c r="AC202" s="110"/>
      <c r="AD202" s="110"/>
      <c r="AE202" s="110"/>
      <c r="AF202" s="110"/>
      <c r="AG202" s="110"/>
      <c r="AH202" s="110"/>
      <c r="AI202" s="110"/>
      <c r="AJ202" s="110"/>
      <c r="AK202" s="110"/>
      <c r="AL202" s="110"/>
      <c r="AM202" s="110"/>
      <c r="AN202" s="110"/>
      <c r="AO202" s="110"/>
      <c r="AP202" s="110"/>
      <c r="AQ202" s="110"/>
    </row>
    <row r="203" spans="2:78" x14ac:dyDescent="0.3">
      <c r="B203" s="1"/>
      <c r="D203" s="55"/>
      <c r="W203" s="61"/>
      <c r="X203" s="61"/>
      <c r="Y203" s="110"/>
      <c r="Z203" s="110"/>
      <c r="AA203" s="110"/>
      <c r="AB203" s="110"/>
      <c r="AC203" s="110"/>
      <c r="AD203" s="110"/>
      <c r="AE203" s="110"/>
      <c r="AF203" s="110"/>
      <c r="AG203" s="110"/>
      <c r="AH203" s="110"/>
      <c r="AI203" s="110"/>
      <c r="AJ203" s="110"/>
      <c r="AK203" s="110"/>
      <c r="AL203" s="110"/>
      <c r="AM203" s="110"/>
      <c r="AN203" s="110"/>
      <c r="AO203" s="110"/>
      <c r="AP203" s="110"/>
      <c r="AQ203" s="110"/>
    </row>
    <row r="204" spans="2:78" x14ac:dyDescent="0.3">
      <c r="B204" s="1"/>
      <c r="D204" s="55"/>
      <c r="Y204" s="118"/>
      <c r="Z204" s="118"/>
      <c r="AA204" s="118"/>
      <c r="AB204" s="118"/>
      <c r="AC204" s="118"/>
      <c r="AD204" s="118"/>
      <c r="AE204" s="118"/>
      <c r="AF204" s="118"/>
      <c r="AG204" s="118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</row>
    <row r="205" spans="2:78" x14ac:dyDescent="0.3">
      <c r="B205" s="1"/>
      <c r="D205" s="55"/>
    </row>
    <row r="206" spans="2:78" x14ac:dyDescent="0.3">
      <c r="B206" s="1"/>
      <c r="D206" s="55"/>
    </row>
    <row r="207" spans="2:78" x14ac:dyDescent="0.3">
      <c r="B207" s="57" t="e">
        <f>+B206/B205</f>
        <v>#DIV/0!</v>
      </c>
      <c r="D207" s="55"/>
    </row>
    <row r="208" spans="2:78" x14ac:dyDescent="0.3">
      <c r="B208" s="1"/>
      <c r="D208" s="55"/>
    </row>
    <row r="209" spans="2:4" x14ac:dyDescent="0.3">
      <c r="B209" s="1"/>
      <c r="D209" s="55"/>
    </row>
    <row r="210" spans="2:4" x14ac:dyDescent="0.3">
      <c r="B210" s="1">
        <f>+B206*50</f>
        <v>0</v>
      </c>
      <c r="D210" s="55"/>
    </row>
    <row r="211" spans="2:4" x14ac:dyDescent="0.3">
      <c r="B211" s="1"/>
      <c r="D211" s="55"/>
    </row>
    <row r="212" spans="2:4" x14ac:dyDescent="0.3">
      <c r="B212" s="1"/>
      <c r="D212" s="55"/>
    </row>
    <row r="213" spans="2:4" x14ac:dyDescent="0.3">
      <c r="B213" s="1"/>
      <c r="D213" s="55"/>
    </row>
    <row r="214" spans="2:4" x14ac:dyDescent="0.3">
      <c r="B214" s="1"/>
      <c r="D214" s="55"/>
    </row>
    <row r="215" spans="2:4" x14ac:dyDescent="0.3">
      <c r="B215" s="1"/>
      <c r="D215" s="55"/>
    </row>
    <row r="216" spans="2:4" x14ac:dyDescent="0.3">
      <c r="B216" s="1"/>
      <c r="D216" s="55"/>
    </row>
    <row r="217" spans="2:4" x14ac:dyDescent="0.3">
      <c r="B217" s="1"/>
      <c r="D217" s="55"/>
    </row>
    <row r="218" spans="2:4" x14ac:dyDescent="0.3">
      <c r="B218" s="1"/>
      <c r="D218" s="55"/>
    </row>
    <row r="219" spans="2:4" x14ac:dyDescent="0.3">
      <c r="B219" s="1"/>
      <c r="D219" s="55"/>
    </row>
    <row r="220" spans="2:4" x14ac:dyDescent="0.3">
      <c r="B220" s="1"/>
    </row>
    <row r="221" spans="2:4" x14ac:dyDescent="0.3">
      <c r="B221" s="1"/>
    </row>
    <row r="222" spans="2:4" x14ac:dyDescent="0.3">
      <c r="B222" s="1"/>
    </row>
    <row r="223" spans="2:4" x14ac:dyDescent="0.3">
      <c r="B223" s="1"/>
    </row>
    <row r="224" spans="2:4" x14ac:dyDescent="0.3">
      <c r="B224" s="1"/>
    </row>
    <row r="225" spans="2:2" x14ac:dyDescent="0.3">
      <c r="B225" s="1"/>
    </row>
    <row r="226" spans="2:2" x14ac:dyDescent="0.3">
      <c r="B226" s="1"/>
    </row>
    <row r="227" spans="2:2" x14ac:dyDescent="0.3">
      <c r="B227" s="1"/>
    </row>
  </sheetData>
  <mergeCells count="27"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  <mergeCell ref="B1:D1"/>
    <mergeCell ref="B2:D2"/>
    <mergeCell ref="J4:AB4"/>
    <mergeCell ref="D7:J7"/>
    <mergeCell ref="B3:C3"/>
    <mergeCell ref="F6:L6"/>
    <mergeCell ref="X6:AI6"/>
    <mergeCell ref="V7:AI7"/>
    <mergeCell ref="P6:T6"/>
    <mergeCell ref="AJ174:AM174"/>
    <mergeCell ref="AJ175:AL175"/>
    <mergeCell ref="AJ168:AM168"/>
    <mergeCell ref="AJ167:AU167"/>
    <mergeCell ref="AJ169:AM169"/>
    <mergeCell ref="AJ170:AM170"/>
    <mergeCell ref="AJ171:AM171"/>
    <mergeCell ref="AJ172:AM172"/>
  </mergeCells>
  <printOptions horizontalCentered="1"/>
  <pageMargins left="0.45" right="0.45" top="0.5" bottom="0.5" header="0.3" footer="0.3"/>
  <pageSetup scale="25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65"/>
  <sheetViews>
    <sheetView topLeftCell="A130" workbookViewId="0">
      <selection activeCell="AF30" sqref="AF3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7" t="s">
        <v>5</v>
      </c>
      <c r="D1" s="167"/>
      <c r="E1" s="167"/>
    </row>
    <row r="2" spans="3:40" ht="15.6" x14ac:dyDescent="0.3">
      <c r="C2" s="167" t="s">
        <v>6</v>
      </c>
      <c r="D2" s="167"/>
      <c r="E2" s="167"/>
    </row>
    <row r="3" spans="3:40" x14ac:dyDescent="0.3">
      <c r="C3" s="168" t="s">
        <v>13</v>
      </c>
      <c r="D3" s="168"/>
    </row>
    <row r="4" spans="3:40" x14ac:dyDescent="0.3">
      <c r="D4" s="168"/>
      <c r="E4" s="168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580" t="s">
        <v>7</v>
      </c>
      <c r="F7" s="581"/>
      <c r="G7" s="585">
        <v>0.7</v>
      </c>
      <c r="H7" s="585"/>
      <c r="I7" s="585"/>
      <c r="J7" s="585"/>
      <c r="K7" s="585"/>
      <c r="L7" s="585"/>
      <c r="M7" s="585"/>
      <c r="N7" s="585"/>
      <c r="O7" s="585"/>
      <c r="P7" s="585"/>
      <c r="Q7" s="585"/>
      <c r="R7" s="585"/>
      <c r="S7" s="585"/>
      <c r="T7" s="585"/>
      <c r="U7" s="586"/>
    </row>
    <row r="8" spans="3:40" x14ac:dyDescent="0.3">
      <c r="E8" s="582" t="s">
        <v>123</v>
      </c>
      <c r="F8" s="583"/>
      <c r="G8" s="583"/>
      <c r="H8" s="583"/>
      <c r="I8" s="583"/>
      <c r="J8" s="583"/>
      <c r="K8" s="583"/>
      <c r="L8" s="583"/>
      <c r="M8" s="583"/>
      <c r="N8" s="583"/>
      <c r="O8" s="583"/>
      <c r="P8" s="583"/>
      <c r="Q8" s="583"/>
      <c r="R8" s="583"/>
      <c r="S8" s="583"/>
      <c r="T8" s="583"/>
      <c r="U8" s="584"/>
    </row>
    <row r="9" spans="3:40" x14ac:dyDescent="0.3">
      <c r="E9" s="600" t="s">
        <v>37</v>
      </c>
      <c r="F9" s="601"/>
      <c r="G9" s="601"/>
      <c r="H9" s="601"/>
      <c r="I9" s="601"/>
      <c r="J9" s="601"/>
      <c r="K9" s="601"/>
      <c r="L9" s="601"/>
      <c r="M9" s="601"/>
      <c r="N9" s="601"/>
      <c r="O9" s="601"/>
      <c r="P9" s="602"/>
      <c r="Q9" s="598" t="s">
        <v>116</v>
      </c>
      <c r="R9" s="5"/>
      <c r="S9" s="595" t="s">
        <v>4</v>
      </c>
      <c r="T9" s="596"/>
      <c r="U9" s="597"/>
      <c r="W9" s="58" t="s">
        <v>18</v>
      </c>
    </row>
    <row r="10" spans="3:40" x14ac:dyDescent="0.3">
      <c r="E10" s="283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3" t="s">
        <v>79</v>
      </c>
      <c r="N10" s="119"/>
      <c r="O10" s="120" t="s">
        <v>15</v>
      </c>
      <c r="P10" s="372"/>
      <c r="Q10" s="599"/>
      <c r="R10" s="6"/>
      <c r="S10" s="4" t="s">
        <v>4</v>
      </c>
      <c r="T10" s="6"/>
      <c r="U10" s="284" t="s">
        <v>80</v>
      </c>
    </row>
    <row r="11" spans="3:40" x14ac:dyDescent="0.3">
      <c r="C11" s="171">
        <v>43910</v>
      </c>
      <c r="E11" s="285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3"/>
      <c r="R11" s="6"/>
      <c r="S11" s="6"/>
      <c r="T11" s="6"/>
      <c r="U11" s="286"/>
      <c r="W11">
        <v>1</v>
      </c>
      <c r="AL11" s="110"/>
      <c r="AM11" s="110"/>
      <c r="AN11" s="110"/>
    </row>
    <row r="12" spans="3:40" ht="15" thickBot="1" x14ac:dyDescent="0.35">
      <c r="C12" s="171">
        <f>+C11+1</f>
        <v>43911</v>
      </c>
      <c r="E12" s="285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3"/>
      <c r="R12" s="6"/>
      <c r="S12" s="6"/>
      <c r="T12" s="6"/>
      <c r="U12" s="286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1">
        <f>+C12+1</f>
        <v>43912</v>
      </c>
      <c r="E13" s="285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3"/>
      <c r="R13" s="6"/>
      <c r="S13" s="6"/>
      <c r="T13" s="6"/>
      <c r="U13" s="286"/>
      <c r="W13">
        <f t="shared" si="0"/>
        <v>3</v>
      </c>
      <c r="Z13" s="1"/>
      <c r="AA13" s="1"/>
      <c r="AB13" s="1"/>
      <c r="AC13" s="203" t="s">
        <v>60</v>
      </c>
      <c r="AD13" s="204"/>
      <c r="AE13" s="204"/>
      <c r="AF13" s="204"/>
      <c r="AG13" s="204"/>
      <c r="AH13" s="204"/>
      <c r="AI13" s="204"/>
      <c r="AJ13" s="204"/>
      <c r="AK13" s="205"/>
      <c r="AL13" s="155"/>
      <c r="AM13" s="155"/>
      <c r="AN13" s="110"/>
    </row>
    <row r="14" spans="3:40" ht="15" thickBot="1" x14ac:dyDescent="0.35">
      <c r="C14" s="171">
        <f t="shared" ref="C14:C97" si="1">+C13+1</f>
        <v>43913</v>
      </c>
      <c r="E14" s="285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3"/>
      <c r="R14" s="6"/>
      <c r="S14" s="6"/>
      <c r="T14" s="6"/>
      <c r="U14" s="286"/>
      <c r="W14">
        <f t="shared" si="0"/>
        <v>4</v>
      </c>
      <c r="Z14" s="1"/>
      <c r="AA14" s="1"/>
      <c r="AB14" s="1"/>
      <c r="AC14" s="206"/>
      <c r="AD14" s="592" t="s">
        <v>48</v>
      </c>
      <c r="AE14" s="593"/>
      <c r="AF14" s="594"/>
      <c r="AG14" s="207"/>
      <c r="AH14" s="590" t="s">
        <v>32</v>
      </c>
      <c r="AI14" s="208"/>
      <c r="AJ14" s="208"/>
      <c r="AK14" s="209"/>
      <c r="AL14" s="110"/>
      <c r="AM14" s="110"/>
      <c r="AN14" s="110"/>
    </row>
    <row r="15" spans="3:40" ht="15" thickBot="1" x14ac:dyDescent="0.35">
      <c r="C15" s="171">
        <f t="shared" si="1"/>
        <v>43914</v>
      </c>
      <c r="E15" s="285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3"/>
      <c r="R15" s="6"/>
      <c r="S15" s="6"/>
      <c r="T15" s="6"/>
      <c r="U15" s="286"/>
      <c r="W15">
        <f t="shared" si="0"/>
        <v>5</v>
      </c>
      <c r="Z15" s="1"/>
      <c r="AA15" s="1"/>
      <c r="AB15" s="1"/>
      <c r="AC15" s="190"/>
      <c r="AD15" s="169"/>
      <c r="AE15" s="169"/>
      <c r="AF15" s="210" t="s">
        <v>20</v>
      </c>
      <c r="AG15" s="211"/>
      <c r="AH15" s="591"/>
      <c r="AI15" s="212"/>
      <c r="AJ15" s="213" t="s">
        <v>4</v>
      </c>
      <c r="AK15" s="214"/>
      <c r="AL15" s="110"/>
      <c r="AM15" s="110"/>
      <c r="AN15" s="110"/>
    </row>
    <row r="16" spans="3:40" x14ac:dyDescent="0.3">
      <c r="C16" s="171">
        <f t="shared" si="1"/>
        <v>43915</v>
      </c>
      <c r="E16" s="285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3"/>
      <c r="R16" s="6"/>
      <c r="S16" s="6"/>
      <c r="T16" s="6"/>
      <c r="U16" s="286"/>
      <c r="W16">
        <f t="shared" si="0"/>
        <v>6</v>
      </c>
      <c r="Z16" s="1"/>
      <c r="AA16" s="1"/>
      <c r="AB16" s="1"/>
      <c r="AC16" s="190"/>
      <c r="AD16" s="202" t="s">
        <v>39</v>
      </c>
      <c r="AE16" s="169"/>
      <c r="AF16" s="202">
        <f>+K153</f>
        <v>649519</v>
      </c>
      <c r="AG16" s="201"/>
      <c r="AH16" s="215">
        <f>+AJ31</f>
        <v>2008.5846108183539</v>
      </c>
      <c r="AI16" s="215"/>
      <c r="AJ16" s="216">
        <f>+S153</f>
        <v>53002</v>
      </c>
      <c r="AK16" s="217"/>
      <c r="AL16" s="110"/>
      <c r="AM16" s="110"/>
      <c r="AN16" s="110"/>
    </row>
    <row r="17" spans="3:41" x14ac:dyDescent="0.3">
      <c r="C17" s="171">
        <f t="shared" si="1"/>
        <v>43916</v>
      </c>
      <c r="E17" s="285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3"/>
      <c r="R17" s="6"/>
      <c r="S17" s="6"/>
      <c r="T17" s="6"/>
      <c r="U17" s="286"/>
      <c r="W17">
        <f t="shared" si="0"/>
        <v>7</v>
      </c>
      <c r="Z17" s="61"/>
      <c r="AA17" s="61"/>
      <c r="AB17" s="10"/>
      <c r="AC17" s="190"/>
      <c r="AD17" s="218" t="s">
        <v>58</v>
      </c>
      <c r="AE17" s="169"/>
      <c r="AF17" s="162">
        <v>118657</v>
      </c>
      <c r="AG17" s="202"/>
      <c r="AH17" s="163">
        <v>1722</v>
      </c>
      <c r="AI17" s="215"/>
      <c r="AJ17" s="162">
        <v>8648</v>
      </c>
      <c r="AK17" s="219"/>
      <c r="AL17" s="110"/>
      <c r="AM17" s="90"/>
      <c r="AN17" s="90"/>
    </row>
    <row r="18" spans="3:41" x14ac:dyDescent="0.3">
      <c r="C18" s="171">
        <f t="shared" si="1"/>
        <v>43917</v>
      </c>
      <c r="E18" s="285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4"/>
      <c r="R18" s="44"/>
      <c r="S18" s="6"/>
      <c r="T18" s="6"/>
      <c r="U18" s="287"/>
      <c r="W18">
        <f t="shared" si="0"/>
        <v>8</v>
      </c>
      <c r="Z18" s="1"/>
      <c r="AA18" s="1"/>
      <c r="AB18" s="1"/>
      <c r="AC18" s="190"/>
      <c r="AD18" s="202" t="s">
        <v>90</v>
      </c>
      <c r="AE18" s="169"/>
      <c r="AF18" s="162">
        <v>118894</v>
      </c>
      <c r="AG18" s="202"/>
      <c r="AH18" s="163">
        <v>929</v>
      </c>
      <c r="AI18" s="215"/>
      <c r="AJ18" s="162">
        <v>7224</v>
      </c>
      <c r="AK18" s="219"/>
      <c r="AL18" s="110"/>
      <c r="AM18" s="90"/>
      <c r="AN18" s="90"/>
    </row>
    <row r="19" spans="3:41" ht="15" thickBot="1" x14ac:dyDescent="0.35">
      <c r="C19" s="171">
        <f t="shared" si="1"/>
        <v>43918</v>
      </c>
      <c r="E19" s="285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6">
        <f>+K19-K18</f>
        <v>9747</v>
      </c>
      <c r="R19" s="44"/>
      <c r="S19" s="7">
        <f>728+140</f>
        <v>868</v>
      </c>
      <c r="T19" s="6"/>
      <c r="U19" s="287">
        <f>+S19/K19</f>
        <v>1.3681788089908893E-2</v>
      </c>
      <c r="W19">
        <f t="shared" si="0"/>
        <v>9</v>
      </c>
      <c r="Z19" s="1"/>
      <c r="AA19" s="1"/>
      <c r="AB19" s="10"/>
      <c r="AC19" s="190"/>
      <c r="AD19" s="169"/>
      <c r="AE19" s="169"/>
      <c r="AF19" s="220">
        <f>SUM(AF16:AF18)</f>
        <v>887070</v>
      </c>
      <c r="AG19" s="202"/>
      <c r="AH19" s="202"/>
      <c r="AI19" s="202"/>
      <c r="AJ19" s="220">
        <f>SUM(AJ16:AJ18)</f>
        <v>68874</v>
      </c>
      <c r="AK19" s="219"/>
      <c r="AL19" s="110"/>
      <c r="AM19" s="90"/>
      <c r="AN19" s="90"/>
    </row>
    <row r="20" spans="3:41" ht="15" thickTop="1" x14ac:dyDescent="0.3">
      <c r="C20" s="171">
        <f t="shared" si="1"/>
        <v>43919</v>
      </c>
      <c r="E20" s="285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6">
        <f t="shared" ref="Q20:Q61" si="4">+K20-K19</f>
        <v>9457</v>
      </c>
      <c r="R20" s="44"/>
      <c r="S20" s="7">
        <f>965+161</f>
        <v>1126</v>
      </c>
      <c r="T20" s="6"/>
      <c r="U20" s="287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0"/>
      <c r="AD20" s="169"/>
      <c r="AE20" s="169"/>
      <c r="AF20" s="202"/>
      <c r="AG20" s="202"/>
      <c r="AH20" s="202"/>
      <c r="AI20" s="202"/>
      <c r="AJ20" s="202"/>
      <c r="AK20" s="219"/>
      <c r="AL20" s="110"/>
      <c r="AM20" s="90"/>
      <c r="AN20" s="90"/>
    </row>
    <row r="21" spans="3:41" ht="15" thickBot="1" x14ac:dyDescent="0.35">
      <c r="C21" s="171">
        <f t="shared" si="1"/>
        <v>43920</v>
      </c>
      <c r="E21" s="285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6">
        <f t="shared" si="4"/>
        <v>10204</v>
      </c>
      <c r="R21" s="44"/>
      <c r="S21" s="7">
        <f>1218+198</f>
        <v>1416</v>
      </c>
      <c r="T21" s="6"/>
      <c r="U21" s="287">
        <f t="shared" si="5"/>
        <v>1.7039096061514023E-2</v>
      </c>
      <c r="W21">
        <f t="shared" si="0"/>
        <v>11</v>
      </c>
      <c r="Z21" s="1"/>
      <c r="AA21" s="1"/>
      <c r="AB21" s="1"/>
      <c r="AC21" s="190"/>
      <c r="AD21" s="221" t="s">
        <v>29</v>
      </c>
      <c r="AE21" s="169"/>
      <c r="AF21" s="222">
        <f>+AF19/'Main Table'!H154</f>
        <v>0.18249040869482749</v>
      </c>
      <c r="AG21" s="202"/>
      <c r="AH21" s="202"/>
      <c r="AI21" s="202"/>
      <c r="AJ21" s="222">
        <f>+AJ19/'Main Table'!Z154</f>
        <v>0.43519799821811084</v>
      </c>
      <c r="AK21" s="219"/>
      <c r="AL21" s="110"/>
      <c r="AM21" s="96"/>
      <c r="AN21" s="90"/>
    </row>
    <row r="22" spans="3:41" ht="15.6" thickTop="1" thickBot="1" x14ac:dyDescent="0.35">
      <c r="C22" s="171">
        <f t="shared" si="1"/>
        <v>43921</v>
      </c>
      <c r="E22" s="285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6">
        <f t="shared" si="4"/>
        <v>11388</v>
      </c>
      <c r="R22" s="6"/>
      <c r="S22" s="7">
        <f>1550+267</f>
        <v>1817</v>
      </c>
      <c r="T22" s="6"/>
      <c r="U22" s="287">
        <f t="shared" si="5"/>
        <v>1.9229344593665005E-2</v>
      </c>
      <c r="W22">
        <f t="shared" si="0"/>
        <v>12</v>
      </c>
      <c r="Z22" s="1"/>
      <c r="AA22" s="1"/>
      <c r="AB22" s="1"/>
      <c r="AC22" s="195"/>
      <c r="AD22" s="223"/>
      <c r="AE22" s="196"/>
      <c r="AF22" s="224"/>
      <c r="AG22" s="225"/>
      <c r="AH22" s="225"/>
      <c r="AI22" s="225"/>
      <c r="AJ22" s="224"/>
      <c r="AK22" s="226"/>
      <c r="AL22" s="110"/>
      <c r="AM22" s="90"/>
      <c r="AN22" s="90"/>
    </row>
    <row r="23" spans="3:41" x14ac:dyDescent="0.3">
      <c r="C23" s="171">
        <f t="shared" si="1"/>
        <v>43922</v>
      </c>
      <c r="E23" s="285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6">
        <f t="shared" si="4"/>
        <v>11476</v>
      </c>
      <c r="R23" s="6"/>
      <c r="S23" s="7">
        <f>1941+355</f>
        <v>2296</v>
      </c>
      <c r="T23" s="6"/>
      <c r="U23" s="287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1">
        <f t="shared" si="1"/>
        <v>43923</v>
      </c>
      <c r="E24" s="285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6">
        <f t="shared" si="4"/>
        <v>12129</v>
      </c>
      <c r="R24" s="6"/>
      <c r="S24" s="7">
        <f>2373+537</f>
        <v>2910</v>
      </c>
      <c r="T24" s="6"/>
      <c r="U24" s="287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1">
        <f t="shared" si="1"/>
        <v>43924</v>
      </c>
      <c r="E25" s="285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6">
        <f t="shared" si="4"/>
        <v>14859</v>
      </c>
      <c r="R25" s="6"/>
      <c r="S25" s="7">
        <f>2935+646</f>
        <v>3581</v>
      </c>
      <c r="T25" s="6"/>
      <c r="U25" s="287">
        <f t="shared" si="5"/>
        <v>2.6933925012222179E-2</v>
      </c>
      <c r="W25">
        <f t="shared" si="0"/>
        <v>15</v>
      </c>
      <c r="Z25" s="1"/>
      <c r="AA25" s="592" t="s">
        <v>133</v>
      </c>
      <c r="AB25" s="593"/>
      <c r="AC25" s="593"/>
      <c r="AD25" s="593"/>
      <c r="AE25" s="593"/>
      <c r="AF25" s="593"/>
      <c r="AG25" s="593"/>
      <c r="AH25" s="593"/>
      <c r="AI25" s="593"/>
      <c r="AJ25" s="593"/>
      <c r="AK25" s="594"/>
      <c r="AL25" s="155"/>
      <c r="AM25" s="155"/>
      <c r="AN25" s="90"/>
      <c r="AO25" s="118"/>
    </row>
    <row r="26" spans="3:41" x14ac:dyDescent="0.3">
      <c r="C26" s="171">
        <f t="shared" si="1"/>
        <v>43925</v>
      </c>
      <c r="E26" s="285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6">
        <f t="shared" si="4"/>
        <v>15002</v>
      </c>
      <c r="R26" s="6"/>
      <c r="S26" s="7">
        <f>3565+846</f>
        <v>4411</v>
      </c>
      <c r="T26" s="6"/>
      <c r="U26" s="287">
        <f t="shared" si="5"/>
        <v>2.9812715856634021E-2</v>
      </c>
      <c r="W26">
        <f t="shared" si="0"/>
        <v>16</v>
      </c>
      <c r="Z26" s="1"/>
      <c r="AA26" s="186"/>
      <c r="AB26" s="187" t="s">
        <v>53</v>
      </c>
      <c r="AC26" s="188"/>
      <c r="AD26" s="187" t="s">
        <v>20</v>
      </c>
      <c r="AE26" s="188"/>
      <c r="AF26" s="187" t="s">
        <v>54</v>
      </c>
      <c r="AG26" s="188"/>
      <c r="AH26" s="187" t="s">
        <v>56</v>
      </c>
      <c r="AI26" s="188"/>
      <c r="AJ26" s="187" t="s">
        <v>55</v>
      </c>
      <c r="AK26" s="189"/>
      <c r="AL26" s="118"/>
      <c r="AM26" s="118"/>
      <c r="AN26" s="96"/>
      <c r="AO26" s="118"/>
    </row>
    <row r="27" spans="3:41" x14ac:dyDescent="0.3">
      <c r="C27" s="171">
        <f t="shared" si="1"/>
        <v>43926</v>
      </c>
      <c r="E27" s="285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6">
        <f t="shared" si="4"/>
        <v>12708</v>
      </c>
      <c r="R27" s="6"/>
      <c r="S27" s="7">
        <f>4150+914</f>
        <v>5064</v>
      </c>
      <c r="T27" s="6"/>
      <c r="U27" s="287">
        <f t="shared" si="5"/>
        <v>3.1518999159742322E-2</v>
      </c>
      <c r="W27">
        <f t="shared" si="0"/>
        <v>17</v>
      </c>
      <c r="Z27" s="1"/>
      <c r="AA27" s="190"/>
      <c r="AB27" s="169" t="s">
        <v>50</v>
      </c>
      <c r="AC27" s="169"/>
      <c r="AD27" s="169">
        <f>+E153</f>
        <v>416843</v>
      </c>
      <c r="AE27" s="169"/>
      <c r="AF27" s="200">
        <v>2142</v>
      </c>
      <c r="AG27" s="169"/>
      <c r="AH27" s="191">
        <f>+AD27/AD$31</f>
        <v>0.54263996792401736</v>
      </c>
      <c r="AI27" s="191"/>
      <c r="AJ27" s="169">
        <f>+AF27*AH27</f>
        <v>1162.3348112932451</v>
      </c>
      <c r="AK27" s="192"/>
      <c r="AL27" s="118"/>
      <c r="AM27" s="90"/>
      <c r="AN27" s="90"/>
      <c r="AO27" s="118"/>
    </row>
    <row r="28" spans="3:41" x14ac:dyDescent="0.3">
      <c r="C28" s="171">
        <f t="shared" si="1"/>
        <v>43927</v>
      </c>
      <c r="E28" s="285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6">
        <f t="shared" si="4"/>
        <v>11985</v>
      </c>
      <c r="R28" s="6"/>
      <c r="S28" s="7">
        <f>4758+1003</f>
        <v>5761</v>
      </c>
      <c r="T28" s="6"/>
      <c r="U28" s="287">
        <f t="shared" si="5"/>
        <v>3.3368085722560094E-2</v>
      </c>
      <c r="W28">
        <f t="shared" si="0"/>
        <v>18</v>
      </c>
      <c r="Z28" s="1"/>
      <c r="AA28" s="190"/>
      <c r="AB28" s="169" t="s">
        <v>51</v>
      </c>
      <c r="AC28" s="169"/>
      <c r="AD28" s="169">
        <f>+G153</f>
        <v>182614</v>
      </c>
      <c r="AE28" s="169"/>
      <c r="AF28" s="200">
        <v>2056</v>
      </c>
      <c r="AG28" s="169"/>
      <c r="AH28" s="191">
        <f>+AD28/AD$31</f>
        <v>0.23772416737830915</v>
      </c>
      <c r="AI28" s="191"/>
      <c r="AJ28" s="169">
        <f>+AF28*AH28</f>
        <v>488.76088812980362</v>
      </c>
      <c r="AK28" s="192"/>
      <c r="AL28" s="118"/>
      <c r="AM28" s="90"/>
      <c r="AN28" s="90"/>
      <c r="AO28" s="118"/>
    </row>
    <row r="29" spans="3:41" x14ac:dyDescent="0.3">
      <c r="C29" s="171">
        <f t="shared" si="1"/>
        <v>43928</v>
      </c>
      <c r="E29" s="285">
        <v>139876</v>
      </c>
      <c r="F29" s="7"/>
      <c r="G29" s="7">
        <f>44416</f>
        <v>44416</v>
      </c>
      <c r="H29" s="7"/>
      <c r="I29" s="7"/>
      <c r="J29" s="288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6">
        <f t="shared" si="4"/>
        <v>11642</v>
      </c>
      <c r="R29" s="6"/>
      <c r="S29" s="7">
        <f>5489+1232+277</f>
        <v>6998</v>
      </c>
      <c r="T29" s="6"/>
      <c r="U29" s="287">
        <f t="shared" si="5"/>
        <v>3.7972348229982855E-2</v>
      </c>
      <c r="W29">
        <f t="shared" si="0"/>
        <v>19</v>
      </c>
      <c r="Z29" s="1"/>
      <c r="AA29" s="190"/>
      <c r="AB29" s="169" t="s">
        <v>52</v>
      </c>
      <c r="AC29" s="169"/>
      <c r="AD29" s="169">
        <f>+I153</f>
        <v>50062</v>
      </c>
      <c r="AE29" s="169"/>
      <c r="AF29" s="200">
        <v>1404</v>
      </c>
      <c r="AG29" s="169"/>
      <c r="AH29" s="191">
        <f>+AD29/AD$31</f>
        <v>6.516996105059257E-2</v>
      </c>
      <c r="AI29" s="191"/>
      <c r="AJ29" s="169">
        <f>+AF29*AH29</f>
        <v>91.498625315031973</v>
      </c>
      <c r="AK29" s="192"/>
      <c r="AL29" s="118"/>
      <c r="AM29" s="90"/>
      <c r="AN29" s="90"/>
      <c r="AO29" s="118"/>
    </row>
    <row r="30" spans="3:41" x14ac:dyDescent="0.3">
      <c r="C30" s="171">
        <f t="shared" si="1"/>
        <v>43929</v>
      </c>
      <c r="E30" s="285">
        <v>151069</v>
      </c>
      <c r="F30" s="7"/>
      <c r="G30" s="7">
        <f>47437</f>
        <v>47437</v>
      </c>
      <c r="H30" s="7"/>
      <c r="I30" s="7">
        <v>8781</v>
      </c>
      <c r="J30" s="288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6">
        <f t="shared" si="4"/>
        <v>22995</v>
      </c>
      <c r="R30" s="6"/>
      <c r="S30" s="7">
        <f>6268+1504+335</f>
        <v>8107</v>
      </c>
      <c r="T30" s="6"/>
      <c r="U30" s="287">
        <f t="shared" si="5"/>
        <v>3.9110026195564605E-2</v>
      </c>
      <c r="W30">
        <f t="shared" si="0"/>
        <v>20</v>
      </c>
      <c r="Z30" s="1"/>
      <c r="AA30" s="186"/>
      <c r="AB30" s="169" t="s">
        <v>105</v>
      </c>
      <c r="AC30" s="281"/>
      <c r="AD30" s="169">
        <f>+AF17</f>
        <v>118657</v>
      </c>
      <c r="AE30" s="281"/>
      <c r="AF30" s="169">
        <f>+AH17</f>
        <v>1722</v>
      </c>
      <c r="AG30" s="281"/>
      <c r="AH30" s="191">
        <f>+AD30/AD$31</f>
        <v>0.15446590364708088</v>
      </c>
      <c r="AI30" s="281"/>
      <c r="AJ30" s="169">
        <f>+AF30*AH30</f>
        <v>265.99028608027328</v>
      </c>
      <c r="AK30" s="192"/>
      <c r="AL30" s="118"/>
      <c r="AM30" s="90"/>
      <c r="AN30" s="90"/>
      <c r="AO30" s="118"/>
    </row>
    <row r="31" spans="3:41" ht="15" thickBot="1" x14ac:dyDescent="0.35">
      <c r="C31" s="171">
        <f t="shared" si="1"/>
        <v>43930</v>
      </c>
      <c r="E31" s="285">
        <v>161790</v>
      </c>
      <c r="F31" s="7"/>
      <c r="G31" s="7">
        <f>51027</f>
        <v>51027</v>
      </c>
      <c r="H31" s="7"/>
      <c r="I31" s="7">
        <v>9784</v>
      </c>
      <c r="J31" s="288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6">
        <f t="shared" si="4"/>
        <v>15314</v>
      </c>
      <c r="R31" s="6"/>
      <c r="S31" s="7">
        <f>7067+1209+380</f>
        <v>8656</v>
      </c>
      <c r="T31" s="6"/>
      <c r="U31" s="287">
        <f t="shared" si="5"/>
        <v>3.8885719291467696E-2</v>
      </c>
      <c r="W31">
        <f t="shared" si="0"/>
        <v>21</v>
      </c>
      <c r="Z31" s="1"/>
      <c r="AA31" s="190"/>
      <c r="AB31" s="169"/>
      <c r="AC31" s="169"/>
      <c r="AD31" s="193">
        <f>SUM(AD27:AD30)</f>
        <v>768176</v>
      </c>
      <c r="AE31" s="169"/>
      <c r="AF31" s="169"/>
      <c r="AG31" s="169"/>
      <c r="AH31" s="194">
        <f>SUM(AH27:AH30)</f>
        <v>1</v>
      </c>
      <c r="AI31" s="191"/>
      <c r="AJ31" s="193">
        <f>SUM(AJ27:AJ30)</f>
        <v>2008.5846108183539</v>
      </c>
      <c r="AK31" s="192"/>
      <c r="AL31" s="118"/>
      <c r="AM31" s="90"/>
      <c r="AN31" s="90"/>
      <c r="AO31" s="118"/>
    </row>
    <row r="32" spans="3:41" ht="15.6" thickTop="1" thickBot="1" x14ac:dyDescent="0.35">
      <c r="C32" s="171">
        <f t="shared" si="1"/>
        <v>43931</v>
      </c>
      <c r="E32" s="285">
        <v>174481</v>
      </c>
      <c r="F32" s="7"/>
      <c r="G32" s="7">
        <f>54588</f>
        <v>54588</v>
      </c>
      <c r="H32" s="7"/>
      <c r="I32" s="7">
        <v>10538</v>
      </c>
      <c r="J32" s="288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6">
        <f t="shared" si="4"/>
        <v>17006</v>
      </c>
      <c r="R32" s="6"/>
      <c r="S32" s="7">
        <f>7884+1932+448</f>
        <v>10264</v>
      </c>
      <c r="T32" s="6"/>
      <c r="U32" s="287">
        <f t="shared" si="5"/>
        <v>4.2836811946228619E-2</v>
      </c>
      <c r="W32">
        <f t="shared" si="0"/>
        <v>22</v>
      </c>
      <c r="Z32" s="1"/>
      <c r="AA32" s="195"/>
      <c r="AB32" s="196"/>
      <c r="AC32" s="196"/>
      <c r="AD32" s="196"/>
      <c r="AE32" s="196"/>
      <c r="AF32" s="196"/>
      <c r="AG32" s="196"/>
      <c r="AH32" s="197"/>
      <c r="AI32" s="197"/>
      <c r="AJ32" s="198"/>
      <c r="AK32" s="199"/>
      <c r="AL32" s="118"/>
      <c r="AM32" s="90"/>
      <c r="AN32" s="90"/>
      <c r="AO32" s="118"/>
    </row>
    <row r="33" spans="3:40" x14ac:dyDescent="0.3">
      <c r="C33" s="171">
        <f t="shared" si="1"/>
        <v>43932</v>
      </c>
      <c r="E33" s="285">
        <v>181825</v>
      </c>
      <c r="F33" s="7"/>
      <c r="G33" s="7">
        <f>58151</f>
        <v>58151</v>
      </c>
      <c r="H33" s="7"/>
      <c r="I33" s="7">
        <v>11510</v>
      </c>
      <c r="J33" s="288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6">
        <f t="shared" si="4"/>
        <v>11879</v>
      </c>
      <c r="R33" s="6"/>
      <c r="S33" s="7">
        <f>8650+2183+494</f>
        <v>11327</v>
      </c>
      <c r="T33" s="6"/>
      <c r="U33" s="287">
        <f t="shared" si="5"/>
        <v>4.5040280572278379E-2</v>
      </c>
      <c r="W33">
        <f t="shared" si="0"/>
        <v>23</v>
      </c>
    </row>
    <row r="34" spans="3:40" x14ac:dyDescent="0.3">
      <c r="C34" s="171">
        <f t="shared" si="1"/>
        <v>43933</v>
      </c>
      <c r="E34" s="285">
        <v>189033</v>
      </c>
      <c r="F34" s="7"/>
      <c r="G34" s="7">
        <f>61850</f>
        <v>61850</v>
      </c>
      <c r="H34" s="7"/>
      <c r="I34" s="7">
        <v>12035</v>
      </c>
      <c r="J34" s="288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6">
        <f t="shared" si="4"/>
        <v>11432</v>
      </c>
      <c r="R34" s="6"/>
      <c r="S34" s="7">
        <f>9385+2350+554</f>
        <v>12289</v>
      </c>
      <c r="T34" s="6"/>
      <c r="U34" s="287">
        <f t="shared" si="5"/>
        <v>4.674080892141276E-2</v>
      </c>
      <c r="W34">
        <f t="shared" si="0"/>
        <v>24</v>
      </c>
    </row>
    <row r="35" spans="3:40" ht="15" thickBot="1" x14ac:dyDescent="0.35">
      <c r="C35" s="171">
        <f t="shared" si="1"/>
        <v>43934</v>
      </c>
      <c r="E35" s="285">
        <v>195749</v>
      </c>
      <c r="F35" s="7"/>
      <c r="G35" s="7">
        <f>64584</f>
        <v>64584</v>
      </c>
      <c r="H35" s="7"/>
      <c r="I35" s="7">
        <v>13381</v>
      </c>
      <c r="J35" s="288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6">
        <f t="shared" si="4"/>
        <v>10796</v>
      </c>
      <c r="R35" s="6"/>
      <c r="S35" s="7">
        <f>10058+2443+602</f>
        <v>13103</v>
      </c>
      <c r="T35" s="6"/>
      <c r="U35" s="287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1">
        <f t="shared" si="1"/>
        <v>43935</v>
      </c>
      <c r="E36" s="285">
        <v>203020</v>
      </c>
      <c r="F36" s="7"/>
      <c r="G36" s="7">
        <f>68824</f>
        <v>68824</v>
      </c>
      <c r="H36" s="7"/>
      <c r="I36" s="7">
        <v>13989</v>
      </c>
      <c r="J36" s="288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6">
        <f t="shared" si="4"/>
        <v>12119</v>
      </c>
      <c r="R36" s="6"/>
      <c r="S36" s="7">
        <f>10842+2805+671+3778</f>
        <v>18096</v>
      </c>
      <c r="T36" s="6"/>
      <c r="U36" s="287">
        <f t="shared" si="5"/>
        <v>6.3309694821801543E-2</v>
      </c>
      <c r="W36">
        <f t="shared" si="0"/>
        <v>26</v>
      </c>
      <c r="Z36" s="1"/>
      <c r="AA36" s="587" t="s">
        <v>31</v>
      </c>
      <c r="AB36" s="588"/>
      <c r="AC36" s="588"/>
      <c r="AD36" s="588"/>
      <c r="AE36" s="588"/>
      <c r="AF36" s="588"/>
      <c r="AG36" s="588"/>
      <c r="AH36" s="588"/>
      <c r="AI36" s="589"/>
      <c r="AJ36" s="155"/>
      <c r="AK36" s="155"/>
      <c r="AL36" s="155"/>
      <c r="AM36" s="95"/>
      <c r="AN36" s="95"/>
    </row>
    <row r="37" spans="3:40" x14ac:dyDescent="0.3">
      <c r="C37" s="171">
        <f t="shared" si="1"/>
        <v>43936</v>
      </c>
      <c r="E37" s="285">
        <v>214639</v>
      </c>
      <c r="F37" s="7"/>
      <c r="G37" s="7">
        <f>71030</f>
        <v>71030</v>
      </c>
      <c r="H37" s="7"/>
      <c r="I37" s="7">
        <v>14755</v>
      </c>
      <c r="J37" s="288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6">
        <f t="shared" si="4"/>
        <v>14591</v>
      </c>
      <c r="R37" s="6"/>
      <c r="S37" s="7">
        <f>11620+3156+868-145</f>
        <v>15499</v>
      </c>
      <c r="T37" s="6"/>
      <c r="U37" s="287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7" t="s">
        <v>30</v>
      </c>
      <c r="AG37" s="165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1">
        <f t="shared" si="1"/>
        <v>43937</v>
      </c>
      <c r="E38" s="285">
        <v>223691</v>
      </c>
      <c r="F38" s="7"/>
      <c r="G38" s="7">
        <f>75317</f>
        <v>75317</v>
      </c>
      <c r="H38" s="7"/>
      <c r="I38" s="7">
        <v>15884</v>
      </c>
      <c r="J38" s="288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6">
        <f t="shared" si="4"/>
        <v>14468</v>
      </c>
      <c r="R38" s="6"/>
      <c r="S38" s="7">
        <f>14832+3518+446</f>
        <v>18796</v>
      </c>
      <c r="T38" s="6"/>
      <c r="U38" s="287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6">
        <v>20100000</v>
      </c>
      <c r="AG38" s="165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1">
        <f t="shared" si="1"/>
        <v>43938</v>
      </c>
      <c r="E39" s="285">
        <v>230597</v>
      </c>
      <c r="F39" s="7"/>
      <c r="G39" s="7">
        <f>78467</f>
        <v>78467</v>
      </c>
      <c r="H39" s="7"/>
      <c r="I39" s="7">
        <v>16809</v>
      </c>
      <c r="J39" s="288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6">
        <f t="shared" si="4"/>
        <v>10981</v>
      </c>
      <c r="R39" s="6"/>
      <c r="S39" s="7">
        <f>17131+3840+1036</f>
        <v>22007</v>
      </c>
      <c r="T39" s="6"/>
      <c r="U39" s="287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5">
        <v>4900000</v>
      </c>
      <c r="AG39" s="165"/>
      <c r="AH39" s="100">
        <f>+AF39/AF$43</f>
        <v>1.4848484848484849E-2</v>
      </c>
      <c r="AI39" s="178"/>
      <c r="AJ39" s="176"/>
      <c r="AK39" s="176"/>
      <c r="AL39" s="110"/>
      <c r="AM39" s="108"/>
      <c r="AN39" s="108"/>
    </row>
    <row r="40" spans="3:40" x14ac:dyDescent="0.3">
      <c r="C40" s="333">
        <f t="shared" si="1"/>
        <v>43939</v>
      </c>
      <c r="D40" s="110"/>
      <c r="E40" s="285">
        <v>238767</v>
      </c>
      <c r="F40" s="7"/>
      <c r="G40" s="7">
        <f>81420</f>
        <v>81420</v>
      </c>
      <c r="H40" s="7"/>
      <c r="I40" s="7">
        <v>17550</v>
      </c>
      <c r="J40" s="288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6">
        <f t="shared" si="4"/>
        <v>11864</v>
      </c>
      <c r="R40" s="6"/>
      <c r="S40" s="7">
        <f>17671+4070+1086</f>
        <v>22827</v>
      </c>
      <c r="T40" s="6"/>
      <c r="U40" s="287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5">
        <v>6000000</v>
      </c>
      <c r="AG40" s="165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1">
        <f t="shared" si="1"/>
        <v>43940</v>
      </c>
      <c r="E41" s="285">
        <v>242570</v>
      </c>
      <c r="F41" s="7"/>
      <c r="G41" s="7">
        <f>85301</f>
        <v>85301</v>
      </c>
      <c r="H41" s="7"/>
      <c r="I41" s="7">
        <v>17550</v>
      </c>
      <c r="J41" s="288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6">
        <f t="shared" si="4"/>
        <v>7684</v>
      </c>
      <c r="R41" s="6"/>
      <c r="S41" s="7">
        <f>17428+4362+1086</f>
        <v>22876</v>
      </c>
      <c r="T41" s="6"/>
      <c r="U41" s="287">
        <f t="shared" si="5"/>
        <v>6.6226430935003952E-2</v>
      </c>
      <c r="W41">
        <f t="shared" si="0"/>
        <v>31</v>
      </c>
      <c r="Z41" s="75"/>
      <c r="AA41" s="91"/>
      <c r="AB41" s="165" t="s">
        <v>33</v>
      </c>
      <c r="AC41" s="165"/>
      <c r="AD41" s="165"/>
      <c r="AE41" s="165"/>
      <c r="AF41" s="164">
        <f>SUM(AF38:AG40)</f>
        <v>31000000</v>
      </c>
      <c r="AG41" s="165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1">
        <f t="shared" si="1"/>
        <v>43941</v>
      </c>
      <c r="E42" s="285">
        <v>253060</v>
      </c>
      <c r="F42" s="7"/>
      <c r="G42" s="7">
        <f>88722</f>
        <v>88722</v>
      </c>
      <c r="H42" s="7"/>
      <c r="I42" s="7">
        <v>19815</v>
      </c>
      <c r="J42" s="288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6">
        <f t="shared" si="4"/>
        <v>16176</v>
      </c>
      <c r="R42" s="6"/>
      <c r="S42" s="7">
        <f>18611+4496+1331</f>
        <v>24438</v>
      </c>
      <c r="T42" s="6"/>
      <c r="U42" s="287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2">
        <f t="shared" si="1"/>
        <v>43942</v>
      </c>
      <c r="E43" s="285">
        <v>258361</v>
      </c>
      <c r="F43" s="7"/>
      <c r="G43" s="7">
        <f>92387</f>
        <v>92387</v>
      </c>
      <c r="H43" s="7"/>
      <c r="I43" s="7">
        <v>20360</v>
      </c>
      <c r="J43" s="288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6">
        <f t="shared" si="4"/>
        <v>9511</v>
      </c>
      <c r="R43" s="6"/>
      <c r="S43" s="7">
        <f>18821+4520+1423</f>
        <v>24764</v>
      </c>
      <c r="T43" s="6"/>
      <c r="U43" s="287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4">
        <v>330000000</v>
      </c>
      <c r="AG43" s="165"/>
      <c r="AH43" s="174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2">
        <f t="shared" si="1"/>
        <v>43943</v>
      </c>
      <c r="E44" s="285">
        <v>263292</v>
      </c>
      <c r="F44" s="7"/>
      <c r="G44" s="7">
        <f>95418</f>
        <v>95418</v>
      </c>
      <c r="H44" s="7"/>
      <c r="I44" s="7">
        <v>22469</v>
      </c>
      <c r="J44" s="288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6">
        <f t="shared" si="4"/>
        <v>10071</v>
      </c>
      <c r="R44" s="6"/>
      <c r="S44" s="7">
        <f>19413+5129+1544</f>
        <v>26086</v>
      </c>
      <c r="T44" s="6"/>
      <c r="U44" s="287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9"/>
      <c r="AI44" s="112"/>
      <c r="AJ44" s="109"/>
      <c r="AK44" s="109"/>
      <c r="AL44" s="109"/>
      <c r="AM44" s="109"/>
      <c r="AN44" s="109"/>
    </row>
    <row r="45" spans="3:40" x14ac:dyDescent="0.3">
      <c r="C45" s="172">
        <f t="shared" si="1"/>
        <v>43944</v>
      </c>
      <c r="E45" s="285">
        <v>271145</v>
      </c>
      <c r="F45" s="7"/>
      <c r="G45" s="7">
        <f>99989</f>
        <v>99989</v>
      </c>
      <c r="H45" s="7"/>
      <c r="I45" s="7">
        <v>23128</v>
      </c>
      <c r="J45" s="288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6">
        <f t="shared" si="4"/>
        <v>13083</v>
      </c>
      <c r="R45" s="6"/>
      <c r="S45" s="7">
        <f>20971+5426+1637</f>
        <v>28034</v>
      </c>
      <c r="T45" s="6"/>
      <c r="U45" s="287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2">
        <f t="shared" si="1"/>
        <v>43945</v>
      </c>
      <c r="E46" s="285">
        <v>271590</v>
      </c>
      <c r="F46" s="7"/>
      <c r="G46" s="7">
        <f>100025</f>
        <v>100025</v>
      </c>
      <c r="H46" s="7"/>
      <c r="I46" s="7">
        <v>23936</v>
      </c>
      <c r="J46" s="288"/>
      <c r="K46" s="7">
        <f t="shared" si="6"/>
        <v>395551</v>
      </c>
      <c r="L46" s="6"/>
      <c r="M46" s="475">
        <f t="shared" si="7"/>
        <v>3.2693995363489254E-3</v>
      </c>
      <c r="N46" s="29"/>
      <c r="O46" s="29"/>
      <c r="P46" s="29"/>
      <c r="Q46" s="376">
        <f t="shared" si="4"/>
        <v>1289</v>
      </c>
      <c r="R46" s="6"/>
      <c r="S46" s="7">
        <f>21349+5426+1767</f>
        <v>28542</v>
      </c>
      <c r="T46" s="6"/>
      <c r="U46" s="287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2">
        <f t="shared" si="1"/>
        <v>43946</v>
      </c>
      <c r="E47" s="285">
        <v>282143</v>
      </c>
      <c r="F47" s="7"/>
      <c r="G47" s="7">
        <f>105498</f>
        <v>105498</v>
      </c>
      <c r="H47" s="7"/>
      <c r="I47" s="7">
        <v>24583</v>
      </c>
      <c r="J47" s="288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6">
        <f t="shared" si="4"/>
        <v>16673</v>
      </c>
      <c r="R47" s="6"/>
      <c r="S47" s="7">
        <f>22009+5914+1865</f>
        <v>29788</v>
      </c>
      <c r="T47" s="6"/>
      <c r="U47" s="287">
        <f t="shared" si="5"/>
        <v>7.2261682968483149E-2</v>
      </c>
      <c r="W47">
        <f t="shared" si="0"/>
        <v>37</v>
      </c>
    </row>
    <row r="48" spans="3:40" x14ac:dyDescent="0.3">
      <c r="C48" s="172">
        <f t="shared" si="1"/>
        <v>43947</v>
      </c>
      <c r="E48" s="285">
        <v>288045</v>
      </c>
      <c r="F48" s="7"/>
      <c r="G48" s="7">
        <f>109038</f>
        <v>109038</v>
      </c>
      <c r="H48" s="7"/>
      <c r="I48" s="7">
        <v>25269</v>
      </c>
      <c r="J48" s="288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6">
        <f t="shared" si="4"/>
        <v>10128</v>
      </c>
      <c r="R48" s="6"/>
      <c r="S48" s="7">
        <f>22269+5938+1924</f>
        <v>30131</v>
      </c>
      <c r="T48" s="6"/>
      <c r="U48" s="287">
        <f t="shared" si="5"/>
        <v>7.134096677652764E-2</v>
      </c>
      <c r="W48">
        <f t="shared" si="0"/>
        <v>38</v>
      </c>
      <c r="AF48" s="56"/>
    </row>
    <row r="49" spans="3:36" x14ac:dyDescent="0.3">
      <c r="C49" s="172">
        <f t="shared" si="1"/>
        <v>43948</v>
      </c>
      <c r="E49" s="285">
        <v>291996</v>
      </c>
      <c r="F49" s="7"/>
      <c r="G49" s="7">
        <f>111188</f>
        <v>111188</v>
      </c>
      <c r="H49" s="7"/>
      <c r="I49" s="7">
        <v>25269</v>
      </c>
      <c r="J49" s="288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6">
        <f t="shared" si="4"/>
        <v>6101</v>
      </c>
      <c r="R49" s="6"/>
      <c r="S49" s="7">
        <f>22668+6044+1924</f>
        <v>30636</v>
      </c>
      <c r="T49" s="6"/>
      <c r="U49" s="287">
        <f t="shared" si="5"/>
        <v>7.1503758872034973E-2</v>
      </c>
      <c r="W49">
        <f t="shared" si="0"/>
        <v>39</v>
      </c>
      <c r="AD49" s="1">
        <f>+'Main Table'!Z154</f>
        <v>158259</v>
      </c>
      <c r="AJ49" s="56">
        <f>+AJ19</f>
        <v>68874</v>
      </c>
    </row>
    <row r="50" spans="3:36" x14ac:dyDescent="0.3">
      <c r="C50" s="172">
        <f t="shared" si="1"/>
        <v>43949</v>
      </c>
      <c r="E50" s="285">
        <v>295106</v>
      </c>
      <c r="F50" s="7"/>
      <c r="G50" s="7">
        <f>113856</f>
        <v>113856</v>
      </c>
      <c r="H50" s="7"/>
      <c r="I50" s="7">
        <v>26312</v>
      </c>
      <c r="J50" s="288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6">
        <f t="shared" si="4"/>
        <v>6821</v>
      </c>
      <c r="R50" s="6"/>
      <c r="S50" s="7">
        <f>22912+6442+2087</f>
        <v>31441</v>
      </c>
      <c r="T50" s="6"/>
      <c r="U50" s="287">
        <f t="shared" si="5"/>
        <v>7.223266264467898E-2</v>
      </c>
      <c r="W50">
        <f t="shared" si="0"/>
        <v>40</v>
      </c>
      <c r="AD50" s="56">
        <f>+AJ19</f>
        <v>68874</v>
      </c>
      <c r="AF50" s="274"/>
    </row>
    <row r="51" spans="3:36" x14ac:dyDescent="0.3">
      <c r="C51" s="171">
        <f t="shared" si="1"/>
        <v>43950</v>
      </c>
      <c r="E51" s="285">
        <v>299691</v>
      </c>
      <c r="F51" s="7"/>
      <c r="G51" s="7">
        <f>116365</f>
        <v>116365</v>
      </c>
      <c r="H51" s="7"/>
      <c r="I51" s="7">
        <v>26751</v>
      </c>
      <c r="J51" s="288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6">
        <f t="shared" si="4"/>
        <v>7533</v>
      </c>
      <c r="R51" s="6"/>
      <c r="S51" s="7">
        <f>23477+6711+2169</f>
        <v>32357</v>
      </c>
      <c r="T51" s="6"/>
      <c r="U51" s="287">
        <f t="shared" si="5"/>
        <v>7.3072467237419461E-2</v>
      </c>
      <c r="W51">
        <f t="shared" si="0"/>
        <v>41</v>
      </c>
      <c r="AD51" s="56">
        <f>+AD49-AD50</f>
        <v>89385</v>
      </c>
    </row>
    <row r="52" spans="3:36" x14ac:dyDescent="0.3">
      <c r="C52" s="171">
        <f t="shared" si="1"/>
        <v>43951</v>
      </c>
      <c r="E52" s="285">
        <v>304372</v>
      </c>
      <c r="F52" s="7"/>
      <c r="G52" s="7">
        <v>118652</v>
      </c>
      <c r="H52" s="7"/>
      <c r="I52" s="7">
        <v>27700</v>
      </c>
      <c r="J52" s="288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6">
        <f t="shared" si="4"/>
        <v>7917</v>
      </c>
      <c r="R52" s="6"/>
      <c r="S52" s="7">
        <f>23545+7228+2257</f>
        <v>33030</v>
      </c>
      <c r="T52" s="6"/>
      <c r="U52" s="287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1">
        <f t="shared" si="1"/>
        <v>43952</v>
      </c>
      <c r="E53" s="285">
        <v>308314</v>
      </c>
      <c r="F53" s="7"/>
      <c r="G53" s="7">
        <v>121190</v>
      </c>
      <c r="H53" s="7"/>
      <c r="I53" s="7">
        <v>28855</v>
      </c>
      <c r="J53" s="288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6">
        <f t="shared" si="4"/>
        <v>7635</v>
      </c>
      <c r="R53" s="6"/>
      <c r="S53" s="7">
        <f>23981+7538+2341</f>
        <v>33860</v>
      </c>
      <c r="T53" s="6"/>
      <c r="U53" s="287">
        <f t="shared" ref="U53:U65" si="10">+S53/K53</f>
        <v>7.3872226791663304E-2</v>
      </c>
      <c r="W53">
        <f t="shared" si="0"/>
        <v>43</v>
      </c>
      <c r="AD53" s="1">
        <f>+AD51*AD52</f>
        <v>37541.699999999997</v>
      </c>
    </row>
    <row r="54" spans="3:36" x14ac:dyDescent="0.3">
      <c r="C54" s="171">
        <f t="shared" si="1"/>
        <v>43953</v>
      </c>
      <c r="E54" s="285">
        <v>312977</v>
      </c>
      <c r="F54" s="7"/>
      <c r="G54" s="7">
        <v>123717</v>
      </c>
      <c r="H54" s="7"/>
      <c r="I54" s="7">
        <v>29346</v>
      </c>
      <c r="J54" s="288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6">
        <f t="shared" si="4"/>
        <v>7681</v>
      </c>
      <c r="R54" s="6"/>
      <c r="S54" s="7">
        <f>24198+7742+2437</f>
        <v>34377</v>
      </c>
      <c r="T54" s="6"/>
      <c r="U54" s="287">
        <f t="shared" si="10"/>
        <v>7.3764054587589042E-2</v>
      </c>
      <c r="W54">
        <f t="shared" si="0"/>
        <v>44</v>
      </c>
    </row>
    <row r="55" spans="3:36" x14ac:dyDescent="0.3">
      <c r="C55" s="171">
        <f t="shared" si="1"/>
        <v>43954</v>
      </c>
      <c r="E55" s="285">
        <v>316415</v>
      </c>
      <c r="F55" s="7"/>
      <c r="G55" s="7">
        <v>126744</v>
      </c>
      <c r="H55" s="7"/>
      <c r="I55" s="7">
        <v>29087</v>
      </c>
      <c r="J55" s="288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6">
        <f t="shared" si="4"/>
        <v>6206</v>
      </c>
      <c r="R55" s="6"/>
      <c r="S55" s="7">
        <f>24708+7871+2436</f>
        <v>35015</v>
      </c>
      <c r="T55" s="6"/>
      <c r="U55" s="287">
        <f t="shared" si="10"/>
        <v>7.4145678311727359E-2</v>
      </c>
      <c r="W55">
        <f t="shared" si="0"/>
        <v>45</v>
      </c>
      <c r="AD55" s="56">
        <f>+AD51-AD53</f>
        <v>51843.3</v>
      </c>
    </row>
    <row r="56" spans="3:36" x14ac:dyDescent="0.3">
      <c r="C56" s="172">
        <f t="shared" si="1"/>
        <v>43955</v>
      </c>
      <c r="E56" s="285">
        <v>318953</v>
      </c>
      <c r="F56" s="7"/>
      <c r="G56" s="7">
        <v>128269</v>
      </c>
      <c r="H56" s="7"/>
      <c r="I56" s="7">
        <v>29973</v>
      </c>
      <c r="J56" s="288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6">
        <f t="shared" si="4"/>
        <v>4949</v>
      </c>
      <c r="R56" s="6"/>
      <c r="S56" s="7">
        <f>24999+7910+2556</f>
        <v>35465</v>
      </c>
      <c r="T56" s="6"/>
      <c r="U56" s="287">
        <f t="shared" si="10"/>
        <v>7.4319722545290706E-2</v>
      </c>
      <c r="W56">
        <f t="shared" si="0"/>
        <v>46</v>
      </c>
    </row>
    <row r="57" spans="3:36" x14ac:dyDescent="0.3">
      <c r="C57" s="172">
        <f t="shared" si="1"/>
        <v>43956</v>
      </c>
      <c r="E57" s="285">
        <v>321192</v>
      </c>
      <c r="F57" s="7"/>
      <c r="G57" s="7">
        <v>130593</v>
      </c>
      <c r="H57" s="7"/>
      <c r="I57" s="7">
        <v>30621</v>
      </c>
      <c r="J57" s="288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6">
        <f t="shared" si="4"/>
        <v>5211</v>
      </c>
      <c r="R57" s="6"/>
      <c r="S57" s="7">
        <f>25124+8244+2633</f>
        <v>36001</v>
      </c>
      <c r="T57" s="6"/>
      <c r="U57" s="287">
        <f t="shared" si="10"/>
        <v>7.4628010431047706E-2</v>
      </c>
      <c r="W57">
        <f t="shared" si="0"/>
        <v>47</v>
      </c>
      <c r="AD57" s="274">
        <f>+AD55/AD49</f>
        <v>0.32758516103349572</v>
      </c>
    </row>
    <row r="58" spans="3:36" x14ac:dyDescent="0.3">
      <c r="C58" s="172">
        <f t="shared" si="1"/>
        <v>43957</v>
      </c>
      <c r="E58" s="285">
        <v>323978</v>
      </c>
      <c r="F58" s="7"/>
      <c r="G58" s="7">
        <v>131890</v>
      </c>
      <c r="H58" s="7"/>
      <c r="I58" s="7">
        <v>30995</v>
      </c>
      <c r="J58" s="288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6">
        <f t="shared" si="4"/>
        <v>4457</v>
      </c>
      <c r="R58" s="6"/>
      <c r="S58" s="7">
        <f>25346+8549+2718</f>
        <v>36613</v>
      </c>
      <c r="T58" s="6"/>
      <c r="U58" s="287">
        <f t="shared" si="10"/>
        <v>7.5201853498828214E-2</v>
      </c>
      <c r="W58">
        <f t="shared" si="0"/>
        <v>48</v>
      </c>
    </row>
    <row r="59" spans="3:36" x14ac:dyDescent="0.3">
      <c r="C59" s="172">
        <f t="shared" si="1"/>
        <v>43958</v>
      </c>
      <c r="E59" s="285">
        <v>327469</v>
      </c>
      <c r="F59" s="7"/>
      <c r="G59" s="7">
        <v>133991</v>
      </c>
      <c r="H59" s="7"/>
      <c r="I59" s="7">
        <v>31784</v>
      </c>
      <c r="J59" s="288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6">
        <f t="shared" si="4"/>
        <v>6381</v>
      </c>
      <c r="R59" s="6"/>
      <c r="S59" s="7">
        <f>26144+8807+2797</f>
        <v>37748</v>
      </c>
      <c r="T59" s="6"/>
      <c r="U59" s="287">
        <f t="shared" si="10"/>
        <v>7.6530074364817416E-2</v>
      </c>
      <c r="W59">
        <f t="shared" si="0"/>
        <v>49</v>
      </c>
    </row>
    <row r="60" spans="3:36" x14ac:dyDescent="0.3">
      <c r="C60" s="172">
        <f t="shared" si="1"/>
        <v>43959</v>
      </c>
      <c r="E60" s="285">
        <v>330407</v>
      </c>
      <c r="F60" s="7"/>
      <c r="G60" s="7">
        <v>135840</v>
      </c>
      <c r="H60" s="7"/>
      <c r="I60" s="7">
        <v>32411</v>
      </c>
      <c r="J60" s="288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6">
        <f t="shared" si="4"/>
        <v>5414</v>
      </c>
      <c r="R60" s="6"/>
      <c r="S60" s="7">
        <f>26243+8960+2874</f>
        <v>38077</v>
      </c>
      <c r="T60" s="6"/>
      <c r="U60" s="287">
        <f t="shared" si="10"/>
        <v>7.6358947414861489E-2</v>
      </c>
      <c r="W60">
        <f t="shared" si="0"/>
        <v>50</v>
      </c>
    </row>
    <row r="61" spans="3:36" x14ac:dyDescent="0.3">
      <c r="C61" s="172">
        <f t="shared" si="1"/>
        <v>43960</v>
      </c>
      <c r="E61" s="285">
        <v>333122</v>
      </c>
      <c r="F61" s="7"/>
      <c r="G61" s="7">
        <v>137397</v>
      </c>
      <c r="H61" s="7"/>
      <c r="I61" s="7">
        <v>32984</v>
      </c>
      <c r="J61" s="288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6">
        <f t="shared" si="4"/>
        <v>4845</v>
      </c>
      <c r="R61" s="6"/>
      <c r="S61" s="7">
        <f>26563+9116+2932</f>
        <v>38611</v>
      </c>
      <c r="T61" s="6"/>
      <c r="U61" s="287">
        <f t="shared" si="10"/>
        <v>7.6684746664865952E-2</v>
      </c>
      <c r="W61">
        <f t="shared" si="0"/>
        <v>51</v>
      </c>
    </row>
    <row r="62" spans="3:36" x14ac:dyDescent="0.3">
      <c r="C62" s="172">
        <f t="shared" si="1"/>
        <v>43961</v>
      </c>
      <c r="E62" s="285">
        <v>335395</v>
      </c>
      <c r="F62" s="7"/>
      <c r="G62" s="7">
        <v>138754</v>
      </c>
      <c r="H62" s="7"/>
      <c r="I62" s="7">
        <v>33554</v>
      </c>
      <c r="J62" s="288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6">
        <f t="shared" ref="Q62:Q97" si="11">+K62-K61</f>
        <v>4200</v>
      </c>
      <c r="R62" s="6"/>
      <c r="S62" s="7">
        <f>26641+9256+2967</f>
        <v>38864</v>
      </c>
      <c r="T62" s="6"/>
      <c r="U62" s="287">
        <f t="shared" si="10"/>
        <v>7.6548690868480193E-2</v>
      </c>
      <c r="W62">
        <f t="shared" si="0"/>
        <v>52</v>
      </c>
    </row>
    <row r="63" spans="3:36" x14ac:dyDescent="0.3">
      <c r="C63" s="172">
        <f t="shared" si="1"/>
        <v>43962</v>
      </c>
      <c r="E63" s="285">
        <v>337055</v>
      </c>
      <c r="F63" s="7"/>
      <c r="G63" s="7">
        <v>140206</v>
      </c>
      <c r="H63" s="7"/>
      <c r="I63" s="7">
        <v>33765</v>
      </c>
      <c r="J63" s="288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6">
        <f t="shared" si="11"/>
        <v>3323</v>
      </c>
      <c r="R63" s="6"/>
      <c r="S63" s="7">
        <f>26721+9340+3008</f>
        <v>39069</v>
      </c>
      <c r="T63" s="6"/>
      <c r="U63" s="287">
        <f t="shared" si="10"/>
        <v>7.6452078759202069E-2</v>
      </c>
      <c r="W63">
        <f t="shared" si="0"/>
        <v>53</v>
      </c>
    </row>
    <row r="64" spans="3:36" x14ac:dyDescent="0.3">
      <c r="C64" s="171">
        <f t="shared" si="1"/>
        <v>43963</v>
      </c>
      <c r="E64" s="285">
        <v>338485</v>
      </c>
      <c r="F64" s="7"/>
      <c r="G64" s="7">
        <v>140917</v>
      </c>
      <c r="H64" s="7"/>
      <c r="I64" s="7">
        <v>34333</v>
      </c>
      <c r="J64" s="288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6">
        <f t="shared" si="11"/>
        <v>2709</v>
      </c>
      <c r="R64" s="6"/>
      <c r="S64" s="7">
        <f>27284+9531+3041</f>
        <v>39856</v>
      </c>
      <c r="T64" s="6"/>
      <c r="U64" s="287">
        <f t="shared" si="10"/>
        <v>7.7580853942207553E-2</v>
      </c>
      <c r="W64">
        <f t="shared" si="0"/>
        <v>54</v>
      </c>
    </row>
    <row r="65" spans="3:23" x14ac:dyDescent="0.3">
      <c r="C65" s="171">
        <f t="shared" si="1"/>
        <v>43964</v>
      </c>
      <c r="E65" s="285">
        <v>340661</v>
      </c>
      <c r="F65" s="7"/>
      <c r="G65" s="7">
        <v>141560</v>
      </c>
      <c r="H65" s="7"/>
      <c r="I65" s="7">
        <v>34895</v>
      </c>
      <c r="J65" s="288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6">
        <f t="shared" si="11"/>
        <v>3381</v>
      </c>
      <c r="R65" s="6"/>
      <c r="S65" s="7">
        <f>27477+9714+3125</f>
        <v>40316</v>
      </c>
      <c r="T65" s="6"/>
      <c r="U65" s="287">
        <f t="shared" si="10"/>
        <v>7.7963164937847607E-2</v>
      </c>
      <c r="W65">
        <f t="shared" si="0"/>
        <v>55</v>
      </c>
    </row>
    <row r="66" spans="3:23" x14ac:dyDescent="0.3">
      <c r="C66" s="171">
        <f t="shared" si="1"/>
        <v>43965</v>
      </c>
      <c r="E66" s="285">
        <v>343051</v>
      </c>
      <c r="F66" s="7"/>
      <c r="G66" s="7">
        <v>142704</v>
      </c>
      <c r="H66" s="7"/>
      <c r="I66" s="7">
        <v>35464</v>
      </c>
      <c r="J66" s="288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6">
        <f t="shared" si="11"/>
        <v>4103</v>
      </c>
      <c r="R66" s="6"/>
      <c r="S66" s="7">
        <f>27607+9946+3219</f>
        <v>40772</v>
      </c>
      <c r="T66" s="6"/>
      <c r="U66" s="287">
        <f t="shared" ref="U66:U97" si="14">+S66/K66</f>
        <v>7.8224316458149076E-2</v>
      </c>
      <c r="W66">
        <f t="shared" si="0"/>
        <v>56</v>
      </c>
    </row>
    <row r="67" spans="3:23" x14ac:dyDescent="0.3">
      <c r="C67" s="171">
        <f t="shared" si="1"/>
        <v>43966</v>
      </c>
      <c r="E67" s="285">
        <v>345813</v>
      </c>
      <c r="F67" s="7"/>
      <c r="G67" s="7">
        <v>143984</v>
      </c>
      <c r="H67" s="7"/>
      <c r="I67" s="7">
        <v>36805</v>
      </c>
      <c r="J67" s="288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6">
        <f t="shared" si="11"/>
        <v>5383</v>
      </c>
      <c r="R67" s="6"/>
      <c r="S67" s="7">
        <f>27607+9946+3219</f>
        <v>40772</v>
      </c>
      <c r="T67" s="6"/>
      <c r="U67" s="287">
        <f t="shared" si="14"/>
        <v>7.7424696450070454E-2</v>
      </c>
      <c r="W67">
        <f t="shared" si="0"/>
        <v>57</v>
      </c>
    </row>
    <row r="68" spans="3:23" x14ac:dyDescent="0.3">
      <c r="C68" s="171">
        <f t="shared" si="1"/>
        <v>43967</v>
      </c>
      <c r="E68" s="285">
        <v>348232</v>
      </c>
      <c r="F68" s="7"/>
      <c r="G68" s="7">
        <v>145089</v>
      </c>
      <c r="H68" s="7"/>
      <c r="I68" s="7">
        <v>36703</v>
      </c>
      <c r="J68" s="288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6">
        <f t="shared" si="11"/>
        <v>3422</v>
      </c>
      <c r="R68" s="6"/>
      <c r="S68" s="7">
        <f>28049+10261+3339</f>
        <v>41649</v>
      </c>
      <c r="T68" s="6"/>
      <c r="U68" s="287">
        <f t="shared" si="14"/>
        <v>7.8579460552729685E-2</v>
      </c>
      <c r="W68">
        <f t="shared" si="0"/>
        <v>58</v>
      </c>
    </row>
    <row r="69" spans="3:23" x14ac:dyDescent="0.3">
      <c r="C69" s="171">
        <f t="shared" si="1"/>
        <v>43968</v>
      </c>
      <c r="E69" s="285">
        <v>350121</v>
      </c>
      <c r="F69" s="7"/>
      <c r="G69" s="7">
        <v>146504</v>
      </c>
      <c r="H69" s="7"/>
      <c r="I69" s="7">
        <v>37419</v>
      </c>
      <c r="J69" s="288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6">
        <f t="shared" si="11"/>
        <v>4020</v>
      </c>
      <c r="R69" s="6"/>
      <c r="S69" s="7">
        <f>28232+10363+3408</f>
        <v>42003</v>
      </c>
      <c r="T69" s="6"/>
      <c r="U69" s="287">
        <f t="shared" si="14"/>
        <v>7.8650822778647447E-2</v>
      </c>
      <c r="W69">
        <f t="shared" si="0"/>
        <v>59</v>
      </c>
    </row>
    <row r="70" spans="3:23" x14ac:dyDescent="0.3">
      <c r="C70" s="171">
        <f t="shared" si="1"/>
        <v>43969</v>
      </c>
      <c r="E70" s="285">
        <v>351371</v>
      </c>
      <c r="F70" s="7"/>
      <c r="G70" s="7">
        <v>148240</v>
      </c>
      <c r="H70" s="7"/>
      <c r="I70" s="7">
        <v>38116</v>
      </c>
      <c r="J70" s="288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6">
        <f t="shared" si="11"/>
        <v>3683</v>
      </c>
      <c r="R70" s="6"/>
      <c r="S70" s="7">
        <f>28339+10439+5862</f>
        <v>44640</v>
      </c>
      <c r="T70" s="6"/>
      <c r="U70" s="287">
        <f t="shared" si="14"/>
        <v>8.3016102966747066E-2</v>
      </c>
      <c r="W70">
        <f t="shared" si="0"/>
        <v>60</v>
      </c>
    </row>
    <row r="71" spans="3:23" x14ac:dyDescent="0.3">
      <c r="C71" s="171">
        <f t="shared" si="1"/>
        <v>43970</v>
      </c>
      <c r="E71" s="285">
        <v>352845</v>
      </c>
      <c r="F71" s="7"/>
      <c r="G71" s="7">
        <v>149356</v>
      </c>
      <c r="H71" s="7"/>
      <c r="I71" s="7">
        <v>38430</v>
      </c>
      <c r="J71" s="288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6">
        <f t="shared" si="11"/>
        <v>2904</v>
      </c>
      <c r="R71" s="6"/>
      <c r="S71" s="7">
        <f>28558+10587+3472</f>
        <v>42617</v>
      </c>
      <c r="T71" s="6"/>
      <c r="U71" s="287">
        <f t="shared" si="14"/>
        <v>7.8828258091008463E-2</v>
      </c>
      <c r="W71">
        <f t="shared" si="0"/>
        <v>61</v>
      </c>
    </row>
    <row r="72" spans="3:23" x14ac:dyDescent="0.3">
      <c r="C72" s="171">
        <f t="shared" si="1"/>
        <v>43971</v>
      </c>
      <c r="E72" s="285">
        <v>354370</v>
      </c>
      <c r="F72" s="7"/>
      <c r="G72" s="7">
        <v>150776</v>
      </c>
      <c r="H72" s="7"/>
      <c r="I72" s="7">
        <v>39017</v>
      </c>
      <c r="J72" s="288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6">
        <f t="shared" si="11"/>
        <v>3532</v>
      </c>
      <c r="R72" s="6"/>
      <c r="S72" s="7">
        <f>28636+10749+3529</f>
        <v>42914</v>
      </c>
      <c r="T72" s="6"/>
      <c r="U72" s="287">
        <f t="shared" si="14"/>
        <v>7.8862399685388385E-2</v>
      </c>
      <c r="W72">
        <f t="shared" si="0"/>
        <v>62</v>
      </c>
    </row>
    <row r="73" spans="3:23" x14ac:dyDescent="0.3">
      <c r="C73" s="171">
        <f t="shared" si="1"/>
        <v>43972</v>
      </c>
      <c r="E73" s="285">
        <v>356458</v>
      </c>
      <c r="F73" s="7"/>
      <c r="G73" s="7">
        <v>151586</v>
      </c>
      <c r="H73" s="7"/>
      <c r="I73" s="7">
        <v>39208</v>
      </c>
      <c r="J73" s="288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6">
        <f t="shared" si="11"/>
        <v>3089</v>
      </c>
      <c r="R73" s="6"/>
      <c r="S73" s="7">
        <f>28743+10846+3583</f>
        <v>43172</v>
      </c>
      <c r="T73" s="6"/>
      <c r="U73" s="287">
        <f t="shared" si="14"/>
        <v>7.888870209702295E-2</v>
      </c>
      <c r="W73">
        <f t="shared" si="0"/>
        <v>63</v>
      </c>
    </row>
    <row r="74" spans="3:23" x14ac:dyDescent="0.3">
      <c r="C74" s="171">
        <f t="shared" si="1"/>
        <v>43973</v>
      </c>
      <c r="E74" s="285">
        <v>358154</v>
      </c>
      <c r="F74" s="7"/>
      <c r="G74" s="7">
        <v>152579</v>
      </c>
      <c r="H74" s="7"/>
      <c r="I74" s="7">
        <v>39640</v>
      </c>
      <c r="J74" s="288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6">
        <f t="shared" si="11"/>
        <v>3121</v>
      </c>
      <c r="R74" s="6"/>
      <c r="S74" s="7">
        <f>28853+10985+3637</f>
        <v>43475</v>
      </c>
      <c r="T74" s="6"/>
      <c r="U74" s="287">
        <f t="shared" si="14"/>
        <v>7.899188368615466E-2</v>
      </c>
      <c r="W74">
        <f t="shared" si="0"/>
        <v>64</v>
      </c>
    </row>
    <row r="75" spans="3:23" x14ac:dyDescent="0.3">
      <c r="C75" s="171">
        <f t="shared" si="1"/>
        <v>43974</v>
      </c>
      <c r="E75" s="285">
        <v>359926</v>
      </c>
      <c r="F75" s="7"/>
      <c r="G75" s="7">
        <v>153140</v>
      </c>
      <c r="H75" s="7"/>
      <c r="I75" s="7">
        <v>39640</v>
      </c>
      <c r="J75" s="288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6">
        <f t="shared" si="11"/>
        <v>2333</v>
      </c>
      <c r="R75" s="6"/>
      <c r="S75" s="7">
        <f>28926+11082+3637</f>
        <v>43645</v>
      </c>
      <c r="T75" s="6"/>
      <c r="U75" s="287">
        <f t="shared" si="14"/>
        <v>7.896603257427999E-2</v>
      </c>
      <c r="W75">
        <f t="shared" si="0"/>
        <v>65</v>
      </c>
    </row>
    <row r="76" spans="3:23" x14ac:dyDescent="0.3">
      <c r="C76" s="171">
        <f t="shared" si="1"/>
        <v>43975</v>
      </c>
      <c r="E76" s="285">
        <v>361515</v>
      </c>
      <c r="F76" s="7"/>
      <c r="G76" s="7">
        <v>154154</v>
      </c>
      <c r="H76" s="7"/>
      <c r="I76" s="7">
        <v>40468</v>
      </c>
      <c r="J76" s="288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6">
        <f t="shared" si="11"/>
        <v>3431</v>
      </c>
      <c r="R76" s="6"/>
      <c r="S76" s="7">
        <f>29141+11138+3696</f>
        <v>43975</v>
      </c>
      <c r="T76" s="6"/>
      <c r="U76" s="287">
        <f t="shared" si="14"/>
        <v>7.9072242990486152E-2</v>
      </c>
      <c r="W76">
        <f t="shared" si="0"/>
        <v>66</v>
      </c>
    </row>
    <row r="77" spans="3:23" x14ac:dyDescent="0.3">
      <c r="C77" s="171">
        <f t="shared" si="1"/>
        <v>43976</v>
      </c>
      <c r="E77" s="285">
        <v>362764</v>
      </c>
      <c r="F77" s="7"/>
      <c r="G77" s="7">
        <v>155092</v>
      </c>
      <c r="H77" s="7"/>
      <c r="I77" s="7">
        <v>40873</v>
      </c>
      <c r="J77" s="288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6">
        <f t="shared" si="11"/>
        <v>2592</v>
      </c>
      <c r="R77" s="6"/>
      <c r="S77" s="7">
        <f>29229+11147+3742</f>
        <v>44118</v>
      </c>
      <c r="T77" s="6"/>
      <c r="U77" s="287">
        <f t="shared" si="14"/>
        <v>7.8961356936905008E-2</v>
      </c>
      <c r="W77">
        <f t="shared" si="0"/>
        <v>67</v>
      </c>
    </row>
    <row r="78" spans="3:23" x14ac:dyDescent="0.3">
      <c r="C78" s="171">
        <f t="shared" si="1"/>
        <v>43977</v>
      </c>
      <c r="E78" s="285">
        <v>363836</v>
      </c>
      <c r="F78" s="7"/>
      <c r="G78" s="7">
        <v>155764</v>
      </c>
      <c r="H78" s="7"/>
      <c r="I78" s="7">
        <v>41303</v>
      </c>
      <c r="J78" s="288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6">
        <f t="shared" si="11"/>
        <v>2174</v>
      </c>
      <c r="R78" s="6"/>
      <c r="S78" s="7">
        <f>29302+11194+3769</f>
        <v>44265</v>
      </c>
      <c r="T78" s="6"/>
      <c r="U78" s="287">
        <f t="shared" si="14"/>
        <v>7.8917388568076827E-2</v>
      </c>
      <c r="W78">
        <f t="shared" si="0"/>
        <v>68</v>
      </c>
    </row>
    <row r="79" spans="3:23" x14ac:dyDescent="0.3">
      <c r="C79" s="171">
        <f t="shared" si="1"/>
        <v>43978</v>
      </c>
      <c r="E79" s="285">
        <v>364965</v>
      </c>
      <c r="F79" s="7"/>
      <c r="G79" s="7">
        <v>156628</v>
      </c>
      <c r="H79" s="7"/>
      <c r="I79" s="7">
        <v>41288</v>
      </c>
      <c r="J79" s="288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6">
        <f t="shared" si="11"/>
        <v>1978</v>
      </c>
      <c r="R79" s="6"/>
      <c r="S79" s="7">
        <f>29484+11339+3803</f>
        <v>44626</v>
      </c>
      <c r="T79" s="6"/>
      <c r="U79" s="287">
        <f t="shared" si="14"/>
        <v>7.9281411168612897E-2</v>
      </c>
      <c r="W79">
        <f t="shared" si="0"/>
        <v>69</v>
      </c>
    </row>
    <row r="80" spans="3:23" x14ac:dyDescent="0.3">
      <c r="C80" s="171">
        <f t="shared" si="1"/>
        <v>43979</v>
      </c>
      <c r="E80" s="285">
        <v>366733</v>
      </c>
      <c r="F80" s="7"/>
      <c r="G80" s="7">
        <v>157185</v>
      </c>
      <c r="H80" s="7"/>
      <c r="I80" s="7">
        <v>41559</v>
      </c>
      <c r="J80" s="288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6">
        <f t="shared" si="11"/>
        <v>2596</v>
      </c>
      <c r="R80" s="6"/>
      <c r="S80" s="7">
        <f>29484+11339+3803</f>
        <v>44626</v>
      </c>
      <c r="T80" s="6"/>
      <c r="U80" s="287">
        <f t="shared" si="14"/>
        <v>7.8917444918184115E-2</v>
      </c>
      <c r="W80">
        <f t="shared" si="0"/>
        <v>70</v>
      </c>
    </row>
    <row r="81" spans="3:25" x14ac:dyDescent="0.3">
      <c r="C81" s="171">
        <f t="shared" si="1"/>
        <v>43980</v>
      </c>
      <c r="E81" s="285">
        <v>368284</v>
      </c>
      <c r="F81" s="7"/>
      <c r="G81" s="7">
        <v>158844</v>
      </c>
      <c r="H81" s="7"/>
      <c r="I81" s="7">
        <v>41762</v>
      </c>
      <c r="J81" s="288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6">
        <f t="shared" si="11"/>
        <v>3413</v>
      </c>
      <c r="R81" s="6"/>
      <c r="S81" s="7">
        <f>29646+11531+3868</f>
        <v>45045</v>
      </c>
      <c r="T81" s="6"/>
      <c r="U81" s="287">
        <f t="shared" si="14"/>
        <v>7.9180509413067549E-2</v>
      </c>
      <c r="W81">
        <f t="shared" si="0"/>
        <v>71</v>
      </c>
    </row>
    <row r="82" spans="3:25" x14ac:dyDescent="0.3">
      <c r="C82" s="171">
        <f t="shared" si="1"/>
        <v>43981</v>
      </c>
      <c r="E82" s="285">
        <v>369660</v>
      </c>
      <c r="F82" s="7"/>
      <c r="G82" s="7">
        <v>159608</v>
      </c>
      <c r="H82" s="7"/>
      <c r="I82" s="7">
        <v>42022</v>
      </c>
      <c r="J82" s="288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6">
        <f t="shared" si="11"/>
        <v>2400</v>
      </c>
      <c r="R82" s="6"/>
      <c r="S82" s="7">
        <f>29646+11531+3868</f>
        <v>45045</v>
      </c>
      <c r="T82" s="6"/>
      <c r="U82" s="287">
        <f t="shared" si="14"/>
        <v>7.8847870608622597E-2</v>
      </c>
      <c r="W82">
        <f t="shared" si="0"/>
        <v>72</v>
      </c>
    </row>
    <row r="83" spans="3:25" x14ac:dyDescent="0.3">
      <c r="C83" s="171">
        <f t="shared" si="1"/>
        <v>43982</v>
      </c>
      <c r="E83" s="285">
        <v>370770</v>
      </c>
      <c r="F83" s="7"/>
      <c r="G83" s="7">
        <v>160445</v>
      </c>
      <c r="H83" s="7"/>
      <c r="I83" s="7">
        <v>42201</v>
      </c>
      <c r="J83" s="288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6">
        <f t="shared" si="11"/>
        <v>2126</v>
      </c>
      <c r="R83" s="6"/>
      <c r="S83" s="7">
        <f>29784+11698+3944</f>
        <v>45426</v>
      </c>
      <c r="T83" s="6"/>
      <c r="U83" s="287">
        <f t="shared" si="14"/>
        <v>7.9219972934135074E-2</v>
      </c>
      <c r="W83">
        <f t="shared" si="0"/>
        <v>73</v>
      </c>
    </row>
    <row r="84" spans="3:25" x14ac:dyDescent="0.3">
      <c r="C84" s="171">
        <f t="shared" si="1"/>
        <v>43983</v>
      </c>
      <c r="E84" s="285">
        <v>371711</v>
      </c>
      <c r="F84" s="7"/>
      <c r="G84" s="7">
        <v>160918</v>
      </c>
      <c r="H84" s="7"/>
      <c r="I84" s="7">
        <v>42201</v>
      </c>
      <c r="J84" s="288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6">
        <f t="shared" si="11"/>
        <v>1414</v>
      </c>
      <c r="R84" s="6"/>
      <c r="S84" s="7">
        <f>29833+11723+3971</f>
        <v>45527</v>
      </c>
      <c r="T84" s="6"/>
      <c r="U84" s="287">
        <f t="shared" si="14"/>
        <v>7.9200807195170753E-2</v>
      </c>
      <c r="W84">
        <f t="shared" si="0"/>
        <v>74</v>
      </c>
    </row>
    <row r="85" spans="3:25" x14ac:dyDescent="0.3">
      <c r="C85" s="171">
        <f t="shared" si="1"/>
        <v>43984</v>
      </c>
      <c r="E85" s="285">
        <v>373040</v>
      </c>
      <c r="F85" s="7"/>
      <c r="G85" s="7">
        <v>161545</v>
      </c>
      <c r="H85" s="7"/>
      <c r="I85" s="7">
        <v>42979</v>
      </c>
      <c r="J85" s="288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6">
        <f t="shared" si="11"/>
        <v>2734</v>
      </c>
      <c r="R85" s="6"/>
      <c r="S85" s="7">
        <f>29968+11771+3972</f>
        <v>45711</v>
      </c>
      <c r="T85" s="6"/>
      <c r="U85" s="287">
        <f t="shared" si="14"/>
        <v>7.9144475763724881E-2</v>
      </c>
      <c r="W85">
        <f t="shared" si="0"/>
        <v>75</v>
      </c>
    </row>
    <row r="86" spans="3:25" x14ac:dyDescent="0.3">
      <c r="C86" s="171">
        <f t="shared" si="1"/>
        <v>43985</v>
      </c>
      <c r="E86" s="285">
        <v>374085</v>
      </c>
      <c r="F86" s="7"/>
      <c r="G86" s="7">
        <v>162068</v>
      </c>
      <c r="H86" s="7"/>
      <c r="I86" s="7">
        <v>43091</v>
      </c>
      <c r="J86" s="288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6">
        <f t="shared" si="11"/>
        <v>1680</v>
      </c>
      <c r="R86" s="6"/>
      <c r="S86" s="7">
        <f>30019+11880+3989</f>
        <v>45888</v>
      </c>
      <c r="T86" s="6"/>
      <c r="U86" s="287">
        <f t="shared" si="14"/>
        <v>7.9220501205018959E-2</v>
      </c>
      <c r="W86">
        <f t="shared" si="0"/>
        <v>76</v>
      </c>
    </row>
    <row r="87" spans="3:25" x14ac:dyDescent="0.3">
      <c r="C87" s="171">
        <f t="shared" si="1"/>
        <v>43986</v>
      </c>
      <c r="E87" s="285">
        <v>375133</v>
      </c>
      <c r="F87" s="7"/>
      <c r="G87" s="7">
        <v>162530</v>
      </c>
      <c r="H87" s="7"/>
      <c r="I87" s="7">
        <v>43239</v>
      </c>
      <c r="J87" s="288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6">
        <f t="shared" si="11"/>
        <v>1658</v>
      </c>
      <c r="R87" s="6"/>
      <c r="S87" s="7">
        <f>30090+11970+4007</f>
        <v>46067</v>
      </c>
      <c r="T87" s="6"/>
      <c r="U87" s="287">
        <f t="shared" si="14"/>
        <v>7.9302532957366306E-2</v>
      </c>
      <c r="W87">
        <f t="shared" si="0"/>
        <v>77</v>
      </c>
    </row>
    <row r="88" spans="3:25" x14ac:dyDescent="0.3">
      <c r="C88" s="171">
        <f t="shared" si="1"/>
        <v>43987</v>
      </c>
      <c r="E88" s="285">
        <v>376208</v>
      </c>
      <c r="F88" s="7"/>
      <c r="G88" s="7">
        <v>163336</v>
      </c>
      <c r="H88" s="7"/>
      <c r="I88" s="7">
        <v>43460</v>
      </c>
      <c r="J88" s="288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6">
        <f t="shared" si="11"/>
        <v>2102</v>
      </c>
      <c r="R88" s="6"/>
      <c r="S88" s="7">
        <f>30236+12049+4038</f>
        <v>46323</v>
      </c>
      <c r="T88" s="6"/>
      <c r="U88" s="287">
        <f t="shared" si="14"/>
        <v>7.9455715569704502E-2</v>
      </c>
      <c r="W88">
        <f t="shared" si="0"/>
        <v>78</v>
      </c>
    </row>
    <row r="89" spans="3:25" x14ac:dyDescent="0.3">
      <c r="C89" s="171">
        <f t="shared" si="1"/>
        <v>43988</v>
      </c>
      <c r="E89" s="285">
        <v>377316</v>
      </c>
      <c r="F89" s="7"/>
      <c r="G89" s="7">
        <v>163893</v>
      </c>
      <c r="H89" s="7"/>
      <c r="I89" s="7">
        <v>43818</v>
      </c>
      <c r="J89" s="288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6">
        <f t="shared" si="11"/>
        <v>2023</v>
      </c>
      <c r="R89" s="6"/>
      <c r="S89" s="7">
        <f>30280+12106+4055</f>
        <v>46441</v>
      </c>
      <c r="T89" s="6"/>
      <c r="U89" s="287">
        <f t="shared" si="14"/>
        <v>7.9382660971203042E-2</v>
      </c>
      <c r="W89">
        <f t="shared" si="0"/>
        <v>79</v>
      </c>
      <c r="X89" s="56"/>
    </row>
    <row r="90" spans="3:25" x14ac:dyDescent="0.3">
      <c r="C90" s="171">
        <f t="shared" si="1"/>
        <v>43989</v>
      </c>
      <c r="E90" s="285">
        <v>378097</v>
      </c>
      <c r="F90" s="7"/>
      <c r="G90" s="7">
        <v>164164</v>
      </c>
      <c r="H90" s="7"/>
      <c r="I90" s="7">
        <v>43968</v>
      </c>
      <c r="J90" s="288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6">
        <f t="shared" si="11"/>
        <v>1202</v>
      </c>
      <c r="R90" s="6"/>
      <c r="S90" s="7">
        <f>30374+12176+4071</f>
        <v>46621</v>
      </c>
      <c r="T90" s="6"/>
      <c r="U90" s="287">
        <f t="shared" si="14"/>
        <v>7.9526942542931175E-2</v>
      </c>
      <c r="W90">
        <f t="shared" si="0"/>
        <v>80</v>
      </c>
    </row>
    <row r="91" spans="3:25" x14ac:dyDescent="0.3">
      <c r="C91" s="171">
        <f t="shared" si="1"/>
        <v>43990</v>
      </c>
      <c r="E91" s="285">
        <v>378799</v>
      </c>
      <c r="F91" s="7"/>
      <c r="G91" s="7">
        <v>164497</v>
      </c>
      <c r="H91" s="7"/>
      <c r="I91" s="7">
        <v>44093</v>
      </c>
      <c r="J91" s="288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6">
        <f t="shared" si="11"/>
        <v>1160</v>
      </c>
      <c r="R91" s="6"/>
      <c r="S91" s="7">
        <f>30417+12214+4084</f>
        <v>46715</v>
      </c>
      <c r="T91" s="6"/>
      <c r="U91" s="287">
        <f t="shared" si="14"/>
        <v>7.952991969546587E-2</v>
      </c>
      <c r="W91">
        <f t="shared" si="0"/>
        <v>81</v>
      </c>
    </row>
    <row r="92" spans="3:25" x14ac:dyDescent="0.3">
      <c r="C92" s="171">
        <f t="shared" si="1"/>
        <v>43991</v>
      </c>
      <c r="E92" s="285">
        <v>379482</v>
      </c>
      <c r="F92" s="7"/>
      <c r="G92" s="7">
        <v>164796</v>
      </c>
      <c r="H92" s="7"/>
      <c r="I92" s="7">
        <v>44179</v>
      </c>
      <c r="J92" s="288"/>
      <c r="K92" s="7">
        <f t="shared" si="12"/>
        <v>588457</v>
      </c>
      <c r="L92" s="6"/>
      <c r="M92" s="475">
        <f t="shared" si="13"/>
        <v>1.8182158671680947E-3</v>
      </c>
      <c r="N92" s="29"/>
      <c r="O92" s="29"/>
      <c r="P92" s="29"/>
      <c r="Q92" s="376">
        <f t="shared" si="11"/>
        <v>1068</v>
      </c>
      <c r="R92" s="6"/>
      <c r="S92" s="7">
        <f>30458+12303+4097</f>
        <v>46858</v>
      </c>
      <c r="T92" s="6"/>
      <c r="U92" s="287">
        <f t="shared" si="14"/>
        <v>7.9628587985188376E-2</v>
      </c>
      <c r="W92">
        <f t="shared" si="0"/>
        <v>82</v>
      </c>
    </row>
    <row r="93" spans="3:25" x14ac:dyDescent="0.3">
      <c r="C93" s="171">
        <f t="shared" si="1"/>
        <v>43992</v>
      </c>
      <c r="E93" s="285">
        <v>380156</v>
      </c>
      <c r="F93" s="7"/>
      <c r="G93" s="7">
        <v>165346</v>
      </c>
      <c r="H93" s="7"/>
      <c r="I93" s="7">
        <v>44347</v>
      </c>
      <c r="J93" s="288"/>
      <c r="K93" s="7">
        <f t="shared" si="12"/>
        <v>589849</v>
      </c>
      <c r="L93" s="6"/>
      <c r="M93" s="475">
        <f t="shared" si="13"/>
        <v>2.3655084398690133E-3</v>
      </c>
      <c r="N93" s="29"/>
      <c r="O93" s="29"/>
      <c r="P93" s="29"/>
      <c r="Q93" s="376">
        <f t="shared" si="11"/>
        <v>1392</v>
      </c>
      <c r="R93" s="6"/>
      <c r="S93" s="7">
        <f>30458+12303+4097</f>
        <v>46858</v>
      </c>
      <c r="T93" s="6"/>
      <c r="U93" s="287">
        <f t="shared" si="14"/>
        <v>7.9440670408867348E-2</v>
      </c>
      <c r="W93">
        <f t="shared" si="0"/>
        <v>83</v>
      </c>
    </row>
    <row r="94" spans="3:25" x14ac:dyDescent="0.3">
      <c r="C94" s="171">
        <f t="shared" si="1"/>
        <v>43993</v>
      </c>
      <c r="E94" s="285">
        <v>380892</v>
      </c>
      <c r="F94" s="7"/>
      <c r="G94" s="7">
        <v>165816</v>
      </c>
      <c r="H94" s="7"/>
      <c r="I94" s="7">
        <v>44461</v>
      </c>
      <c r="J94" s="288"/>
      <c r="K94" s="7">
        <f t="shared" si="12"/>
        <v>591169</v>
      </c>
      <c r="L94" s="6"/>
      <c r="M94" s="475">
        <f t="shared" si="13"/>
        <v>2.237860876258161E-3</v>
      </c>
      <c r="N94" s="29"/>
      <c r="O94" s="29"/>
      <c r="P94" s="29"/>
      <c r="Q94" s="376">
        <f t="shared" si="11"/>
        <v>1320</v>
      </c>
      <c r="R94" s="6"/>
      <c r="S94" s="7">
        <f>30575+12443+4148</f>
        <v>47166</v>
      </c>
      <c r="T94" s="6"/>
      <c r="U94" s="287">
        <f t="shared" si="14"/>
        <v>7.9784291801498389E-2</v>
      </c>
      <c r="W94">
        <f t="shared" si="0"/>
        <v>84</v>
      </c>
    </row>
    <row r="95" spans="3:25" x14ac:dyDescent="0.3">
      <c r="C95" s="171">
        <f t="shared" si="1"/>
        <v>43994</v>
      </c>
      <c r="E95" s="285">
        <v>381714</v>
      </c>
      <c r="F95" s="7"/>
      <c r="G95" s="7">
        <v>166164</v>
      </c>
      <c r="H95" s="7"/>
      <c r="I95" s="7">
        <v>44689</v>
      </c>
      <c r="J95" s="288"/>
      <c r="K95" s="7">
        <f t="shared" si="12"/>
        <v>592567</v>
      </c>
      <c r="L95" s="6"/>
      <c r="M95" s="475">
        <f t="shared" si="13"/>
        <v>2.3648060030211325E-3</v>
      </c>
      <c r="N95" s="29"/>
      <c r="O95" s="29"/>
      <c r="P95" s="29"/>
      <c r="Q95" s="376">
        <f t="shared" si="11"/>
        <v>1398</v>
      </c>
      <c r="R95" s="6"/>
      <c r="S95" s="7">
        <f>30758+12489+4159</f>
        <v>47406</v>
      </c>
      <c r="T95" s="6"/>
      <c r="U95" s="287">
        <f t="shared" si="14"/>
        <v>8.000108004664451E-2</v>
      </c>
      <c r="W95">
        <f t="shared" si="0"/>
        <v>85</v>
      </c>
    </row>
    <row r="96" spans="3:25" x14ac:dyDescent="0.3">
      <c r="C96" s="171">
        <f t="shared" si="1"/>
        <v>43995</v>
      </c>
      <c r="E96" s="285">
        <v>382630</v>
      </c>
      <c r="F96" s="7"/>
      <c r="G96" s="7">
        <v>166605</v>
      </c>
      <c r="H96" s="7"/>
      <c r="I96" s="7">
        <v>44994</v>
      </c>
      <c r="J96" s="288"/>
      <c r="K96" s="7">
        <f t="shared" si="12"/>
        <v>594229</v>
      </c>
      <c r="L96" s="6"/>
      <c r="M96" s="475">
        <f t="shared" si="13"/>
        <v>2.804746129973488E-3</v>
      </c>
      <c r="N96" s="29"/>
      <c r="O96" s="29"/>
      <c r="P96" s="29"/>
      <c r="Q96" s="376">
        <f t="shared" si="11"/>
        <v>1662</v>
      </c>
      <c r="R96" s="6"/>
      <c r="S96" s="7">
        <f>30795+12621+4186</f>
        <v>47602</v>
      </c>
      <c r="T96" s="6"/>
      <c r="U96" s="287">
        <f t="shared" si="14"/>
        <v>8.010716407310986E-2</v>
      </c>
      <c r="W96">
        <f t="shared" si="0"/>
        <v>86</v>
      </c>
      <c r="Y96" s="56"/>
    </row>
    <row r="97" spans="3:25" x14ac:dyDescent="0.3">
      <c r="C97" s="171">
        <f t="shared" si="1"/>
        <v>43996</v>
      </c>
      <c r="E97" s="285">
        <v>383324</v>
      </c>
      <c r="F97" s="7"/>
      <c r="G97" s="7">
        <v>166881</v>
      </c>
      <c r="H97" s="7"/>
      <c r="I97" s="7">
        <v>45088</v>
      </c>
      <c r="J97" s="288"/>
      <c r="K97" s="7">
        <f t="shared" si="12"/>
        <v>595293</v>
      </c>
      <c r="L97" s="6"/>
      <c r="M97" s="475">
        <f t="shared" si="13"/>
        <v>1.7905554929160308E-3</v>
      </c>
      <c r="N97" s="29"/>
      <c r="O97" s="29"/>
      <c r="P97" s="29"/>
      <c r="Q97" s="376">
        <f t="shared" si="11"/>
        <v>1064</v>
      </c>
      <c r="R97" s="6"/>
      <c r="S97" s="7">
        <f>30825+12659+4201</f>
        <v>47685</v>
      </c>
      <c r="T97" s="6"/>
      <c r="U97" s="287">
        <f t="shared" si="14"/>
        <v>8.010341126134525E-2</v>
      </c>
      <c r="W97">
        <f t="shared" si="0"/>
        <v>87</v>
      </c>
      <c r="Y97" s="56"/>
    </row>
    <row r="98" spans="3:25" x14ac:dyDescent="0.3">
      <c r="C98" s="171">
        <f t="shared" ref="C98:C151" si="15">+C97+1</f>
        <v>43997</v>
      </c>
      <c r="E98" s="285">
        <v>383944</v>
      </c>
      <c r="F98" s="7"/>
      <c r="G98" s="7">
        <v>167106</v>
      </c>
      <c r="H98" s="7"/>
      <c r="I98" s="7">
        <v>45235</v>
      </c>
      <c r="J98" s="288"/>
      <c r="K98" s="7">
        <f t="shared" ref="K98:K109" si="16">SUM(E98:I98)</f>
        <v>596285</v>
      </c>
      <c r="L98" s="6"/>
      <c r="M98" s="475">
        <f t="shared" ref="M98:M109" si="17">+(K98-K97)/K97</f>
        <v>1.6664062906837473E-3</v>
      </c>
      <c r="N98" s="29"/>
      <c r="O98" s="29"/>
      <c r="P98" s="29"/>
      <c r="Q98" s="376">
        <f t="shared" ref="Q98:Q109" si="18">+K98-K97</f>
        <v>992</v>
      </c>
      <c r="R98" s="6"/>
      <c r="S98" s="7">
        <f>30856+12708+4204</f>
        <v>47768</v>
      </c>
      <c r="T98" s="6"/>
      <c r="U98" s="287">
        <f t="shared" ref="U98:U109" si="19">+S98/K98</f>
        <v>8.0109343686324497E-2</v>
      </c>
      <c r="W98">
        <f t="shared" ref="W98:W151" si="20">+W97+1</f>
        <v>88</v>
      </c>
      <c r="Y98" s="56"/>
    </row>
    <row r="99" spans="3:25" x14ac:dyDescent="0.3">
      <c r="C99" s="171">
        <f t="shared" si="15"/>
        <v>43998</v>
      </c>
      <c r="E99" s="285">
        <v>384475</v>
      </c>
      <c r="F99" s="7"/>
      <c r="G99" s="7">
        <v>167426</v>
      </c>
      <c r="H99" s="7"/>
      <c r="I99" s="7">
        <v>45349</v>
      </c>
      <c r="J99" s="288"/>
      <c r="K99" s="7">
        <f t="shared" si="16"/>
        <v>597250</v>
      </c>
      <c r="L99" s="6"/>
      <c r="M99" s="475">
        <f t="shared" si="17"/>
        <v>1.6183536396186388E-3</v>
      </c>
      <c r="N99" s="29"/>
      <c r="O99" s="29"/>
      <c r="P99" s="29"/>
      <c r="Q99" s="376">
        <f t="shared" si="18"/>
        <v>965</v>
      </c>
      <c r="R99" s="6"/>
      <c r="S99" s="7">
        <f>30882+12792+4210</f>
        <v>47884</v>
      </c>
      <c r="T99" s="6"/>
      <c r="U99" s="287">
        <f t="shared" si="19"/>
        <v>8.017413143574717E-2</v>
      </c>
      <c r="W99">
        <f t="shared" si="20"/>
        <v>89</v>
      </c>
      <c r="Y99" s="56"/>
    </row>
    <row r="100" spans="3:25" x14ac:dyDescent="0.3">
      <c r="C100" s="171">
        <f t="shared" si="15"/>
        <v>43999</v>
      </c>
      <c r="E100" s="285">
        <v>385042</v>
      </c>
      <c r="F100" s="7"/>
      <c r="G100" s="7">
        <v>167703</v>
      </c>
      <c r="H100" s="7"/>
      <c r="I100" s="7">
        <v>45429</v>
      </c>
      <c r="J100" s="288"/>
      <c r="K100" s="7">
        <f t="shared" si="16"/>
        <v>598174</v>
      </c>
      <c r="L100" s="6"/>
      <c r="M100" s="475">
        <f t="shared" si="17"/>
        <v>1.5470908329845124E-3</v>
      </c>
      <c r="N100" s="29"/>
      <c r="O100" s="29"/>
      <c r="P100" s="29"/>
      <c r="Q100" s="376">
        <f t="shared" si="18"/>
        <v>924</v>
      </c>
      <c r="R100" s="6"/>
      <c r="S100" s="7">
        <f>30939+12835+4219</f>
        <v>47993</v>
      </c>
      <c r="T100" s="6"/>
      <c r="U100" s="287">
        <f t="shared" si="19"/>
        <v>8.0232507598123629E-2</v>
      </c>
      <c r="W100">
        <f t="shared" si="20"/>
        <v>90</v>
      </c>
      <c r="Y100" s="56"/>
    </row>
    <row r="101" spans="3:25" x14ac:dyDescent="0.3">
      <c r="C101" s="171">
        <f t="shared" si="15"/>
        <v>44000</v>
      </c>
      <c r="E101" s="285">
        <v>385560</v>
      </c>
      <c r="F101" s="7"/>
      <c r="G101" s="7">
        <v>168067</v>
      </c>
      <c r="H101" s="7"/>
      <c r="I101" s="7">
        <v>45440</v>
      </c>
      <c r="J101" s="288"/>
      <c r="K101" s="7">
        <f t="shared" si="16"/>
        <v>599067</v>
      </c>
      <c r="L101" s="6"/>
      <c r="M101" s="475">
        <f t="shared" si="17"/>
        <v>1.4928766546188901E-3</v>
      </c>
      <c r="N101" s="29"/>
      <c r="O101" s="29"/>
      <c r="P101" s="29"/>
      <c r="Q101" s="376">
        <f t="shared" si="18"/>
        <v>893</v>
      </c>
      <c r="R101" s="6"/>
      <c r="S101" s="7">
        <f>30974+12869+4226</f>
        <v>48069</v>
      </c>
      <c r="T101" s="6"/>
      <c r="U101" s="287">
        <f t="shared" si="19"/>
        <v>8.0239772846776733E-2</v>
      </c>
      <c r="W101">
        <f t="shared" si="20"/>
        <v>91</v>
      </c>
      <c r="Y101" s="56"/>
    </row>
    <row r="102" spans="3:25" x14ac:dyDescent="0.3">
      <c r="C102" s="171">
        <f t="shared" si="15"/>
        <v>44001</v>
      </c>
      <c r="E102" s="285">
        <v>386556</v>
      </c>
      <c r="F102" s="7"/>
      <c r="G102" s="7">
        <v>168496</v>
      </c>
      <c r="H102" s="7"/>
      <c r="I102" s="7">
        <v>45557</v>
      </c>
      <c r="J102" s="288"/>
      <c r="K102" s="7">
        <f t="shared" si="16"/>
        <v>600609</v>
      </c>
      <c r="L102" s="6"/>
      <c r="M102" s="475">
        <f t="shared" si="17"/>
        <v>2.5740025740025739E-3</v>
      </c>
      <c r="N102" s="29"/>
      <c r="O102" s="29"/>
      <c r="P102" s="29"/>
      <c r="Q102" s="376">
        <f t="shared" si="18"/>
        <v>1542</v>
      </c>
      <c r="R102" s="6"/>
      <c r="S102" s="7">
        <f>31015+12902+4238</f>
        <v>48155</v>
      </c>
      <c r="T102" s="6"/>
      <c r="U102" s="287">
        <f t="shared" si="19"/>
        <v>8.0176953725302147E-2</v>
      </c>
      <c r="W102">
        <f t="shared" si="20"/>
        <v>92</v>
      </c>
      <c r="Y102" s="56"/>
    </row>
    <row r="103" spans="3:25" x14ac:dyDescent="0.3">
      <c r="C103" s="171">
        <f t="shared" si="15"/>
        <v>44002</v>
      </c>
      <c r="E103" s="285">
        <v>387272</v>
      </c>
      <c r="F103" s="7"/>
      <c r="G103" s="7">
        <v>168834</v>
      </c>
      <c r="H103" s="7"/>
      <c r="I103" s="7">
        <v>45715</v>
      </c>
      <c r="J103" s="288"/>
      <c r="K103" s="7">
        <f t="shared" si="16"/>
        <v>601821</v>
      </c>
      <c r="L103" s="6"/>
      <c r="M103" s="475">
        <f t="shared" si="17"/>
        <v>2.0179517789443713E-3</v>
      </c>
      <c r="N103" s="29"/>
      <c r="O103" s="29"/>
      <c r="P103" s="29"/>
      <c r="Q103" s="376">
        <f t="shared" si="18"/>
        <v>1212</v>
      </c>
      <c r="R103" s="6"/>
      <c r="S103" s="7">
        <f>31083+12924+4251</f>
        <v>48258</v>
      </c>
      <c r="T103" s="6"/>
      <c r="U103" s="287">
        <f t="shared" si="19"/>
        <v>8.0186633567123786E-2</v>
      </c>
      <c r="W103">
        <f t="shared" si="20"/>
        <v>93</v>
      </c>
      <c r="Y103" s="56"/>
    </row>
    <row r="104" spans="3:25" x14ac:dyDescent="0.3">
      <c r="C104" s="171">
        <f t="shared" si="15"/>
        <v>44003</v>
      </c>
      <c r="E104" s="285">
        <v>387936</v>
      </c>
      <c r="F104" s="7"/>
      <c r="G104" s="7">
        <v>169142</v>
      </c>
      <c r="H104" s="7"/>
      <c r="I104" s="7">
        <v>45755</v>
      </c>
      <c r="J104" s="288"/>
      <c r="K104" s="7">
        <f t="shared" si="16"/>
        <v>602833</v>
      </c>
      <c r="L104" s="6"/>
      <c r="M104" s="475">
        <f t="shared" si="17"/>
        <v>1.6815631225896072E-3</v>
      </c>
      <c r="N104" s="29"/>
      <c r="O104" s="29"/>
      <c r="P104" s="29"/>
      <c r="Q104" s="376">
        <f t="shared" si="18"/>
        <v>1012</v>
      </c>
      <c r="R104" s="6"/>
      <c r="S104" s="7">
        <f>31083+12924+4251</f>
        <v>48258</v>
      </c>
      <c r="T104" s="6"/>
      <c r="U104" s="287">
        <f t="shared" si="19"/>
        <v>8.0052021040653051E-2</v>
      </c>
      <c r="W104">
        <f t="shared" si="20"/>
        <v>94</v>
      </c>
      <c r="Y104" s="56"/>
    </row>
    <row r="105" spans="3:25" x14ac:dyDescent="0.3">
      <c r="C105" s="171">
        <f t="shared" si="15"/>
        <v>44004</v>
      </c>
      <c r="E105" s="285">
        <v>388488</v>
      </c>
      <c r="F105" s="7"/>
      <c r="G105" s="7">
        <v>169415</v>
      </c>
      <c r="H105" s="7"/>
      <c r="I105" s="7">
        <v>45782</v>
      </c>
      <c r="J105" s="288"/>
      <c r="K105" s="7">
        <f t="shared" si="16"/>
        <v>603685</v>
      </c>
      <c r="L105" s="6"/>
      <c r="M105" s="475">
        <f t="shared" si="17"/>
        <v>1.4133267422320941E-3</v>
      </c>
      <c r="N105" s="29"/>
      <c r="O105" s="29"/>
      <c r="P105" s="29"/>
      <c r="Q105" s="376">
        <f t="shared" si="18"/>
        <v>852</v>
      </c>
      <c r="R105" s="6"/>
      <c r="S105" s="7">
        <f>31125+12939+4260</f>
        <v>48324</v>
      </c>
      <c r="T105" s="6"/>
      <c r="U105" s="287">
        <f t="shared" si="19"/>
        <v>8.0048369596726773E-2</v>
      </c>
      <c r="W105">
        <f t="shared" si="20"/>
        <v>95</v>
      </c>
      <c r="Y105" s="56"/>
    </row>
    <row r="106" spans="3:25" x14ac:dyDescent="0.3">
      <c r="C106" s="171">
        <f t="shared" si="15"/>
        <v>44005</v>
      </c>
      <c r="E106" s="285">
        <v>389085</v>
      </c>
      <c r="F106" s="7"/>
      <c r="G106" s="7">
        <v>169734</v>
      </c>
      <c r="H106" s="7"/>
      <c r="I106" s="7">
        <v>45899</v>
      </c>
      <c r="J106" s="288"/>
      <c r="K106" s="7">
        <f t="shared" si="16"/>
        <v>604718</v>
      </c>
      <c r="L106" s="6"/>
      <c r="M106" s="475">
        <f t="shared" si="17"/>
        <v>1.7111573088614096E-3</v>
      </c>
      <c r="N106" s="29"/>
      <c r="O106" s="29"/>
      <c r="P106" s="29"/>
      <c r="Q106" s="376">
        <f t="shared" si="18"/>
        <v>1033</v>
      </c>
      <c r="R106" s="6"/>
      <c r="S106" s="7">
        <f>31232+13025+4277</f>
        <v>48534</v>
      </c>
      <c r="T106" s="6"/>
      <c r="U106" s="287">
        <f t="shared" si="19"/>
        <v>8.025889753571086E-2</v>
      </c>
      <c r="W106">
        <f t="shared" si="20"/>
        <v>96</v>
      </c>
      <c r="Y106" s="56"/>
    </row>
    <row r="107" spans="3:25" x14ac:dyDescent="0.3">
      <c r="C107" s="171">
        <f t="shared" si="15"/>
        <v>44006</v>
      </c>
      <c r="E107" s="285">
        <v>389666</v>
      </c>
      <c r="F107" s="7"/>
      <c r="G107" s="7">
        <v>169892</v>
      </c>
      <c r="H107" s="7"/>
      <c r="I107" s="7">
        <v>45913</v>
      </c>
      <c r="J107" s="288"/>
      <c r="K107" s="7">
        <f t="shared" si="16"/>
        <v>605471</v>
      </c>
      <c r="L107" s="6"/>
      <c r="M107" s="475">
        <f t="shared" si="17"/>
        <v>1.2452085104131183E-3</v>
      </c>
      <c r="N107" s="29"/>
      <c r="O107" s="29"/>
      <c r="P107" s="29"/>
      <c r="Q107" s="376">
        <f t="shared" si="18"/>
        <v>753</v>
      </c>
      <c r="R107" s="6"/>
      <c r="S107" s="7">
        <f>31257+13076+4287</f>
        <v>48620</v>
      </c>
      <c r="T107" s="6"/>
      <c r="U107" s="287">
        <f t="shared" si="19"/>
        <v>8.0301120945511839E-2</v>
      </c>
      <c r="W107">
        <f t="shared" si="20"/>
        <v>97</v>
      </c>
      <c r="Y107" s="56"/>
    </row>
    <row r="108" spans="3:25" x14ac:dyDescent="0.3">
      <c r="C108" s="171">
        <f t="shared" si="15"/>
        <v>44007</v>
      </c>
      <c r="E108" s="285">
        <v>390415</v>
      </c>
      <c r="F108" s="7"/>
      <c r="G108" s="7">
        <v>170186</v>
      </c>
      <c r="H108" s="7"/>
      <c r="I108" s="7">
        <v>45994</v>
      </c>
      <c r="J108" s="288"/>
      <c r="K108" s="7">
        <f t="shared" si="16"/>
        <v>606595</v>
      </c>
      <c r="L108" s="6"/>
      <c r="M108" s="475">
        <f t="shared" si="17"/>
        <v>1.8564060045815573E-3</v>
      </c>
      <c r="N108" s="29"/>
      <c r="O108" s="29"/>
      <c r="P108" s="29"/>
      <c r="Q108" s="376">
        <f t="shared" si="18"/>
        <v>1124</v>
      </c>
      <c r="R108" s="6"/>
      <c r="S108" s="7">
        <f>31301+14872+4208</f>
        <v>50381</v>
      </c>
      <c r="T108" s="6"/>
      <c r="U108" s="287">
        <f t="shared" si="19"/>
        <v>8.30554158870416E-2</v>
      </c>
      <c r="W108">
        <f t="shared" si="20"/>
        <v>98</v>
      </c>
      <c r="Y108" s="56"/>
    </row>
    <row r="109" spans="3:25" x14ac:dyDescent="0.3">
      <c r="C109" s="171">
        <f t="shared" si="15"/>
        <v>44008</v>
      </c>
      <c r="E109" s="285">
        <v>391220</v>
      </c>
      <c r="F109" s="7"/>
      <c r="G109" s="7">
        <v>170584</v>
      </c>
      <c r="H109" s="7"/>
      <c r="I109" s="7">
        <v>46059</v>
      </c>
      <c r="J109" s="288"/>
      <c r="K109" s="7">
        <f t="shared" si="16"/>
        <v>607863</v>
      </c>
      <c r="L109" s="6"/>
      <c r="M109" s="475">
        <f t="shared" si="17"/>
        <v>2.0903568278670282E-3</v>
      </c>
      <c r="N109" s="29"/>
      <c r="O109" s="29"/>
      <c r="P109" s="29"/>
      <c r="Q109" s="376">
        <f t="shared" si="18"/>
        <v>1268</v>
      </c>
      <c r="R109" s="6"/>
      <c r="S109" s="7">
        <f>31342+14915+4307</f>
        <v>50564</v>
      </c>
      <c r="T109" s="6"/>
      <c r="U109" s="287">
        <f t="shared" si="19"/>
        <v>8.3183217270996923E-2</v>
      </c>
      <c r="W109">
        <f t="shared" si="20"/>
        <v>99</v>
      </c>
      <c r="Y109" s="56"/>
    </row>
    <row r="110" spans="3:25" x14ac:dyDescent="0.3">
      <c r="C110" s="171">
        <f t="shared" si="15"/>
        <v>44009</v>
      </c>
      <c r="E110" s="285">
        <v>391323</v>
      </c>
      <c r="F110" s="7"/>
      <c r="G110" s="7">
        <v>170873</v>
      </c>
      <c r="H110" s="7"/>
      <c r="I110" s="7">
        <v>46206</v>
      </c>
      <c r="J110" s="288"/>
      <c r="K110" s="7">
        <f t="shared" ref="K110:K127" si="21">SUM(E110:I110)</f>
        <v>608402</v>
      </c>
      <c r="L110" s="6"/>
      <c r="M110" s="475">
        <f t="shared" ref="M110:M127" si="22">+(K110-K109)/K109</f>
        <v>8.8671295999262988E-4</v>
      </c>
      <c r="N110" s="29"/>
      <c r="O110" s="29"/>
      <c r="P110" s="29"/>
      <c r="Q110" s="376">
        <f t="shared" ref="Q110:Q127" si="23">+K110-K109</f>
        <v>539</v>
      </c>
      <c r="R110" s="6"/>
      <c r="S110" s="7">
        <f>31368+14984+4311</f>
        <v>50663</v>
      </c>
      <c r="T110" s="6"/>
      <c r="U110" s="287">
        <f t="shared" ref="U110:U127" si="24">+S110/K110</f>
        <v>8.3272244338447279E-2</v>
      </c>
      <c r="W110">
        <f t="shared" si="20"/>
        <v>100</v>
      </c>
      <c r="Y110" s="56"/>
    </row>
    <row r="111" spans="3:25" x14ac:dyDescent="0.3">
      <c r="C111" s="171">
        <f t="shared" si="15"/>
        <v>44010</v>
      </c>
      <c r="E111" s="285">
        <v>392539</v>
      </c>
      <c r="F111" s="7"/>
      <c r="G111" s="7">
        <v>171182</v>
      </c>
      <c r="H111" s="7"/>
      <c r="I111" s="7">
        <v>46303</v>
      </c>
      <c r="J111" s="288"/>
      <c r="K111" s="7">
        <f t="shared" si="21"/>
        <v>610024</v>
      </c>
      <c r="L111" s="6"/>
      <c r="M111" s="482">
        <f t="shared" si="22"/>
        <v>2.6660004404982234E-3</v>
      </c>
      <c r="N111" s="29"/>
      <c r="O111" s="29"/>
      <c r="P111" s="29"/>
      <c r="Q111" s="376">
        <f t="shared" si="23"/>
        <v>1622</v>
      </c>
      <c r="R111" s="6"/>
      <c r="S111" s="7">
        <f>31397+14975+4316</f>
        <v>50688</v>
      </c>
      <c r="T111" s="6"/>
      <c r="U111" s="287">
        <f t="shared" si="24"/>
        <v>8.3091812781136476E-2</v>
      </c>
      <c r="W111">
        <f t="shared" si="20"/>
        <v>101</v>
      </c>
      <c r="Y111" s="56"/>
    </row>
    <row r="112" spans="3:25" x14ac:dyDescent="0.3">
      <c r="C112" s="171">
        <f t="shared" si="15"/>
        <v>44011</v>
      </c>
      <c r="E112" s="285">
        <v>393069</v>
      </c>
      <c r="F112" s="7"/>
      <c r="G112" s="7">
        <v>171272</v>
      </c>
      <c r="H112" s="7"/>
      <c r="I112" s="7">
        <v>46362</v>
      </c>
      <c r="J112" s="288"/>
      <c r="K112" s="7">
        <f t="shared" si="21"/>
        <v>610703</v>
      </c>
      <c r="L112" s="6"/>
      <c r="M112" s="482">
        <f t="shared" si="22"/>
        <v>1.1130709611425124E-3</v>
      </c>
      <c r="N112" s="29"/>
      <c r="O112" s="29"/>
      <c r="P112" s="29"/>
      <c r="Q112" s="376">
        <f t="shared" si="23"/>
        <v>679</v>
      </c>
      <c r="R112" s="6"/>
      <c r="S112" s="7">
        <f>31403+14992+4320</f>
        <v>50715</v>
      </c>
      <c r="T112" s="6"/>
      <c r="U112" s="287">
        <f t="shared" si="24"/>
        <v>8.3043639870771888E-2</v>
      </c>
      <c r="W112">
        <f t="shared" si="20"/>
        <v>102</v>
      </c>
      <c r="Y112" s="56"/>
    </row>
    <row r="113" spans="3:25" x14ac:dyDescent="0.3">
      <c r="C113" s="171">
        <f t="shared" si="15"/>
        <v>44012</v>
      </c>
      <c r="E113" s="285">
        <v>393254</v>
      </c>
      <c r="F113" s="7"/>
      <c r="G113" s="7">
        <v>171617</v>
      </c>
      <c r="H113" s="7"/>
      <c r="I113" s="7">
        <v>46474</v>
      </c>
      <c r="J113" s="288"/>
      <c r="K113" s="7">
        <f t="shared" si="21"/>
        <v>611345</v>
      </c>
      <c r="L113" s="6"/>
      <c r="M113" s="482">
        <f t="shared" si="22"/>
        <v>1.0512474967373667E-3</v>
      </c>
      <c r="N113" s="29"/>
      <c r="O113" s="29"/>
      <c r="P113" s="29"/>
      <c r="Q113" s="376">
        <f t="shared" si="23"/>
        <v>642</v>
      </c>
      <c r="R113" s="6"/>
      <c r="S113" s="7">
        <f>32032+15035+4322</f>
        <v>51389</v>
      </c>
      <c r="T113" s="6"/>
      <c r="U113" s="287">
        <f t="shared" si="24"/>
        <v>8.4058919268170995E-2</v>
      </c>
      <c r="W113">
        <f t="shared" si="20"/>
        <v>103</v>
      </c>
      <c r="Y113" s="56"/>
    </row>
    <row r="114" spans="3:25" x14ac:dyDescent="0.3">
      <c r="C114" s="171">
        <f t="shared" si="15"/>
        <v>44013</v>
      </c>
      <c r="E114" s="285">
        <v>394079</v>
      </c>
      <c r="F114" s="7"/>
      <c r="G114" s="7">
        <v>171928</v>
      </c>
      <c r="H114" s="7"/>
      <c r="I114" s="7">
        <v>46572</v>
      </c>
      <c r="J114" s="288"/>
      <c r="K114" s="7">
        <f t="shared" si="21"/>
        <v>612579</v>
      </c>
      <c r="L114" s="6"/>
      <c r="M114" s="482">
        <f t="shared" si="22"/>
        <v>2.0185001921991675E-3</v>
      </c>
      <c r="N114" s="29"/>
      <c r="O114" s="29"/>
      <c r="P114" s="29"/>
      <c r="Q114" s="376">
        <f t="shared" si="23"/>
        <v>1234</v>
      </c>
      <c r="R114" s="6"/>
      <c r="S114" s="7">
        <f>32043+15078+4324</f>
        <v>51445</v>
      </c>
      <c r="T114" s="6"/>
      <c r="U114" s="287">
        <f t="shared" si="24"/>
        <v>8.3981004898959974E-2</v>
      </c>
      <c r="W114">
        <f t="shared" si="20"/>
        <v>104</v>
      </c>
      <c r="Y114" s="56"/>
    </row>
    <row r="115" spans="3:25" x14ac:dyDescent="0.3">
      <c r="C115" s="171">
        <f t="shared" si="15"/>
        <v>44014</v>
      </c>
      <c r="E115" s="285">
        <v>394954</v>
      </c>
      <c r="F115" s="7"/>
      <c r="G115" s="7">
        <v>172356</v>
      </c>
      <c r="H115" s="7"/>
      <c r="I115" s="7">
        <v>46646</v>
      </c>
      <c r="J115" s="288"/>
      <c r="K115" s="7">
        <f t="shared" si="21"/>
        <v>613956</v>
      </c>
      <c r="L115" s="6"/>
      <c r="M115" s="482">
        <f t="shared" si="22"/>
        <v>2.2478733355208065E-3</v>
      </c>
      <c r="N115" s="29"/>
      <c r="O115" s="29"/>
      <c r="P115" s="29"/>
      <c r="Q115" s="376">
        <f t="shared" si="23"/>
        <v>1377</v>
      </c>
      <c r="R115" s="6"/>
      <c r="S115" s="7">
        <f>32064+15107+4328</f>
        <v>51499</v>
      </c>
      <c r="T115" s="6"/>
      <c r="U115" s="287">
        <f t="shared" si="24"/>
        <v>8.3880603821772245E-2</v>
      </c>
      <c r="W115">
        <f t="shared" si="20"/>
        <v>105</v>
      </c>
      <c r="Y115" s="56"/>
    </row>
    <row r="116" spans="3:25" x14ac:dyDescent="0.3">
      <c r="C116" s="171">
        <f t="shared" si="15"/>
        <v>44015</v>
      </c>
      <c r="E116" s="285">
        <v>395872</v>
      </c>
      <c r="F116" s="7"/>
      <c r="G116" s="7">
        <v>172742</v>
      </c>
      <c r="H116" s="7"/>
      <c r="I116" s="7">
        <v>46717</v>
      </c>
      <c r="J116" s="288"/>
      <c r="K116" s="7">
        <f t="shared" si="21"/>
        <v>615331</v>
      </c>
      <c r="L116" s="6"/>
      <c r="M116" s="482">
        <f t="shared" si="22"/>
        <v>2.2395741714389956E-3</v>
      </c>
      <c r="N116" s="29"/>
      <c r="O116" s="29"/>
      <c r="P116" s="29"/>
      <c r="Q116" s="376">
        <f t="shared" si="23"/>
        <v>1375</v>
      </c>
      <c r="R116" s="6"/>
      <c r="S116" s="7">
        <f>32081+15164+4335</f>
        <v>51580</v>
      </c>
      <c r="T116" s="6"/>
      <c r="U116" s="287">
        <f t="shared" si="24"/>
        <v>8.3824803235981932E-2</v>
      </c>
      <c r="W116">
        <f t="shared" si="20"/>
        <v>106</v>
      </c>
      <c r="Y116" s="56"/>
    </row>
    <row r="117" spans="3:25" x14ac:dyDescent="0.3">
      <c r="C117" s="171">
        <f t="shared" si="15"/>
        <v>44016</v>
      </c>
      <c r="E117" s="285">
        <v>395598</v>
      </c>
      <c r="F117" s="7"/>
      <c r="G117" s="7">
        <v>173033</v>
      </c>
      <c r="H117" s="7"/>
      <c r="I117" s="7">
        <v>46717</v>
      </c>
      <c r="J117" s="288"/>
      <c r="K117" s="7">
        <f t="shared" si="21"/>
        <v>615348</v>
      </c>
      <c r="L117" s="6"/>
      <c r="M117" s="482">
        <f t="shared" si="22"/>
        <v>2.7627407037838173E-5</v>
      </c>
      <c r="N117" s="29"/>
      <c r="O117" s="29"/>
      <c r="P117" s="29"/>
      <c r="Q117" s="376">
        <f t="shared" si="23"/>
        <v>17</v>
      </c>
      <c r="R117" s="6"/>
      <c r="S117" s="7">
        <f>32157+15189+4355</f>
        <v>51701</v>
      </c>
      <c r="T117" s="6"/>
      <c r="U117" s="287">
        <f t="shared" si="24"/>
        <v>8.4019124137886203E-2</v>
      </c>
      <c r="W117">
        <f t="shared" si="20"/>
        <v>107</v>
      </c>
      <c r="Y117" s="56"/>
    </row>
    <row r="118" spans="3:25" x14ac:dyDescent="0.3">
      <c r="C118" s="171">
        <f t="shared" si="15"/>
        <v>44017</v>
      </c>
      <c r="E118" s="285">
        <v>397131</v>
      </c>
      <c r="F118" s="7"/>
      <c r="G118" s="7">
        <v>173402</v>
      </c>
      <c r="H118" s="7"/>
      <c r="I118" s="7">
        <v>46717</v>
      </c>
      <c r="J118" s="288"/>
      <c r="K118" s="7">
        <f t="shared" si="21"/>
        <v>617250</v>
      </c>
      <c r="L118" s="6"/>
      <c r="M118" s="482">
        <f t="shared" si="22"/>
        <v>3.0909339105676787E-3</v>
      </c>
      <c r="N118" s="29"/>
      <c r="O118" s="29"/>
      <c r="P118" s="29"/>
      <c r="Q118" s="376">
        <f t="shared" si="23"/>
        <v>1902</v>
      </c>
      <c r="R118" s="6"/>
      <c r="S118" s="7">
        <f>32189+15211+4335</f>
        <v>51735</v>
      </c>
      <c r="T118" s="6"/>
      <c r="U118" s="287">
        <f t="shared" si="24"/>
        <v>8.3815309842041316E-2</v>
      </c>
      <c r="W118">
        <f t="shared" si="20"/>
        <v>108</v>
      </c>
      <c r="Y118" s="56"/>
    </row>
    <row r="119" spans="3:25" x14ac:dyDescent="0.3">
      <c r="C119" s="171">
        <f t="shared" si="15"/>
        <v>44018</v>
      </c>
      <c r="E119" s="285">
        <v>397649</v>
      </c>
      <c r="F119" s="7"/>
      <c r="G119" s="7">
        <v>173611</v>
      </c>
      <c r="H119" s="7"/>
      <c r="I119" s="7">
        <v>46976</v>
      </c>
      <c r="J119" s="288"/>
      <c r="K119" s="7">
        <f t="shared" si="21"/>
        <v>618236</v>
      </c>
      <c r="L119" s="6"/>
      <c r="M119" s="482">
        <f t="shared" si="22"/>
        <v>1.5974078574321588E-3</v>
      </c>
      <c r="N119" s="29"/>
      <c r="O119" s="29"/>
      <c r="P119" s="29"/>
      <c r="Q119" s="376">
        <f t="shared" si="23"/>
        <v>986</v>
      </c>
      <c r="R119" s="6"/>
      <c r="S119" s="7">
        <f>32219+15229+4388</f>
        <v>51836</v>
      </c>
      <c r="T119" s="6"/>
      <c r="U119" s="287">
        <f t="shared" si="24"/>
        <v>8.3845004173163651E-2</v>
      </c>
      <c r="W119">
        <f t="shared" si="20"/>
        <v>109</v>
      </c>
      <c r="Y119" s="56"/>
    </row>
    <row r="120" spans="3:25" x14ac:dyDescent="0.3">
      <c r="C120" s="171">
        <f t="shared" si="15"/>
        <v>44019</v>
      </c>
      <c r="E120" s="285">
        <v>398237</v>
      </c>
      <c r="F120" s="7"/>
      <c r="G120" s="7">
        <v>173878</v>
      </c>
      <c r="H120" s="7"/>
      <c r="I120" s="7">
        <v>47033</v>
      </c>
      <c r="J120" s="288"/>
      <c r="K120" s="7">
        <f t="shared" si="21"/>
        <v>619148</v>
      </c>
      <c r="L120" s="6"/>
      <c r="M120" s="482">
        <f t="shared" si="22"/>
        <v>1.4751648237889738E-3</v>
      </c>
      <c r="N120" s="29"/>
      <c r="O120" s="29"/>
      <c r="P120" s="29"/>
      <c r="Q120" s="376">
        <f t="shared" si="23"/>
        <v>912</v>
      </c>
      <c r="R120" s="6"/>
      <c r="S120" s="7">
        <f>32243+15281+4338</f>
        <v>51862</v>
      </c>
      <c r="T120" s="6"/>
      <c r="U120" s="287">
        <f t="shared" si="24"/>
        <v>8.3763494350300741E-2</v>
      </c>
      <c r="W120">
        <f t="shared" si="20"/>
        <v>110</v>
      </c>
      <c r="Y120" s="56"/>
    </row>
    <row r="121" spans="3:25" x14ac:dyDescent="0.3">
      <c r="C121" s="171">
        <f t="shared" si="15"/>
        <v>44020</v>
      </c>
      <c r="E121" s="285">
        <f>398909</f>
        <v>398909</v>
      </c>
      <c r="F121" s="7"/>
      <c r="G121" s="7">
        <v>174039</v>
      </c>
      <c r="H121" s="7"/>
      <c r="I121" s="7">
        <v>47108</v>
      </c>
      <c r="J121" s="288"/>
      <c r="K121" s="7">
        <f t="shared" si="21"/>
        <v>620056</v>
      </c>
      <c r="L121" s="6"/>
      <c r="M121" s="482">
        <f t="shared" si="22"/>
        <v>1.4665314270578278E-3</v>
      </c>
      <c r="N121" s="29"/>
      <c r="O121" s="29"/>
      <c r="P121" s="29"/>
      <c r="Q121" s="376">
        <f t="shared" si="23"/>
        <v>908</v>
      </c>
      <c r="R121" s="6"/>
      <c r="S121" s="7">
        <f>32251+15332+4343</f>
        <v>51926</v>
      </c>
      <c r="T121" s="6"/>
      <c r="U121" s="287">
        <f t="shared" si="24"/>
        <v>8.3744048924613262E-2</v>
      </c>
      <c r="W121">
        <f t="shared" si="20"/>
        <v>111</v>
      </c>
      <c r="Y121" s="56"/>
    </row>
    <row r="122" spans="3:25" x14ac:dyDescent="0.3">
      <c r="C122" s="171">
        <f t="shared" si="15"/>
        <v>44021</v>
      </c>
      <c r="E122" s="285">
        <v>399477</v>
      </c>
      <c r="F122" s="7"/>
      <c r="G122" s="7">
        <v>174270</v>
      </c>
      <c r="H122" s="7"/>
      <c r="I122" s="7">
        <v>47209</v>
      </c>
      <c r="J122" s="288"/>
      <c r="K122" s="7">
        <f t="shared" si="21"/>
        <v>620956</v>
      </c>
      <c r="L122" s="6"/>
      <c r="M122" s="482">
        <f t="shared" si="22"/>
        <v>1.4514818016437224E-3</v>
      </c>
      <c r="N122" s="29"/>
      <c r="O122" s="29"/>
      <c r="P122" s="29"/>
      <c r="Q122" s="376">
        <f t="shared" si="23"/>
        <v>900</v>
      </c>
      <c r="R122" s="6"/>
      <c r="S122" s="7">
        <f>32283+15448+4348</f>
        <v>52079</v>
      </c>
      <c r="T122" s="6"/>
      <c r="U122" s="287">
        <f t="shared" si="24"/>
        <v>8.3869066407281673E-2</v>
      </c>
      <c r="W122">
        <f t="shared" si="20"/>
        <v>112</v>
      </c>
      <c r="Y122" s="56"/>
    </row>
    <row r="123" spans="3:25" x14ac:dyDescent="0.3">
      <c r="C123" s="171">
        <f t="shared" si="15"/>
        <v>44022</v>
      </c>
      <c r="E123" s="285">
        <v>400299</v>
      </c>
      <c r="F123" s="7"/>
      <c r="G123" s="7">
        <v>174628</v>
      </c>
      <c r="H123" s="7"/>
      <c r="I123" s="7">
        <v>47287</v>
      </c>
      <c r="J123" s="288"/>
      <c r="K123" s="7">
        <f t="shared" si="21"/>
        <v>622214</v>
      </c>
      <c r="L123" s="6"/>
      <c r="M123" s="482">
        <f t="shared" si="22"/>
        <v>2.0259084379569566E-3</v>
      </c>
      <c r="N123" s="29"/>
      <c r="O123" s="29"/>
      <c r="P123" s="29"/>
      <c r="Q123" s="376">
        <f t="shared" si="23"/>
        <v>1258</v>
      </c>
      <c r="R123" s="6"/>
      <c r="S123" s="7">
        <f>32307+15479+4348</f>
        <v>52134</v>
      </c>
      <c r="T123" s="6"/>
      <c r="U123" s="287">
        <f t="shared" si="24"/>
        <v>8.378789291144205E-2</v>
      </c>
      <c r="W123">
        <f t="shared" si="20"/>
        <v>113</v>
      </c>
      <c r="Y123" s="56"/>
    </row>
    <row r="124" spans="3:25" x14ac:dyDescent="0.3">
      <c r="C124" s="171">
        <f t="shared" si="15"/>
        <v>44023</v>
      </c>
      <c r="E124" s="285">
        <v>401029</v>
      </c>
      <c r="F124" s="7"/>
      <c r="G124" s="7">
        <v>174959</v>
      </c>
      <c r="H124" s="7"/>
      <c r="I124" s="7">
        <v>47237</v>
      </c>
      <c r="J124" s="288"/>
      <c r="K124" s="7">
        <f t="shared" si="21"/>
        <v>623225</v>
      </c>
      <c r="L124" s="6"/>
      <c r="M124" s="482">
        <f t="shared" si="22"/>
        <v>1.6248428997097462E-3</v>
      </c>
      <c r="N124" s="29"/>
      <c r="O124" s="29"/>
      <c r="P124" s="29"/>
      <c r="Q124" s="376">
        <f t="shared" si="23"/>
        <v>1011</v>
      </c>
      <c r="R124" s="6"/>
      <c r="S124" s="7">
        <f>32343+15525+4348</f>
        <v>52216</v>
      </c>
      <c r="T124" s="6"/>
      <c r="U124" s="287">
        <f t="shared" si="24"/>
        <v>8.3783545268562715E-2</v>
      </c>
      <c r="W124">
        <f t="shared" si="20"/>
        <v>114</v>
      </c>
      <c r="Y124" s="56"/>
    </row>
    <row r="125" spans="3:25" x14ac:dyDescent="0.3">
      <c r="C125" s="171">
        <f t="shared" si="15"/>
        <v>44024</v>
      </c>
      <c r="E125" s="285">
        <v>401556</v>
      </c>
      <c r="F125" s="7"/>
      <c r="G125" s="7">
        <v>175298</v>
      </c>
      <c r="H125" s="7"/>
      <c r="I125" s="7">
        <v>47287</v>
      </c>
      <c r="J125" s="288"/>
      <c r="K125" s="7">
        <f t="shared" si="21"/>
        <v>624141</v>
      </c>
      <c r="L125" s="6"/>
      <c r="M125" s="482">
        <f t="shared" si="22"/>
        <v>1.4697741586104536E-3</v>
      </c>
      <c r="N125" s="29"/>
      <c r="O125" s="29"/>
      <c r="P125" s="29"/>
      <c r="Q125" s="376">
        <f t="shared" si="23"/>
        <v>916</v>
      </c>
      <c r="R125" s="6"/>
      <c r="S125" s="7">
        <f>32350+15525+4348</f>
        <v>52223</v>
      </c>
      <c r="T125" s="6"/>
      <c r="U125" s="287">
        <f t="shared" si="24"/>
        <v>8.3671798519885737E-2</v>
      </c>
      <c r="W125">
        <f t="shared" si="20"/>
        <v>115</v>
      </c>
      <c r="Y125" s="56"/>
    </row>
    <row r="126" spans="3:25" x14ac:dyDescent="0.3">
      <c r="C126" s="171">
        <f t="shared" si="15"/>
        <v>44025</v>
      </c>
      <c r="E126" s="285">
        <v>402263</v>
      </c>
      <c r="F126" s="7"/>
      <c r="G126" s="7">
        <v>175522</v>
      </c>
      <c r="H126" s="7"/>
      <c r="I126" s="7">
        <v>47510</v>
      </c>
      <c r="J126" s="288"/>
      <c r="K126" s="7">
        <f t="shared" si="21"/>
        <v>625295</v>
      </c>
      <c r="L126" s="6"/>
      <c r="M126" s="482">
        <f t="shared" si="22"/>
        <v>1.8489411847643401E-3</v>
      </c>
      <c r="N126" s="29"/>
      <c r="O126" s="29"/>
      <c r="P126" s="29"/>
      <c r="Q126" s="376">
        <f t="shared" si="23"/>
        <v>1154</v>
      </c>
      <c r="R126" s="6"/>
      <c r="S126" s="7">
        <f>32395+15560+4371</f>
        <v>52326</v>
      </c>
      <c r="T126" s="6"/>
      <c r="U126" s="287">
        <f t="shared" si="24"/>
        <v>8.3682102047833426E-2</v>
      </c>
      <c r="W126">
        <f t="shared" si="20"/>
        <v>116</v>
      </c>
      <c r="Y126" s="56"/>
    </row>
    <row r="127" spans="3:25" x14ac:dyDescent="0.3">
      <c r="C127" s="171">
        <f t="shared" si="15"/>
        <v>44026</v>
      </c>
      <c r="E127" s="285">
        <v>403175</v>
      </c>
      <c r="F127" s="7"/>
      <c r="G127" s="7">
        <v>175915</v>
      </c>
      <c r="H127" s="7"/>
      <c r="I127" s="7">
        <v>47531</v>
      </c>
      <c r="J127" s="288"/>
      <c r="K127" s="7">
        <f t="shared" si="21"/>
        <v>626621</v>
      </c>
      <c r="L127" s="6"/>
      <c r="M127" s="482">
        <f t="shared" si="22"/>
        <v>2.1205990772355447E-3</v>
      </c>
      <c r="N127" s="29"/>
      <c r="O127" s="29"/>
      <c r="P127" s="29"/>
      <c r="Q127" s="376">
        <f t="shared" si="23"/>
        <v>1326</v>
      </c>
      <c r="R127" s="6"/>
      <c r="S127" s="7">
        <f>32408+15582+4374</f>
        <v>52364</v>
      </c>
      <c r="T127" s="6"/>
      <c r="U127" s="287">
        <f t="shared" si="24"/>
        <v>8.3565664093606815E-2</v>
      </c>
      <c r="W127">
        <f t="shared" si="20"/>
        <v>117</v>
      </c>
      <c r="Y127" s="56"/>
    </row>
    <row r="128" spans="3:25" x14ac:dyDescent="0.3">
      <c r="C128" s="171">
        <f t="shared" si="15"/>
        <v>44027</v>
      </c>
      <c r="E128" s="285">
        <v>403600</v>
      </c>
      <c r="F128" s="7"/>
      <c r="G128" s="7">
        <v>176110</v>
      </c>
      <c r="H128" s="7"/>
      <c r="I128" s="7">
        <v>47620</v>
      </c>
      <c r="J128" s="288"/>
      <c r="K128" s="7">
        <f t="shared" ref="K128" si="25">SUM(E128:I128)</f>
        <v>627330</v>
      </c>
      <c r="L128" s="6"/>
      <c r="M128" s="482">
        <f t="shared" ref="M128" si="26">+(K128-K127)/K127</f>
        <v>1.1314654312574906E-3</v>
      </c>
      <c r="N128" s="29"/>
      <c r="O128" s="29"/>
      <c r="P128" s="29"/>
      <c r="Q128" s="376">
        <f t="shared" ref="Q128" si="27">+K128-K127</f>
        <v>709</v>
      </c>
      <c r="R128" s="6"/>
      <c r="S128" s="7">
        <f>32427+15634+4380</f>
        <v>52441</v>
      </c>
      <c r="T128" s="6"/>
      <c r="U128" s="287">
        <f t="shared" ref="U128" si="28">+S128/K128</f>
        <v>8.3593961710742348E-2</v>
      </c>
      <c r="W128">
        <f t="shared" si="20"/>
        <v>118</v>
      </c>
      <c r="Y128" s="56"/>
    </row>
    <row r="129" spans="3:25" x14ac:dyDescent="0.3">
      <c r="C129" s="171">
        <f t="shared" si="15"/>
        <v>44028</v>
      </c>
      <c r="E129" s="285">
        <v>404775</v>
      </c>
      <c r="F129" s="7"/>
      <c r="G129" s="7">
        <v>176501</v>
      </c>
      <c r="H129" s="7"/>
      <c r="I129" s="7">
        <v>47750</v>
      </c>
      <c r="J129" s="288"/>
      <c r="K129" s="7">
        <f t="shared" ref="K129" si="29">SUM(E129:I129)</f>
        <v>629026</v>
      </c>
      <c r="L129" s="6"/>
      <c r="M129" s="482">
        <f t="shared" ref="M129" si="30">+(K129-K128)/K128</f>
        <v>2.7035212726953914E-3</v>
      </c>
      <c r="N129" s="29"/>
      <c r="O129" s="29"/>
      <c r="P129" s="29"/>
      <c r="Q129" s="376">
        <f t="shared" ref="Q129" si="31">+K129-K128</f>
        <v>1696</v>
      </c>
      <c r="R129" s="6"/>
      <c r="S129" s="7">
        <f>32446+15665+4389</f>
        <v>52500</v>
      </c>
      <c r="T129" s="6"/>
      <c r="U129" s="287">
        <f t="shared" ref="U129" si="32">+S129/K129</f>
        <v>8.3462368805105033E-2</v>
      </c>
      <c r="W129">
        <f t="shared" si="20"/>
        <v>119</v>
      </c>
      <c r="Y129" s="56"/>
    </row>
    <row r="130" spans="3:25" x14ac:dyDescent="0.3">
      <c r="C130" s="171">
        <f t="shared" si="15"/>
        <v>44029</v>
      </c>
      <c r="E130" s="285">
        <v>405551</v>
      </c>
      <c r="F130" s="7"/>
      <c r="G130" s="7">
        <v>176551</v>
      </c>
      <c r="H130" s="7"/>
      <c r="I130" s="7">
        <v>47893</v>
      </c>
      <c r="J130" s="288"/>
      <c r="K130" s="7">
        <f t="shared" ref="K130:K135" si="33">SUM(E130:I130)</f>
        <v>629995</v>
      </c>
      <c r="L130" s="6"/>
      <c r="M130" s="482">
        <f t="shared" ref="M130" si="34">+(K130-K129)/K129</f>
        <v>1.5404768642313673E-3</v>
      </c>
      <c r="N130" s="29"/>
      <c r="O130" s="29"/>
      <c r="P130" s="29"/>
      <c r="Q130" s="376">
        <f t="shared" ref="Q130" si="35">+K130-K129</f>
        <v>969</v>
      </c>
      <c r="R130" s="6"/>
      <c r="S130" s="7">
        <v>52728</v>
      </c>
      <c r="T130" s="6"/>
      <c r="U130" s="287">
        <f t="shared" ref="U130" si="36">+S130/K130</f>
        <v>8.3695902348431342E-2</v>
      </c>
      <c r="W130">
        <f t="shared" si="20"/>
        <v>120</v>
      </c>
      <c r="Y130" s="56"/>
    </row>
    <row r="131" spans="3:25" x14ac:dyDescent="0.3">
      <c r="C131" s="171">
        <f t="shared" si="15"/>
        <v>44030</v>
      </c>
      <c r="E131" s="285">
        <v>406750</v>
      </c>
      <c r="F131" s="7"/>
      <c r="G131" s="7">
        <v>176703</v>
      </c>
      <c r="H131" s="7"/>
      <c r="I131" s="7">
        <v>47929</v>
      </c>
      <c r="J131" s="288"/>
      <c r="K131" s="7">
        <f t="shared" si="33"/>
        <v>631382</v>
      </c>
      <c r="L131" s="6"/>
      <c r="M131" s="482">
        <f t="shared" ref="M131" si="37">+(K131-K130)/K130</f>
        <v>2.2016047746410685E-3</v>
      </c>
      <c r="N131" s="29"/>
      <c r="O131" s="29"/>
      <c r="P131" s="29"/>
      <c r="Q131" s="376">
        <f t="shared" ref="Q131" si="38">+K131-K130</f>
        <v>1387</v>
      </c>
      <c r="R131" s="6"/>
      <c r="S131" s="7">
        <v>53361</v>
      </c>
      <c r="T131" s="6"/>
      <c r="U131" s="287">
        <f t="shared" ref="U131" si="39">+S131/K131</f>
        <v>8.4514604470827481E-2</v>
      </c>
      <c r="W131">
        <f t="shared" si="20"/>
        <v>121</v>
      </c>
      <c r="Y131" s="56"/>
    </row>
    <row r="132" spans="3:25" x14ac:dyDescent="0.3">
      <c r="C132" s="171">
        <f t="shared" si="15"/>
        <v>44031</v>
      </c>
      <c r="E132" s="285">
        <v>406807</v>
      </c>
      <c r="F132" s="7"/>
      <c r="G132" s="7">
        <v>176783</v>
      </c>
      <c r="H132" s="7"/>
      <c r="I132" s="7">
        <v>47893</v>
      </c>
      <c r="J132" s="288"/>
      <c r="K132" s="7">
        <f t="shared" si="33"/>
        <v>631483</v>
      </c>
      <c r="L132" s="6"/>
      <c r="M132" s="482">
        <f t="shared" ref="M132" si="40">+(K132-K131)/K131</f>
        <v>1.599665495690406E-4</v>
      </c>
      <c r="N132" s="29"/>
      <c r="O132" s="29"/>
      <c r="P132" s="29"/>
      <c r="Q132" s="376">
        <f t="shared" ref="Q132" si="41">+K132-K131</f>
        <v>101</v>
      </c>
      <c r="R132" s="6"/>
      <c r="S132" s="7">
        <f>32463+16684+4396</f>
        <v>53543</v>
      </c>
      <c r="T132" s="6"/>
      <c r="U132" s="287">
        <f t="shared" ref="U132" si="42">+S132/K132</f>
        <v>8.4789297574123138E-2</v>
      </c>
      <c r="W132">
        <f t="shared" si="20"/>
        <v>122</v>
      </c>
      <c r="Y132" s="56"/>
    </row>
    <row r="133" spans="3:25" x14ac:dyDescent="0.3">
      <c r="C133" s="171">
        <f t="shared" si="15"/>
        <v>44032</v>
      </c>
      <c r="E133" s="285">
        <v>407326</v>
      </c>
      <c r="F133" s="7"/>
      <c r="G133" s="7">
        <v>176963</v>
      </c>
      <c r="H133" s="7"/>
      <c r="I133" s="7">
        <v>48055</v>
      </c>
      <c r="J133" s="288"/>
      <c r="K133" s="7">
        <f t="shared" si="33"/>
        <v>632344</v>
      </c>
      <c r="L133" s="6"/>
      <c r="M133" s="482">
        <f t="shared" ref="M133" si="43">+(K133-K132)/K132</f>
        <v>1.3634571318626154E-3</v>
      </c>
      <c r="N133" s="29"/>
      <c r="O133" s="29"/>
      <c r="P133" s="29"/>
      <c r="Q133" s="376">
        <f t="shared" ref="Q133" si="44">+K133-K132</f>
        <v>861</v>
      </c>
      <c r="R133" s="6"/>
      <c r="S133" s="7">
        <f>32506+15715+4406</f>
        <v>52627</v>
      </c>
      <c r="T133" s="6"/>
      <c r="U133" s="287">
        <f t="shared" ref="U133" si="45">+S133/K133</f>
        <v>8.3225269789861209E-2</v>
      </c>
      <c r="W133">
        <f t="shared" si="20"/>
        <v>123</v>
      </c>
      <c r="Y133" s="56"/>
    </row>
    <row r="134" spans="3:25" x14ac:dyDescent="0.3">
      <c r="C134" s="171">
        <f t="shared" si="15"/>
        <v>44033</v>
      </c>
      <c r="E134" s="285">
        <v>407941</v>
      </c>
      <c r="F134" s="7"/>
      <c r="G134" s="7">
        <v>177156</v>
      </c>
      <c r="H134" s="7"/>
      <c r="I134" s="7">
        <v>48096</v>
      </c>
      <c r="J134" s="288"/>
      <c r="K134" s="7">
        <f t="shared" si="33"/>
        <v>633193</v>
      </c>
      <c r="L134" s="6"/>
      <c r="M134" s="482">
        <f t="shared" ref="M134" si="46">+(K134-K133)/K133</f>
        <v>1.3426236352365169E-3</v>
      </c>
      <c r="N134" s="29"/>
      <c r="O134" s="29"/>
      <c r="P134" s="29"/>
      <c r="Q134" s="376">
        <f t="shared" ref="Q134" si="47">+K134-K133</f>
        <v>849</v>
      </c>
      <c r="R134" s="6"/>
      <c r="S134" s="7">
        <f>32520+15737+4406</f>
        <v>52663</v>
      </c>
      <c r="T134" s="6"/>
      <c r="U134" s="287">
        <f t="shared" ref="U134" si="48">+S134/K134</f>
        <v>8.3170534102556412E-2</v>
      </c>
      <c r="W134">
        <f t="shared" si="20"/>
        <v>124</v>
      </c>
      <c r="Y134" s="56"/>
    </row>
    <row r="135" spans="3:25" x14ac:dyDescent="0.3">
      <c r="C135" s="171">
        <f t="shared" si="15"/>
        <v>44034</v>
      </c>
      <c r="E135" s="285">
        <v>408886</v>
      </c>
      <c r="F135" s="7"/>
      <c r="G135" s="7">
        <v>177645</v>
      </c>
      <c r="H135" s="7"/>
      <c r="I135" s="7">
        <v>48223</v>
      </c>
      <c r="J135" s="288"/>
      <c r="K135" s="7">
        <f t="shared" si="33"/>
        <v>634754</v>
      </c>
      <c r="L135" s="6"/>
      <c r="M135" s="482">
        <f t="shared" ref="M135" si="49">+(K135-K134)/K134</f>
        <v>2.465283096938848E-3</v>
      </c>
      <c r="N135" s="29"/>
      <c r="O135" s="29"/>
      <c r="P135" s="29"/>
      <c r="Q135" s="376">
        <f t="shared" ref="Q135" si="50">+K135-K134</f>
        <v>1561</v>
      </c>
      <c r="R135" s="6"/>
      <c r="S135" s="7">
        <f>32526+15707+4406</f>
        <v>52639</v>
      </c>
      <c r="T135" s="6"/>
      <c r="U135" s="287">
        <f t="shared" ref="U135" si="51">+S135/K135</f>
        <v>8.2928189503335151E-2</v>
      </c>
      <c r="W135">
        <f t="shared" si="20"/>
        <v>125</v>
      </c>
      <c r="Y135" s="56"/>
    </row>
    <row r="136" spans="3:25" x14ac:dyDescent="0.3">
      <c r="C136" s="171">
        <f t="shared" si="15"/>
        <v>44035</v>
      </c>
      <c r="E136" s="285">
        <v>409697</v>
      </c>
      <c r="F136" s="7"/>
      <c r="G136" s="7">
        <v>177887</v>
      </c>
      <c r="H136" s="7"/>
      <c r="I136" s="7">
        <v>48232</v>
      </c>
      <c r="J136" s="288"/>
      <c r="K136" s="7">
        <f t="shared" ref="K136" si="52">SUM(E136:I136)</f>
        <v>635816</v>
      </c>
      <c r="L136" s="6"/>
      <c r="M136" s="482">
        <f t="shared" ref="M136" si="53">+(K136-K135)/K135</f>
        <v>1.6730891022348816E-3</v>
      </c>
      <c r="N136" s="29"/>
      <c r="O136" s="29"/>
      <c r="P136" s="29"/>
      <c r="Q136" s="376">
        <f t="shared" ref="Q136" si="54">+K136-K135</f>
        <v>1062</v>
      </c>
      <c r="R136" s="6"/>
      <c r="S136" s="7">
        <f>32594+15730+4410</f>
        <v>52734</v>
      </c>
      <c r="T136" s="6"/>
      <c r="U136" s="287">
        <f t="shared" ref="U136" si="55">+S136/K136</f>
        <v>8.2939089296274388E-2</v>
      </c>
      <c r="W136">
        <f t="shared" si="20"/>
        <v>126</v>
      </c>
      <c r="Y136" s="56"/>
    </row>
    <row r="137" spans="3:25" x14ac:dyDescent="0.3">
      <c r="C137" s="171">
        <f t="shared" si="15"/>
        <v>44036</v>
      </c>
      <c r="E137" s="285">
        <v>410450</v>
      </c>
      <c r="F137" s="7"/>
      <c r="G137" s="7">
        <v>178345</v>
      </c>
      <c r="H137" s="7"/>
      <c r="I137" s="7">
        <v>48776</v>
      </c>
      <c r="J137" s="288"/>
      <c r="K137" s="7">
        <v>637571</v>
      </c>
      <c r="L137" s="6"/>
      <c r="M137" s="482">
        <v>2.7602325201001548E-3</v>
      </c>
      <c r="N137" s="29"/>
      <c r="O137" s="29"/>
      <c r="P137" s="29"/>
      <c r="Q137" s="376">
        <v>1755</v>
      </c>
      <c r="R137" s="6"/>
      <c r="S137" s="7">
        <v>52774</v>
      </c>
      <c r="T137" s="6"/>
      <c r="U137" s="287">
        <v>8.2773526399412767E-2</v>
      </c>
      <c r="W137">
        <f t="shared" si="20"/>
        <v>127</v>
      </c>
      <c r="Y137" s="56"/>
    </row>
    <row r="138" spans="3:25" x14ac:dyDescent="0.3">
      <c r="C138" s="171">
        <f t="shared" si="15"/>
        <v>44037</v>
      </c>
      <c r="E138" s="285">
        <v>411200</v>
      </c>
      <c r="F138" s="7"/>
      <c r="G138" s="7">
        <v>178858</v>
      </c>
      <c r="H138" s="7"/>
      <c r="I138" s="7">
        <v>48776</v>
      </c>
      <c r="J138" s="288"/>
      <c r="K138" s="7">
        <f t="shared" ref="K138" si="56">SUM(E138:I138)</f>
        <v>638834</v>
      </c>
      <c r="L138" s="6"/>
      <c r="M138" s="482">
        <f t="shared" ref="M138" si="57">+(K138-K137)/K137</f>
        <v>1.9809558464861168E-3</v>
      </c>
      <c r="N138" s="29"/>
      <c r="O138" s="29"/>
      <c r="P138" s="29"/>
      <c r="Q138" s="376">
        <f t="shared" ref="Q138" si="58">+K138-K137</f>
        <v>1263</v>
      </c>
      <c r="R138" s="6"/>
      <c r="S138" s="7">
        <f>32608+15776+4413</f>
        <v>52797</v>
      </c>
      <c r="T138" s="6"/>
      <c r="U138" s="287">
        <f t="shared" ref="U138" si="59">+S138/K138</f>
        <v>8.264588296803238E-2</v>
      </c>
      <c r="W138">
        <f t="shared" si="20"/>
        <v>128</v>
      </c>
      <c r="Y138" s="56"/>
    </row>
    <row r="139" spans="3:25" x14ac:dyDescent="0.3">
      <c r="C139" s="171">
        <f t="shared" si="15"/>
        <v>44038</v>
      </c>
      <c r="E139" s="285">
        <v>411736</v>
      </c>
      <c r="F139" s="7"/>
      <c r="G139" s="7">
        <v>179363</v>
      </c>
      <c r="H139" s="7"/>
      <c r="I139" s="7">
        <v>48776</v>
      </c>
      <c r="J139" s="288"/>
      <c r="K139" s="7">
        <f t="shared" ref="K139" si="60">SUM(E139:I139)</f>
        <v>639875</v>
      </c>
      <c r="L139" s="6"/>
      <c r="M139" s="482">
        <f t="shared" ref="M139" si="61">+(K139-K138)/K138</f>
        <v>1.6295313023414533E-3</v>
      </c>
      <c r="N139" s="29"/>
      <c r="O139" s="29"/>
      <c r="P139" s="29"/>
      <c r="Q139" s="376">
        <f t="shared" ref="Q139" si="62">+K139-K138</f>
        <v>1041</v>
      </c>
      <c r="R139" s="6"/>
      <c r="S139" s="7">
        <f>32630+15787+4413</f>
        <v>52830</v>
      </c>
      <c r="T139" s="6"/>
      <c r="U139" s="287">
        <f t="shared" ref="U139" si="63">+S139/K139</f>
        <v>8.2563000586051968E-2</v>
      </c>
      <c r="W139">
        <f t="shared" si="20"/>
        <v>129</v>
      </c>
      <c r="Y139" s="56"/>
    </row>
    <row r="140" spans="3:25" x14ac:dyDescent="0.3">
      <c r="C140" s="171">
        <f t="shared" si="15"/>
        <v>44039</v>
      </c>
      <c r="E140" s="285">
        <v>412344</v>
      </c>
      <c r="F140" s="7"/>
      <c r="G140" s="7">
        <v>179812</v>
      </c>
      <c r="H140" s="7"/>
      <c r="I140" s="7">
        <v>48983</v>
      </c>
      <c r="J140" s="288"/>
      <c r="K140" s="7">
        <f t="shared" ref="K140" si="64">SUM(E140:I140)</f>
        <v>641139</v>
      </c>
      <c r="L140" s="6"/>
      <c r="M140" s="482">
        <f t="shared" ref="M140" si="65">+(K140-K139)/K139</f>
        <v>1.9753858175424886E-3</v>
      </c>
      <c r="N140" s="29"/>
      <c r="O140" s="29"/>
      <c r="P140" s="29"/>
      <c r="Q140" s="376">
        <f t="shared" ref="Q140" si="66">+K140-K139</f>
        <v>1264</v>
      </c>
      <c r="R140" s="6"/>
      <c r="S140" s="7">
        <f>32645+15604+4418</f>
        <v>52667</v>
      </c>
      <c r="T140" s="6"/>
      <c r="U140" s="287">
        <f t="shared" ref="U140" si="67">+S140/K140</f>
        <v>8.2145993302544379E-2</v>
      </c>
      <c r="W140">
        <f t="shared" si="20"/>
        <v>130</v>
      </c>
      <c r="Y140" s="56"/>
    </row>
    <row r="141" spans="3:25" x14ac:dyDescent="0.3">
      <c r="C141" s="171">
        <f t="shared" si="15"/>
        <v>44040</v>
      </c>
      <c r="E141" s="285">
        <v>412878</v>
      </c>
      <c r="F141" s="7"/>
      <c r="G141" s="7">
        <v>180295</v>
      </c>
      <c r="H141" s="7"/>
      <c r="I141" s="7">
        <v>49077</v>
      </c>
      <c r="J141" s="288"/>
      <c r="K141" s="7">
        <f t="shared" ref="K141" si="68">SUM(E141:I141)</f>
        <v>642250</v>
      </c>
      <c r="L141" s="6"/>
      <c r="M141" s="482">
        <f t="shared" ref="M141" si="69">+(K141-K140)/K140</f>
        <v>1.7328535621760647E-3</v>
      </c>
      <c r="N141" s="29"/>
      <c r="O141" s="29"/>
      <c r="P141" s="29"/>
      <c r="Q141" s="376">
        <f t="shared" ref="Q141" si="70">+K141-K140</f>
        <v>1111</v>
      </c>
      <c r="R141" s="6"/>
      <c r="S141" s="7">
        <f>32653+15826+4423</f>
        <v>52902</v>
      </c>
      <c r="T141" s="6"/>
      <c r="U141" s="287">
        <f t="shared" ref="U141" si="71">+S141/K141</f>
        <v>8.2369793694044374E-2</v>
      </c>
      <c r="W141">
        <f t="shared" si="20"/>
        <v>131</v>
      </c>
      <c r="Y141" s="56"/>
    </row>
    <row r="142" spans="3:25" x14ac:dyDescent="0.3">
      <c r="C142" s="171">
        <f t="shared" si="15"/>
        <v>44041</v>
      </c>
      <c r="E142" s="285">
        <v>413593</v>
      </c>
      <c r="F142" s="7"/>
      <c r="G142" s="7">
        <v>180600</v>
      </c>
      <c r="H142" s="7"/>
      <c r="I142" s="7">
        <v>49540</v>
      </c>
      <c r="J142" s="288"/>
      <c r="K142" s="7">
        <f t="shared" ref="K142" si="72">SUM(E142:I142)</f>
        <v>643733</v>
      </c>
      <c r="L142" s="6"/>
      <c r="M142" s="482">
        <f t="shared" ref="M142" si="73">+(K142-K141)/K141</f>
        <v>2.3090696769170883E-3</v>
      </c>
      <c r="N142" s="29"/>
      <c r="O142" s="29"/>
      <c r="P142" s="29"/>
      <c r="Q142" s="376">
        <f t="shared" ref="Q142" si="74">+K142-K141</f>
        <v>1483</v>
      </c>
      <c r="R142" s="6"/>
      <c r="S142" s="7">
        <f>32658+15798+4425</f>
        <v>52881</v>
      </c>
      <c r="T142" s="6"/>
      <c r="U142" s="287">
        <f t="shared" ref="U142" si="75">+S142/K142</f>
        <v>8.2147412048162824E-2</v>
      </c>
      <c r="W142">
        <f t="shared" si="20"/>
        <v>132</v>
      </c>
      <c r="Y142" s="56"/>
    </row>
    <row r="143" spans="3:25" x14ac:dyDescent="0.3">
      <c r="C143" s="171">
        <f t="shared" si="15"/>
        <v>44042</v>
      </c>
      <c r="E143" s="285">
        <v>414370</v>
      </c>
      <c r="F143" s="7"/>
      <c r="G143" s="7">
        <v>180970</v>
      </c>
      <c r="H143" s="7"/>
      <c r="I143" s="7">
        <v>49670</v>
      </c>
      <c r="J143" s="288"/>
      <c r="K143" s="7">
        <f t="shared" ref="K143" si="76">SUM(E143:I143)</f>
        <v>645010</v>
      </c>
      <c r="L143" s="6"/>
      <c r="M143" s="482">
        <f t="shared" ref="M143" si="77">+(K143-K142)/K142</f>
        <v>1.9837417065771057E-3</v>
      </c>
      <c r="N143" s="29"/>
      <c r="O143" s="29"/>
      <c r="P143" s="29"/>
      <c r="Q143" s="376">
        <f t="shared" ref="Q143" si="78">+K143-K142</f>
        <v>1277</v>
      </c>
      <c r="R143" s="6"/>
      <c r="S143" s="7">
        <f>32683+15809+4431</f>
        <v>52923</v>
      </c>
      <c r="T143" s="6"/>
      <c r="U143" s="287">
        <f t="shared" ref="U143" si="79">+S143/K143</f>
        <v>8.2049890699369007E-2</v>
      </c>
      <c r="W143">
        <f t="shared" si="20"/>
        <v>133</v>
      </c>
      <c r="Y143" s="56"/>
    </row>
    <row r="144" spans="3:25" x14ac:dyDescent="0.3">
      <c r="C144" s="171">
        <f t="shared" si="15"/>
        <v>44043</v>
      </c>
      <c r="E144" s="285">
        <v>415014</v>
      </c>
      <c r="F144" s="7"/>
      <c r="G144" s="7">
        <v>181660</v>
      </c>
      <c r="H144" s="7"/>
      <c r="I144" s="7">
        <v>49810</v>
      </c>
      <c r="J144" s="288"/>
      <c r="K144" s="7">
        <f t="shared" ref="K144" si="80">SUM(E144:I144)</f>
        <v>646484</v>
      </c>
      <c r="L144" s="6"/>
      <c r="M144" s="482">
        <f t="shared" ref="M144" si="81">+(K144-K143)/K143</f>
        <v>2.285235887815693E-3</v>
      </c>
      <c r="N144" s="29"/>
      <c r="O144" s="29"/>
      <c r="P144" s="29"/>
      <c r="Q144" s="376">
        <f t="shared" ref="Q144" si="82">+K144-K143</f>
        <v>1474</v>
      </c>
      <c r="R144" s="6"/>
      <c r="S144" s="7">
        <f>32689+15819+4432</f>
        <v>52940</v>
      </c>
      <c r="T144" s="6"/>
      <c r="U144" s="287">
        <f t="shared" ref="U144" si="83">+S144/K144</f>
        <v>8.1889110944741092E-2</v>
      </c>
      <c r="W144">
        <f t="shared" si="20"/>
        <v>134</v>
      </c>
      <c r="Y144" s="56"/>
    </row>
    <row r="145" spans="3:25" x14ac:dyDescent="0.3">
      <c r="C145" s="171">
        <f t="shared" si="15"/>
        <v>44044</v>
      </c>
      <c r="E145" s="285">
        <v>415767</v>
      </c>
      <c r="F145" s="7"/>
      <c r="G145" s="7">
        <v>181754</v>
      </c>
      <c r="H145" s="7"/>
      <c r="I145" s="7">
        <v>49810</v>
      </c>
      <c r="J145" s="288"/>
      <c r="K145" s="7">
        <f t="shared" ref="K145" si="84">SUM(E145:I145)</f>
        <v>647331</v>
      </c>
      <c r="L145" s="6"/>
      <c r="M145" s="482">
        <f t="shared" ref="M145" si="85">+(K145-K144)/K144</f>
        <v>1.3101639019681849E-3</v>
      </c>
      <c r="N145" s="29"/>
      <c r="O145" s="29"/>
      <c r="P145" s="29"/>
      <c r="Q145" s="376">
        <f t="shared" ref="Q145" si="86">+K145-K144</f>
        <v>847</v>
      </c>
      <c r="R145" s="6"/>
      <c r="S145" s="7">
        <f>32689+15819+4432</f>
        <v>52940</v>
      </c>
      <c r="T145" s="6"/>
      <c r="U145" s="287">
        <f t="shared" ref="U145" si="87">+S145/K145</f>
        <v>8.1781963168765279E-2</v>
      </c>
      <c r="W145">
        <f t="shared" si="20"/>
        <v>135</v>
      </c>
      <c r="Y145" s="56"/>
    </row>
    <row r="146" spans="3:25" x14ac:dyDescent="0.3">
      <c r="C146" s="171">
        <f t="shared" si="15"/>
        <v>44045</v>
      </c>
      <c r="E146" s="285">
        <v>416298</v>
      </c>
      <c r="F146" s="7"/>
      <c r="G146" s="7">
        <v>182350</v>
      </c>
      <c r="H146" s="7"/>
      <c r="I146" s="7">
        <v>49810</v>
      </c>
      <c r="J146" s="288"/>
      <c r="K146" s="7">
        <f t="shared" ref="K146" si="88">SUM(E146:I146)</f>
        <v>648458</v>
      </c>
      <c r="L146" s="6"/>
      <c r="M146" s="482">
        <f t="shared" ref="M146" si="89">+(K146-K145)/K145</f>
        <v>1.7409949469436811E-3</v>
      </c>
      <c r="N146" s="29"/>
      <c r="O146" s="29"/>
      <c r="P146" s="29"/>
      <c r="Q146" s="376">
        <f t="shared" ref="Q146" si="90">+K146-K145</f>
        <v>1127</v>
      </c>
      <c r="R146" s="6"/>
      <c r="S146" s="7">
        <f>32689+15819+4432</f>
        <v>52940</v>
      </c>
      <c r="T146" s="6"/>
      <c r="U146" s="287">
        <f t="shared" ref="U146" si="91">+S146/K146</f>
        <v>8.1639828639634329E-2</v>
      </c>
      <c r="W146">
        <f t="shared" si="20"/>
        <v>136</v>
      </c>
      <c r="Y146" s="56"/>
    </row>
    <row r="147" spans="3:25" x14ac:dyDescent="0.3">
      <c r="C147" s="171">
        <f t="shared" si="15"/>
        <v>44046</v>
      </c>
      <c r="E147" s="285">
        <v>416843</v>
      </c>
      <c r="F147" s="7"/>
      <c r="G147" s="7">
        <v>182614</v>
      </c>
      <c r="H147" s="7"/>
      <c r="I147" s="7">
        <v>50062</v>
      </c>
      <c r="J147" s="288"/>
      <c r="K147" s="7">
        <f t="shared" ref="K147" si="92">SUM(E147:I147)</f>
        <v>649519</v>
      </c>
      <c r="L147" s="6"/>
      <c r="M147" s="482">
        <f t="shared" ref="M147" si="93">+(K147-K146)/K146</f>
        <v>1.6361892366197966E-3</v>
      </c>
      <c r="N147" s="29"/>
      <c r="O147" s="29"/>
      <c r="P147" s="29"/>
      <c r="Q147" s="376">
        <f t="shared" ref="Q147" si="94">+K147-K146</f>
        <v>1061</v>
      </c>
      <c r="R147" s="6"/>
      <c r="S147" s="7">
        <f>32719+15846+4437</f>
        <v>53002</v>
      </c>
      <c r="T147" s="6"/>
      <c r="U147" s="287">
        <f t="shared" ref="U147" si="95">+S147/K147</f>
        <v>8.160192388521352E-2</v>
      </c>
      <c r="W147">
        <f t="shared" si="20"/>
        <v>137</v>
      </c>
      <c r="Y147" s="56"/>
    </row>
    <row r="148" spans="3:25" x14ac:dyDescent="0.3">
      <c r="C148" s="171">
        <f t="shared" si="15"/>
        <v>44047</v>
      </c>
      <c r="E148" s="285"/>
      <c r="F148" s="7"/>
      <c r="G148" s="7"/>
      <c r="H148" s="7"/>
      <c r="I148" s="7"/>
      <c r="J148" s="288"/>
      <c r="K148" s="7"/>
      <c r="L148" s="6"/>
      <c r="M148" s="482"/>
      <c r="N148" s="29"/>
      <c r="O148" s="29"/>
      <c r="P148" s="29"/>
      <c r="Q148" s="376"/>
      <c r="R148" s="6"/>
      <c r="S148" s="7"/>
      <c r="T148" s="6"/>
      <c r="U148" s="287"/>
      <c r="W148">
        <f t="shared" si="20"/>
        <v>138</v>
      </c>
      <c r="Y148" s="56"/>
    </row>
    <row r="149" spans="3:25" x14ac:dyDescent="0.3">
      <c r="C149" s="171">
        <f t="shared" si="15"/>
        <v>44048</v>
      </c>
      <c r="E149" s="285"/>
      <c r="F149" s="7"/>
      <c r="G149" s="7"/>
      <c r="H149" s="7"/>
      <c r="I149" s="7"/>
      <c r="J149" s="288"/>
      <c r="K149" s="7"/>
      <c r="L149" s="6"/>
      <c r="M149" s="482"/>
      <c r="N149" s="29"/>
      <c r="O149" s="29"/>
      <c r="P149" s="29"/>
      <c r="Q149" s="376"/>
      <c r="R149" s="6"/>
      <c r="S149" s="7"/>
      <c r="T149" s="6"/>
      <c r="U149" s="287"/>
      <c r="W149">
        <f t="shared" si="20"/>
        <v>139</v>
      </c>
      <c r="Y149" s="56"/>
    </row>
    <row r="150" spans="3:25" x14ac:dyDescent="0.3">
      <c r="C150" s="171">
        <f t="shared" si="15"/>
        <v>44049</v>
      </c>
      <c r="E150" s="285"/>
      <c r="F150" s="7"/>
      <c r="G150" s="7"/>
      <c r="H150" s="7"/>
      <c r="I150" s="7"/>
      <c r="J150" s="288"/>
      <c r="K150" s="7"/>
      <c r="L150" s="6"/>
      <c r="M150" s="475"/>
      <c r="N150" s="29"/>
      <c r="O150" s="29"/>
      <c r="P150" s="29"/>
      <c r="Q150" s="376"/>
      <c r="R150" s="6"/>
      <c r="S150" s="7"/>
      <c r="T150" s="6"/>
      <c r="U150" s="287"/>
      <c r="W150">
        <f t="shared" si="20"/>
        <v>140</v>
      </c>
      <c r="Y150" s="56"/>
    </row>
    <row r="151" spans="3:25" ht="15" thickBot="1" x14ac:dyDescent="0.35">
      <c r="C151" s="171">
        <f t="shared" si="15"/>
        <v>44050</v>
      </c>
      <c r="E151" s="289"/>
      <c r="F151" s="290"/>
      <c r="G151" s="290"/>
      <c r="H151" s="290"/>
      <c r="I151" s="290"/>
      <c r="J151" s="290"/>
      <c r="K151" s="290"/>
      <c r="L151" s="291"/>
      <c r="M151" s="292"/>
      <c r="N151" s="292"/>
      <c r="O151" s="292"/>
      <c r="P151" s="292"/>
      <c r="Q151" s="375"/>
      <c r="R151" s="291"/>
      <c r="S151" s="291"/>
      <c r="T151" s="291"/>
      <c r="U151" s="293"/>
      <c r="W151">
        <f t="shared" si="20"/>
        <v>141</v>
      </c>
      <c r="Y151" s="59"/>
    </row>
    <row r="152" spans="3:25" x14ac:dyDescent="0.3">
      <c r="E152" s="56"/>
      <c r="F152" s="1"/>
      <c r="G152" s="56"/>
      <c r="H152" s="56"/>
      <c r="I152" s="56"/>
      <c r="J152" s="1"/>
      <c r="K152" s="56"/>
      <c r="S152" s="56"/>
    </row>
    <row r="153" spans="3:25" x14ac:dyDescent="0.3">
      <c r="C153" s="180" t="s">
        <v>81</v>
      </c>
      <c r="E153" s="56">
        <f>+E147</f>
        <v>416843</v>
      </c>
      <c r="F153" s="56">
        <f>+F52</f>
        <v>0</v>
      </c>
      <c r="G153" s="56">
        <f t="shared" ref="G153:S153" si="96">+G147</f>
        <v>182614</v>
      </c>
      <c r="H153" s="56">
        <f t="shared" si="96"/>
        <v>0</v>
      </c>
      <c r="I153" s="56">
        <f t="shared" si="96"/>
        <v>50062</v>
      </c>
      <c r="J153" s="56">
        <f t="shared" si="96"/>
        <v>0</v>
      </c>
      <c r="K153" s="56">
        <f t="shared" si="96"/>
        <v>649519</v>
      </c>
      <c r="L153" s="56">
        <f t="shared" si="96"/>
        <v>0</v>
      </c>
      <c r="M153" s="56">
        <f t="shared" si="96"/>
        <v>1.6361892366197966E-3</v>
      </c>
      <c r="N153" s="56">
        <f t="shared" si="96"/>
        <v>0</v>
      </c>
      <c r="O153" s="56">
        <f t="shared" si="96"/>
        <v>0</v>
      </c>
      <c r="P153" s="56">
        <f t="shared" si="96"/>
        <v>0</v>
      </c>
      <c r="Q153" s="56">
        <f t="shared" si="96"/>
        <v>1061</v>
      </c>
      <c r="R153" s="56">
        <f t="shared" si="96"/>
        <v>0</v>
      </c>
      <c r="S153" s="56">
        <f t="shared" si="96"/>
        <v>53002</v>
      </c>
      <c r="T153" s="56">
        <f>+T60</f>
        <v>0</v>
      </c>
    </row>
    <row r="154" spans="3:25" x14ac:dyDescent="0.3">
      <c r="E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</row>
    <row r="155" spans="3:25" x14ac:dyDescent="0.3">
      <c r="E155" s="59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</row>
    <row r="156" spans="3:25" x14ac:dyDescent="0.3">
      <c r="C156" s="123"/>
      <c r="D156" s="124"/>
      <c r="E156" s="393"/>
      <c r="F156" s="10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</row>
    <row r="157" spans="3:25" x14ac:dyDescent="0.3">
      <c r="E157" s="56"/>
      <c r="K157" s="56"/>
      <c r="Q157" s="56"/>
    </row>
    <row r="158" spans="3:25" x14ac:dyDescent="0.3">
      <c r="Q158" s="56"/>
      <c r="S158" s="59"/>
    </row>
    <row r="161" spans="3:41" x14ac:dyDescent="0.3">
      <c r="AO161" s="1">
        <v>3797000</v>
      </c>
    </row>
    <row r="162" spans="3:41" x14ac:dyDescent="0.3">
      <c r="C162" s="1"/>
    </row>
    <row r="163" spans="3:41" x14ac:dyDescent="0.3">
      <c r="C163" s="1"/>
      <c r="AO163" s="1">
        <v>30000</v>
      </c>
    </row>
    <row r="164" spans="3:41" x14ac:dyDescent="0.3">
      <c r="C164" s="59"/>
    </row>
    <row r="165" spans="3:41" x14ac:dyDescent="0.3">
      <c r="AO165" s="278">
        <f>+AO163/AO161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41"/>
  <sheetViews>
    <sheetView topLeftCell="A82" workbookViewId="0">
      <selection activeCell="I23" sqref="I2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9" t="s">
        <v>5</v>
      </c>
      <c r="C1" s="259"/>
      <c r="D1" s="259"/>
    </row>
    <row r="2" spans="2:30" ht="16.2" thickBot="1" x14ac:dyDescent="0.35">
      <c r="B2" s="259" t="s">
        <v>6</v>
      </c>
      <c r="C2" s="259"/>
      <c r="D2" s="259"/>
    </row>
    <row r="3" spans="2:30" ht="16.2" thickBot="1" x14ac:dyDescent="0.35">
      <c r="B3" s="257" t="s">
        <v>13</v>
      </c>
      <c r="C3" s="257"/>
      <c r="D3" s="167"/>
      <c r="T3" s="608" t="s">
        <v>114</v>
      </c>
      <c r="U3" s="609"/>
      <c r="V3" s="609"/>
      <c r="W3" s="609"/>
      <c r="X3" s="609"/>
      <c r="Y3" s="609"/>
      <c r="Z3" s="609"/>
      <c r="AA3" s="609"/>
      <c r="AB3" s="609"/>
      <c r="AC3" s="609"/>
      <c r="AD3" s="610"/>
    </row>
    <row r="4" spans="2:30" ht="15.6" x14ac:dyDescent="0.3">
      <c r="B4" s="257"/>
      <c r="C4" s="257"/>
      <c r="D4" s="167"/>
      <c r="T4" s="498"/>
      <c r="U4" s="499" t="s">
        <v>78</v>
      </c>
      <c r="V4" s="500"/>
      <c r="W4" s="499" t="s">
        <v>106</v>
      </c>
      <c r="X4" s="501"/>
      <c r="Y4" s="499" t="s">
        <v>107</v>
      </c>
      <c r="Z4" s="501"/>
      <c r="AA4" s="499" t="s">
        <v>73</v>
      </c>
      <c r="AB4" s="500"/>
      <c r="AC4" s="502" t="s">
        <v>15</v>
      </c>
      <c r="AD4" s="503"/>
    </row>
    <row r="5" spans="2:30" ht="15.6" x14ac:dyDescent="0.3">
      <c r="B5" s="257"/>
      <c r="C5" t="s">
        <v>92</v>
      </c>
      <c r="D5" s="167"/>
      <c r="E5" t="s">
        <v>93</v>
      </c>
      <c r="T5" s="294"/>
      <c r="U5" s="6"/>
      <c r="V5" s="6"/>
      <c r="W5" s="6"/>
      <c r="X5" s="6"/>
      <c r="Y5" s="6"/>
      <c r="Z5" s="6"/>
      <c r="AA5" s="6"/>
      <c r="AB5" s="6"/>
      <c r="AC5" s="6"/>
      <c r="AD5" s="295"/>
    </row>
    <row r="6" spans="2:30" ht="15.6" x14ac:dyDescent="0.3">
      <c r="B6" s="257"/>
      <c r="C6" s="257"/>
      <c r="D6" s="170"/>
      <c r="E6" t="s">
        <v>94</v>
      </c>
      <c r="F6" t="s">
        <v>111</v>
      </c>
      <c r="T6" s="294"/>
      <c r="U6" s="296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5"/>
    </row>
    <row r="7" spans="2:30" ht="15.6" x14ac:dyDescent="0.3">
      <c r="B7" s="257"/>
      <c r="C7" s="257"/>
      <c r="D7" s="170"/>
      <c r="E7" t="s">
        <v>95</v>
      </c>
      <c r="F7" t="s">
        <v>97</v>
      </c>
      <c r="T7" s="294"/>
      <c r="U7" s="296">
        <f>+U6+1</f>
        <v>43952</v>
      </c>
      <c r="V7" s="6"/>
      <c r="W7" s="7">
        <v>432831</v>
      </c>
      <c r="X7" s="6"/>
      <c r="Y7" s="44">
        <v>0.38300000000000001</v>
      </c>
      <c r="Z7" s="6"/>
      <c r="AA7" s="298">
        <f t="shared" ref="AA7:AA19" si="0">+W6-W7</f>
        <v>-5097</v>
      </c>
      <c r="AB7" s="6"/>
      <c r="AC7" s="6"/>
      <c r="AD7" s="295"/>
    </row>
    <row r="8" spans="2:30" ht="15.6" x14ac:dyDescent="0.3">
      <c r="B8" s="257"/>
      <c r="C8" s="257"/>
      <c r="D8" s="170"/>
      <c r="E8" t="s">
        <v>96</v>
      </c>
      <c r="F8" t="s">
        <v>112</v>
      </c>
      <c r="T8" s="294"/>
      <c r="U8" s="296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8">
        <f t="shared" si="0"/>
        <v>-681</v>
      </c>
      <c r="AB8" s="6"/>
      <c r="AC8" s="6"/>
      <c r="AD8" s="295"/>
    </row>
    <row r="9" spans="2:30" ht="15.6" x14ac:dyDescent="0.3">
      <c r="B9" s="257"/>
      <c r="C9" s="257"/>
      <c r="D9" s="170"/>
      <c r="S9" s="473"/>
      <c r="T9" s="294"/>
      <c r="U9" s="296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8">
        <f t="shared" si="0"/>
        <v>-833</v>
      </c>
      <c r="AB9" s="6"/>
      <c r="AC9" s="6"/>
      <c r="AD9" s="295"/>
    </row>
    <row r="10" spans="2:30" ht="15.6" x14ac:dyDescent="0.3">
      <c r="B10" s="257"/>
      <c r="C10" s="279" t="s">
        <v>98</v>
      </c>
      <c r="D10" s="170"/>
      <c r="E10" t="s">
        <v>101</v>
      </c>
      <c r="T10" s="294"/>
      <c r="U10" s="296">
        <f t="shared" si="1"/>
        <v>43955</v>
      </c>
      <c r="V10" s="6"/>
      <c r="W10" s="7">
        <v>458962</v>
      </c>
      <c r="X10" s="6"/>
      <c r="Y10" s="44">
        <v>0.378</v>
      </c>
      <c r="Z10" s="6"/>
      <c r="AA10" s="298">
        <f t="shared" si="0"/>
        <v>-24617</v>
      </c>
      <c r="AB10" s="6"/>
      <c r="AC10" s="6"/>
      <c r="AD10" s="295"/>
    </row>
    <row r="11" spans="2:30" ht="15.6" x14ac:dyDescent="0.3">
      <c r="B11" s="257"/>
      <c r="C11" s="257"/>
      <c r="D11" s="170"/>
      <c r="E11" t="s">
        <v>94</v>
      </c>
      <c r="F11" t="s">
        <v>99</v>
      </c>
      <c r="T11" s="294"/>
      <c r="U11" s="296">
        <f t="shared" si="1"/>
        <v>43956</v>
      </c>
      <c r="V11" s="6"/>
      <c r="W11" s="297">
        <v>455743</v>
      </c>
      <c r="X11" s="6"/>
      <c r="Y11" s="44">
        <v>0.36799999999999999</v>
      </c>
      <c r="Z11" s="6"/>
      <c r="AA11" s="298">
        <f t="shared" si="0"/>
        <v>3219</v>
      </c>
      <c r="AB11" s="6"/>
      <c r="AC11" s="302"/>
      <c r="AD11" s="295"/>
    </row>
    <row r="12" spans="2:30" ht="15.6" x14ac:dyDescent="0.3">
      <c r="B12" s="257"/>
      <c r="C12" s="257"/>
      <c r="D12" s="170"/>
      <c r="E12" t="s">
        <v>95</v>
      </c>
      <c r="F12" t="s">
        <v>100</v>
      </c>
      <c r="T12" s="294"/>
      <c r="U12" s="296">
        <f t="shared" si="1"/>
        <v>43957</v>
      </c>
      <c r="V12" s="6"/>
      <c r="W12" s="297">
        <v>454697</v>
      </c>
      <c r="X12" s="6"/>
      <c r="Y12" s="44">
        <f>+L$36</f>
        <v>0.14592320413881096</v>
      </c>
      <c r="Z12" s="6"/>
      <c r="AA12" s="298">
        <f t="shared" si="0"/>
        <v>1046</v>
      </c>
      <c r="AB12" s="6"/>
      <c r="AC12" s="302"/>
      <c r="AD12" s="295"/>
    </row>
    <row r="13" spans="2:30" ht="15.6" x14ac:dyDescent="0.3">
      <c r="B13" s="257"/>
      <c r="C13" s="257"/>
      <c r="D13" s="170"/>
      <c r="T13" s="294"/>
      <c r="U13" s="296">
        <f t="shared" si="1"/>
        <v>43958</v>
      </c>
      <c r="V13" s="6"/>
      <c r="W13" s="297">
        <v>454838</v>
      </c>
      <c r="X13" s="6"/>
      <c r="Y13" s="44">
        <f>+L37</f>
        <v>0</v>
      </c>
      <c r="Z13" s="6"/>
      <c r="AA13" s="298">
        <f t="shared" si="0"/>
        <v>-141</v>
      </c>
      <c r="AB13" s="6"/>
      <c r="AC13" s="302"/>
      <c r="AD13" s="295"/>
    </row>
    <row r="14" spans="2:30" ht="15.6" x14ac:dyDescent="0.3">
      <c r="B14" s="257"/>
      <c r="C14" s="279" t="s">
        <v>102</v>
      </c>
      <c r="D14" s="170"/>
      <c r="E14" t="s">
        <v>103</v>
      </c>
      <c r="T14" s="294"/>
      <c r="U14" s="296">
        <f t="shared" si="1"/>
        <v>43959</v>
      </c>
      <c r="V14" s="6"/>
      <c r="W14" s="297">
        <v>452043</v>
      </c>
      <c r="X14" s="6"/>
      <c r="Y14" s="44">
        <f>+L38</f>
        <v>0</v>
      </c>
      <c r="Z14" s="6"/>
      <c r="AA14" s="298">
        <f t="shared" si="0"/>
        <v>2795</v>
      </c>
      <c r="AB14" s="6"/>
      <c r="AC14" s="302"/>
      <c r="AD14" s="295"/>
    </row>
    <row r="15" spans="2:30" x14ac:dyDescent="0.3">
      <c r="B15" s="257"/>
      <c r="E15" s="611" t="s">
        <v>104</v>
      </c>
      <c r="F15" s="611"/>
      <c r="G15" s="611"/>
      <c r="H15" s="611"/>
      <c r="I15" s="611"/>
      <c r="T15" s="294"/>
      <c r="U15" s="296">
        <f t="shared" si="1"/>
        <v>43960</v>
      </c>
      <c r="V15" s="6"/>
      <c r="W15" s="297">
        <v>439209</v>
      </c>
      <c r="X15" s="6"/>
      <c r="Y15" s="44">
        <f>+L40</f>
        <v>0</v>
      </c>
      <c r="Z15" s="6"/>
      <c r="AA15" s="298">
        <f t="shared" si="0"/>
        <v>12834</v>
      </c>
      <c r="AB15" s="6"/>
      <c r="AC15" s="302"/>
      <c r="AD15" s="295"/>
    </row>
    <row r="16" spans="2:30" x14ac:dyDescent="0.3">
      <c r="S16" s="473"/>
      <c r="T16" s="294"/>
      <c r="U16" s="296">
        <f t="shared" si="1"/>
        <v>43961</v>
      </c>
      <c r="V16" s="6"/>
      <c r="W16" s="297">
        <v>423501</v>
      </c>
      <c r="X16" s="6"/>
      <c r="Y16" s="44">
        <f>+L41</f>
        <v>0</v>
      </c>
      <c r="Z16" s="6"/>
      <c r="AA16" s="298">
        <f t="shared" si="0"/>
        <v>15708</v>
      </c>
      <c r="AB16" s="6"/>
      <c r="AC16" s="302"/>
      <c r="AD16" s="295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4"/>
      <c r="U17" s="296">
        <f t="shared" si="1"/>
        <v>43962</v>
      </c>
      <c r="V17" s="6"/>
      <c r="W17" s="297">
        <v>415158</v>
      </c>
      <c r="X17" s="6"/>
      <c r="Y17" s="44">
        <f>+L42</f>
        <v>0</v>
      </c>
      <c r="Z17" s="6"/>
      <c r="AA17" s="298">
        <f t="shared" si="0"/>
        <v>8343</v>
      </c>
      <c r="AB17" s="6"/>
      <c r="AC17" s="302"/>
      <c r="AD17" s="295"/>
    </row>
    <row r="18" spans="3:30" ht="15" thickBot="1" x14ac:dyDescent="0.35">
      <c r="C18" s="1"/>
      <c r="D18" s="617" t="s">
        <v>46</v>
      </c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9"/>
      <c r="P18" s="90"/>
      <c r="Q18" s="90"/>
      <c r="R18" s="90"/>
      <c r="S18" s="90"/>
      <c r="T18" s="294"/>
      <c r="U18" s="296">
        <f t="shared" si="1"/>
        <v>43963</v>
      </c>
      <c r="V18" s="6"/>
      <c r="W18" s="297">
        <v>413524</v>
      </c>
      <c r="X18" s="6"/>
      <c r="Y18" s="44">
        <f>+L43</f>
        <v>0</v>
      </c>
      <c r="Z18" s="6"/>
      <c r="AA18" s="298">
        <f t="shared" si="0"/>
        <v>1634</v>
      </c>
      <c r="AB18" s="6"/>
      <c r="AC18" s="302"/>
      <c r="AD18" s="295"/>
    </row>
    <row r="19" spans="3:30" ht="15" thickBot="1" x14ac:dyDescent="0.35">
      <c r="C19" s="1"/>
      <c r="D19" s="146"/>
      <c r="E19" s="620" t="s">
        <v>75</v>
      </c>
      <c r="F19" s="620"/>
      <c r="G19" s="620"/>
      <c r="H19" s="620"/>
      <c r="I19" s="147" t="s">
        <v>74</v>
      </c>
      <c r="J19" s="148"/>
      <c r="K19" s="625" t="s">
        <v>72</v>
      </c>
      <c r="L19" s="625"/>
      <c r="M19" s="141"/>
      <c r="N19" s="145" t="s">
        <v>73</v>
      </c>
      <c r="O19" s="142"/>
      <c r="P19" s="114"/>
      <c r="Q19" s="114"/>
      <c r="R19" s="114"/>
      <c r="S19" s="114"/>
      <c r="T19" s="294"/>
      <c r="U19" s="296">
        <f t="shared" si="1"/>
        <v>43964</v>
      </c>
      <c r="V19" s="6"/>
      <c r="W19" s="297">
        <v>410932</v>
      </c>
      <c r="X19" s="6"/>
      <c r="Y19" s="44">
        <f>+L44</f>
        <v>0</v>
      </c>
      <c r="Z19" s="6"/>
      <c r="AA19" s="298">
        <f t="shared" si="0"/>
        <v>2592</v>
      </c>
      <c r="AB19" s="6"/>
      <c r="AC19" s="302"/>
      <c r="AD19" s="295"/>
    </row>
    <row r="20" spans="3:30" x14ac:dyDescent="0.3">
      <c r="C20" s="1"/>
      <c r="D20" s="126"/>
      <c r="E20" s="127" t="s">
        <v>134</v>
      </c>
      <c r="F20" s="128"/>
      <c r="G20" s="127"/>
      <c r="H20" s="127"/>
      <c r="I20" s="93">
        <f>+'Main Table'!H135</f>
        <v>4170318</v>
      </c>
      <c r="J20" s="129"/>
      <c r="K20" s="140"/>
      <c r="L20" s="140"/>
      <c r="M20" s="140"/>
      <c r="N20" s="140"/>
      <c r="O20" s="136"/>
      <c r="P20" s="90"/>
      <c r="Q20" s="90"/>
      <c r="R20" s="90"/>
      <c r="S20" s="90"/>
      <c r="T20" s="294"/>
      <c r="U20" s="296">
        <f t="shared" si="1"/>
        <v>43965</v>
      </c>
      <c r="V20" s="6"/>
      <c r="W20" s="297">
        <v>409640</v>
      </c>
      <c r="X20" s="6"/>
      <c r="Y20" s="44">
        <v>0</v>
      </c>
      <c r="Z20" s="6"/>
      <c r="AA20" s="298">
        <f t="shared" ref="AA20:AA51" si="2">+W19-W20</f>
        <v>1292</v>
      </c>
      <c r="AB20" s="6"/>
      <c r="AC20" s="302"/>
      <c r="AD20" s="295"/>
    </row>
    <row r="21" spans="3:30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Table'!Z154</f>
        <v>158259</v>
      </c>
      <c r="J21" s="129"/>
      <c r="K21" s="140"/>
      <c r="L21" s="140"/>
      <c r="M21" s="140"/>
      <c r="N21" s="140"/>
      <c r="O21" s="136"/>
      <c r="P21" s="90"/>
      <c r="Q21" s="90"/>
      <c r="R21" s="90"/>
      <c r="S21" s="90"/>
      <c r="T21" s="294"/>
      <c r="U21" s="296">
        <f t="shared" si="1"/>
        <v>43966</v>
      </c>
      <c r="V21" s="6"/>
      <c r="W21" s="297">
        <v>405327</v>
      </c>
      <c r="X21" s="6"/>
      <c r="Y21" s="44">
        <v>0.27300000000000002</v>
      </c>
      <c r="Z21" s="6"/>
      <c r="AA21" s="298">
        <f t="shared" si="2"/>
        <v>4313</v>
      </c>
      <c r="AB21" s="6"/>
      <c r="AC21" s="302"/>
      <c r="AD21" s="295"/>
    </row>
    <row r="22" spans="3:30" x14ac:dyDescent="0.3">
      <c r="C22" s="1"/>
      <c r="D22" s="126"/>
      <c r="E22" s="127"/>
      <c r="F22" s="127" t="s">
        <v>45</v>
      </c>
      <c r="G22" s="127"/>
      <c r="H22" s="127"/>
      <c r="I22" s="159">
        <v>18725</v>
      </c>
      <c r="J22" s="129"/>
      <c r="K22" s="140"/>
      <c r="L22" s="282">
        <v>18623</v>
      </c>
      <c r="M22" s="140"/>
      <c r="N22" s="160">
        <f>+(I22-L22)/I22</f>
        <v>5.4472630173564756E-3</v>
      </c>
      <c r="O22" s="136"/>
      <c r="P22" s="90"/>
      <c r="Q22" s="90"/>
      <c r="R22" s="90"/>
      <c r="S22" s="90"/>
      <c r="T22" s="294"/>
      <c r="U22" s="296">
        <f t="shared" si="1"/>
        <v>43967</v>
      </c>
      <c r="V22" s="6"/>
      <c r="W22" s="297">
        <v>393991</v>
      </c>
      <c r="X22" s="6"/>
      <c r="Y22" s="44">
        <v>0.26100000000000001</v>
      </c>
      <c r="Z22" s="6"/>
      <c r="AA22" s="298">
        <f t="shared" si="2"/>
        <v>11336</v>
      </c>
      <c r="AB22" s="6"/>
      <c r="AC22" s="302"/>
      <c r="AD22" s="295"/>
    </row>
    <row r="23" spans="3:30" x14ac:dyDescent="0.3">
      <c r="C23" s="1"/>
      <c r="D23" s="126"/>
      <c r="E23" s="127"/>
      <c r="F23" s="137" t="s">
        <v>70</v>
      </c>
      <c r="G23" s="137"/>
      <c r="H23" s="137"/>
      <c r="I23" s="130">
        <f>+I20-I21-I22</f>
        <v>3993334</v>
      </c>
      <c r="J23" s="129"/>
      <c r="K23" s="140"/>
      <c r="L23" s="140"/>
      <c r="M23" s="140"/>
      <c r="N23" s="140"/>
      <c r="O23" s="136"/>
      <c r="P23" s="113"/>
      <c r="Q23" s="113"/>
      <c r="R23" s="113"/>
      <c r="S23" s="474"/>
      <c r="T23" s="294"/>
      <c r="U23" s="296">
        <f t="shared" si="1"/>
        <v>43968</v>
      </c>
      <c r="V23" s="6"/>
      <c r="W23" s="297">
        <v>384245</v>
      </c>
      <c r="X23" s="6"/>
      <c r="Y23" s="44">
        <v>0.251</v>
      </c>
      <c r="Z23" s="6"/>
      <c r="AA23" s="298">
        <f t="shared" si="2"/>
        <v>9746</v>
      </c>
      <c r="AB23" s="6"/>
      <c r="AC23" s="302"/>
      <c r="AD23" s="295"/>
    </row>
    <row r="24" spans="3:30" x14ac:dyDescent="0.3">
      <c r="C24" s="1"/>
      <c r="D24" s="126"/>
      <c r="E24" s="127" t="s">
        <v>77</v>
      </c>
      <c r="F24" s="129"/>
      <c r="G24" s="129"/>
      <c r="H24" s="129"/>
      <c r="I24" s="131">
        <f>+'Main Table'!AO154</f>
        <v>2446798</v>
      </c>
      <c r="J24" s="129"/>
      <c r="K24" s="140"/>
      <c r="L24" s="140"/>
      <c r="M24" s="140"/>
      <c r="N24" s="140"/>
      <c r="O24" s="136"/>
      <c r="P24" s="113"/>
      <c r="Q24" s="113"/>
      <c r="R24" s="113"/>
      <c r="S24" s="113"/>
      <c r="T24" s="294"/>
      <c r="U24" s="296">
        <f t="shared" si="1"/>
        <v>43969</v>
      </c>
      <c r="V24" s="6"/>
      <c r="W24" s="297">
        <v>379527</v>
      </c>
      <c r="X24" s="6"/>
      <c r="Y24" s="44">
        <v>0.245</v>
      </c>
      <c r="Z24" s="6"/>
      <c r="AA24" s="298">
        <f t="shared" si="2"/>
        <v>4718</v>
      </c>
      <c r="AB24" s="6"/>
      <c r="AC24" s="302"/>
      <c r="AD24" s="295"/>
    </row>
    <row r="25" spans="3:30" x14ac:dyDescent="0.3">
      <c r="C25" s="1"/>
      <c r="D25" s="621" t="s">
        <v>49</v>
      </c>
      <c r="E25" s="622"/>
      <c r="F25" s="622"/>
      <c r="G25" s="622"/>
      <c r="H25" s="622"/>
      <c r="I25" s="132">
        <f>+I23-I24</f>
        <v>1546536</v>
      </c>
      <c r="J25" s="129"/>
      <c r="K25" s="140"/>
      <c r="L25" s="140"/>
      <c r="M25" s="140"/>
      <c r="N25" s="140"/>
      <c r="O25" s="136"/>
      <c r="P25" s="113"/>
      <c r="Q25" s="113"/>
      <c r="R25" s="113"/>
      <c r="S25" s="113"/>
      <c r="T25" s="294"/>
      <c r="U25" s="296">
        <f t="shared" si="1"/>
        <v>43970</v>
      </c>
      <c r="V25" s="6"/>
      <c r="W25" s="297">
        <v>375997</v>
      </c>
      <c r="X25" s="6"/>
      <c r="Y25" s="44">
        <v>0.23899999999999999</v>
      </c>
      <c r="Z25" s="6"/>
      <c r="AA25" s="298">
        <f t="shared" si="2"/>
        <v>3530</v>
      </c>
      <c r="AB25" s="6"/>
      <c r="AC25" s="302"/>
      <c r="AD25" s="295"/>
    </row>
    <row r="26" spans="3:30" x14ac:dyDescent="0.3">
      <c r="C26" s="1"/>
      <c r="D26" s="126"/>
      <c r="E26" s="127" t="s">
        <v>71</v>
      </c>
      <c r="F26" s="129"/>
      <c r="G26" s="129"/>
      <c r="H26" s="129"/>
      <c r="I26" s="131">
        <f>+I24</f>
        <v>2446798</v>
      </c>
      <c r="J26" s="129"/>
      <c r="K26" s="140"/>
      <c r="L26" s="140"/>
      <c r="M26" s="140"/>
      <c r="N26" s="140"/>
      <c r="O26" s="136"/>
      <c r="P26" s="90"/>
      <c r="Q26" s="90"/>
      <c r="R26" s="90"/>
      <c r="S26" s="90"/>
      <c r="T26" s="294"/>
      <c r="U26" s="296">
        <f t="shared" si="1"/>
        <v>43971</v>
      </c>
      <c r="V26" s="6"/>
      <c r="W26" s="297">
        <v>373168</v>
      </c>
      <c r="X26" s="6"/>
      <c r="Y26" s="44">
        <v>0.23400000000000001</v>
      </c>
      <c r="Z26" s="6"/>
      <c r="AA26" s="298">
        <f t="shared" si="2"/>
        <v>2829</v>
      </c>
      <c r="AB26" s="6"/>
      <c r="AC26" s="302"/>
      <c r="AD26" s="295"/>
    </row>
    <row r="27" spans="3:30" ht="15" thickBot="1" x14ac:dyDescent="0.35">
      <c r="C27" s="1"/>
      <c r="D27" s="621" t="s">
        <v>46</v>
      </c>
      <c r="E27" s="622"/>
      <c r="F27" s="622"/>
      <c r="G27" s="622"/>
      <c r="H27" s="622"/>
      <c r="I27" s="149">
        <f>+I25+I26</f>
        <v>3993334</v>
      </c>
      <c r="J27" s="129"/>
      <c r="K27" s="626">
        <v>3924561</v>
      </c>
      <c r="L27" s="626"/>
      <c r="M27" s="140"/>
      <c r="N27" s="150">
        <f>+I27-K27</f>
        <v>68773</v>
      </c>
      <c r="O27" s="136"/>
      <c r="P27" s="90"/>
      <c r="Q27" s="90"/>
      <c r="R27" s="90"/>
      <c r="S27" s="90"/>
      <c r="T27" s="294"/>
      <c r="U27" s="296">
        <f t="shared" si="1"/>
        <v>43972</v>
      </c>
      <c r="V27" s="6"/>
      <c r="W27" s="297">
        <v>346181</v>
      </c>
      <c r="X27" s="6"/>
      <c r="Y27" s="44">
        <v>0.214</v>
      </c>
      <c r="Z27" s="6"/>
      <c r="AA27" s="298">
        <f t="shared" si="2"/>
        <v>26987</v>
      </c>
      <c r="AB27" s="6"/>
      <c r="AC27" s="302"/>
      <c r="AD27" s="295"/>
    </row>
    <row r="28" spans="3:30" ht="15.6" thickTop="1" thickBot="1" x14ac:dyDescent="0.35">
      <c r="C28" s="10"/>
      <c r="D28" s="135"/>
      <c r="E28" s="623" t="s">
        <v>69</v>
      </c>
      <c r="F28" s="623"/>
      <c r="G28" s="623"/>
      <c r="H28" s="137"/>
      <c r="I28" s="275">
        <f>+I27/I32</f>
        <v>0.82151933186214199</v>
      </c>
      <c r="J28" s="140"/>
      <c r="K28" s="140"/>
      <c r="L28" s="140"/>
      <c r="M28" s="110"/>
      <c r="N28" s="507">
        <f>+N27/K27</f>
        <v>1.7523743419964679E-2</v>
      </c>
      <c r="O28" s="136"/>
      <c r="P28" s="1"/>
      <c r="Q28" s="1"/>
      <c r="R28" s="1"/>
      <c r="S28" s="1"/>
      <c r="T28" s="294"/>
      <c r="U28" s="296">
        <f t="shared" si="1"/>
        <v>43973</v>
      </c>
      <c r="V28" s="6"/>
      <c r="W28" s="297">
        <v>341216</v>
      </c>
      <c r="X28" s="6"/>
      <c r="Y28" s="44">
        <v>0.20699999999999999</v>
      </c>
      <c r="Z28" s="6"/>
      <c r="AA28" s="298">
        <f t="shared" si="2"/>
        <v>4965</v>
      </c>
      <c r="AB28" s="6"/>
      <c r="AC28" s="302"/>
      <c r="AD28" s="295"/>
    </row>
    <row r="29" spans="3:30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1"/>
      <c r="T29" s="294"/>
      <c r="U29" s="296">
        <f t="shared" si="1"/>
        <v>43974</v>
      </c>
      <c r="V29" s="6"/>
      <c r="W29" s="297">
        <v>336852</v>
      </c>
      <c r="X29" s="6"/>
      <c r="Y29" s="44">
        <v>0.20200000000000001</v>
      </c>
      <c r="Z29" s="6"/>
      <c r="AA29" s="298">
        <f t="shared" si="2"/>
        <v>4364</v>
      </c>
      <c r="AB29" s="6"/>
      <c r="AC29" s="302"/>
      <c r="AD29" s="295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70"/>
      <c r="T30" s="294"/>
      <c r="U30" s="296">
        <f t="shared" si="1"/>
        <v>43975</v>
      </c>
      <c r="V30" s="6"/>
      <c r="W30" s="297">
        <v>336142</v>
      </c>
      <c r="X30" s="6"/>
      <c r="Y30" s="44">
        <v>0.19900000000000001</v>
      </c>
      <c r="Z30" s="6"/>
      <c r="AA30" s="298">
        <f t="shared" si="2"/>
        <v>710</v>
      </c>
      <c r="AB30" s="6"/>
      <c r="AC30" s="302"/>
      <c r="AD30" s="295"/>
    </row>
    <row r="31" spans="3:30" ht="16.2" thickBot="1" x14ac:dyDescent="0.35">
      <c r="C31" s="90"/>
      <c r="D31" s="273"/>
      <c r="E31" s="632" t="s">
        <v>114</v>
      </c>
      <c r="F31" s="633"/>
      <c r="G31" s="633"/>
      <c r="H31" s="633"/>
      <c r="I31" s="633"/>
      <c r="J31" s="634"/>
      <c r="K31" s="272"/>
      <c r="L31" s="271" t="s">
        <v>10</v>
      </c>
      <c r="M31" s="270"/>
      <c r="N31" s="269"/>
      <c r="O31" s="110"/>
      <c r="P31" s="90"/>
      <c r="Q31" s="90"/>
      <c r="R31" s="90"/>
      <c r="S31" s="90"/>
      <c r="T31" s="294"/>
      <c r="U31" s="296">
        <f t="shared" si="1"/>
        <v>43976</v>
      </c>
      <c r="V31" s="6"/>
      <c r="W31" s="297">
        <v>337736</v>
      </c>
      <c r="X31" s="6"/>
      <c r="Y31" s="44">
        <v>0.19800000000000001</v>
      </c>
      <c r="Z31" s="6"/>
      <c r="AA31" s="298">
        <f t="shared" si="2"/>
        <v>-1594</v>
      </c>
      <c r="AB31" s="6"/>
      <c r="AC31" s="302"/>
      <c r="AD31" s="295"/>
    </row>
    <row r="32" spans="3:30" x14ac:dyDescent="0.3">
      <c r="C32" s="10"/>
      <c r="D32" s="260"/>
      <c r="E32" s="261" t="s">
        <v>88</v>
      </c>
      <c r="F32" s="24"/>
      <c r="G32" s="24"/>
      <c r="H32" s="24"/>
      <c r="I32" s="627">
        <f>+'Main Table'!H154</f>
        <v>4860913</v>
      </c>
      <c r="J32" s="627"/>
      <c r="K32" s="24"/>
      <c r="L32" s="25">
        <f>+I32/$I$32</f>
        <v>1</v>
      </c>
      <c r="M32" s="262"/>
      <c r="N32" s="90"/>
      <c r="O32" s="90"/>
      <c r="P32" s="90"/>
      <c r="Q32" s="90"/>
      <c r="R32" s="90"/>
      <c r="S32" s="90"/>
      <c r="T32" s="294"/>
      <c r="U32" s="296">
        <f t="shared" si="1"/>
        <v>43977</v>
      </c>
      <c r="V32" s="6"/>
      <c r="W32" s="297">
        <v>333791</v>
      </c>
      <c r="X32" s="6"/>
      <c r="Y32" s="44">
        <v>0.193</v>
      </c>
      <c r="Z32" s="6"/>
      <c r="AA32" s="298">
        <f t="shared" si="2"/>
        <v>3945</v>
      </c>
      <c r="AB32" s="6"/>
      <c r="AC32" s="302"/>
      <c r="AD32" s="295"/>
    </row>
    <row r="33" spans="3:30" x14ac:dyDescent="0.3">
      <c r="C33" s="10"/>
      <c r="D33" s="260"/>
      <c r="E33" s="261"/>
      <c r="F33" s="24"/>
      <c r="G33" s="24"/>
      <c r="H33" s="24"/>
      <c r="I33" s="24"/>
      <c r="J33" s="24"/>
      <c r="K33" s="24"/>
      <c r="L33" s="24"/>
      <c r="M33" s="262"/>
      <c r="N33" s="90"/>
      <c r="O33" s="90"/>
      <c r="P33" s="90"/>
      <c r="Q33" s="90"/>
      <c r="R33" s="90"/>
      <c r="S33" s="90"/>
      <c r="T33" s="294"/>
      <c r="U33" s="296">
        <f t="shared" si="1"/>
        <v>43978</v>
      </c>
      <c r="V33" s="6"/>
      <c r="W33" s="297">
        <v>332639</v>
      </c>
      <c r="X33" s="6"/>
      <c r="Y33" s="44">
        <v>0.191</v>
      </c>
      <c r="Z33" s="6"/>
      <c r="AA33" s="298">
        <f t="shared" si="2"/>
        <v>1152</v>
      </c>
      <c r="AB33" s="6"/>
      <c r="AC33" s="302"/>
      <c r="AD33" s="295"/>
    </row>
    <row r="34" spans="3:30" x14ac:dyDescent="0.3">
      <c r="D34" s="263"/>
      <c r="E34" s="22"/>
      <c r="F34" s="264" t="s">
        <v>113</v>
      </c>
      <c r="G34" s="264"/>
      <c r="H34" s="22"/>
      <c r="I34" s="628">
        <f>+I27</f>
        <v>3993334</v>
      </c>
      <c r="J34" s="629"/>
      <c r="K34" s="22"/>
      <c r="L34" s="25">
        <f>+I34/$I$32</f>
        <v>0.82151933186214199</v>
      </c>
      <c r="M34" s="265"/>
      <c r="P34" s="233"/>
      <c r="Q34" s="233"/>
      <c r="R34" s="233"/>
      <c r="S34" s="233"/>
      <c r="T34" s="294"/>
      <c r="U34" s="296">
        <f t="shared" si="1"/>
        <v>43979</v>
      </c>
      <c r="V34" s="6"/>
      <c r="W34" s="297">
        <v>328088</v>
      </c>
      <c r="X34" s="6"/>
      <c r="Y34" s="44">
        <v>0.186</v>
      </c>
      <c r="Z34" s="6"/>
      <c r="AA34" s="298">
        <f t="shared" si="2"/>
        <v>4551</v>
      </c>
      <c r="AB34" s="6"/>
      <c r="AC34" s="302"/>
      <c r="AD34" s="295"/>
    </row>
    <row r="35" spans="3:30" x14ac:dyDescent="0.3">
      <c r="D35" s="263"/>
      <c r="E35" s="22"/>
      <c r="F35" s="22" t="s">
        <v>89</v>
      </c>
      <c r="G35" s="22"/>
      <c r="H35" s="22"/>
      <c r="I35" s="635">
        <f>+I21</f>
        <v>158259</v>
      </c>
      <c r="J35" s="636"/>
      <c r="K35" s="22"/>
      <c r="L35" s="25">
        <f>+I35/$I$32</f>
        <v>3.255746399904709E-2</v>
      </c>
      <c r="M35" s="265"/>
      <c r="P35" s="274"/>
      <c r="Q35" s="274"/>
      <c r="R35" s="274"/>
      <c r="S35" s="274"/>
      <c r="T35" s="294"/>
      <c r="U35" s="296">
        <f t="shared" si="1"/>
        <v>43980</v>
      </c>
      <c r="V35" s="6"/>
      <c r="W35" s="297">
        <v>326426</v>
      </c>
      <c r="X35" s="6"/>
      <c r="Y35" s="44">
        <v>0.182</v>
      </c>
      <c r="Z35" s="6"/>
      <c r="AA35" s="298">
        <f t="shared" si="2"/>
        <v>1662</v>
      </c>
      <c r="AB35" s="6"/>
      <c r="AC35" s="302"/>
      <c r="AD35" s="295"/>
    </row>
    <row r="36" spans="3:30" ht="15" thickBot="1" x14ac:dyDescent="0.35">
      <c r="D36" s="263"/>
      <c r="E36" s="624" t="s">
        <v>114</v>
      </c>
      <c r="F36" s="624"/>
      <c r="G36" s="624"/>
      <c r="H36" s="276"/>
      <c r="I36" s="630">
        <f>+I32-I34-I35</f>
        <v>709320</v>
      </c>
      <c r="J36" s="631"/>
      <c r="K36" s="303"/>
      <c r="L36" s="277">
        <f>+I36/$I$32</f>
        <v>0.14592320413881096</v>
      </c>
      <c r="M36" s="265"/>
      <c r="T36" s="294"/>
      <c r="U36" s="296">
        <f t="shared" si="1"/>
        <v>43981</v>
      </c>
      <c r="V36" s="6"/>
      <c r="W36" s="297">
        <v>326228</v>
      </c>
      <c r="X36" s="6"/>
      <c r="Y36" s="44">
        <v>0.16900000000000001</v>
      </c>
      <c r="Z36" s="6"/>
      <c r="AA36" s="298">
        <f t="shared" si="2"/>
        <v>198</v>
      </c>
      <c r="AB36" s="6"/>
      <c r="AC36" s="302"/>
      <c r="AD36" s="295"/>
    </row>
    <row r="37" spans="3:30" ht="15.6" thickTop="1" thickBot="1" x14ac:dyDescent="0.35">
      <c r="D37" s="266"/>
      <c r="E37" s="267"/>
      <c r="F37" s="267"/>
      <c r="G37" s="267"/>
      <c r="H37" s="267"/>
      <c r="I37" s="267"/>
      <c r="J37" s="267"/>
      <c r="K37" s="267"/>
      <c r="L37" s="267"/>
      <c r="M37" s="268"/>
      <c r="S37" s="473"/>
      <c r="T37" s="294"/>
      <c r="U37" s="296">
        <f t="shared" si="1"/>
        <v>43982</v>
      </c>
      <c r="V37" s="6"/>
      <c r="W37" s="297">
        <v>303951</v>
      </c>
      <c r="X37" s="6"/>
      <c r="Y37" s="44">
        <v>0.16500000000000001</v>
      </c>
      <c r="Z37" s="6"/>
      <c r="AA37" s="298">
        <f t="shared" si="2"/>
        <v>22277</v>
      </c>
      <c r="AB37" s="6"/>
      <c r="AC37" s="302"/>
      <c r="AD37" s="295"/>
    </row>
    <row r="38" spans="3:30" x14ac:dyDescent="0.3">
      <c r="T38" s="294"/>
      <c r="U38" s="296">
        <f t="shared" si="1"/>
        <v>43983</v>
      </c>
      <c r="V38" s="6"/>
      <c r="W38" s="297">
        <v>305817</v>
      </c>
      <c r="X38" s="6"/>
      <c r="Y38" s="44">
        <v>0.16400000000000001</v>
      </c>
      <c r="Z38" s="6"/>
      <c r="AA38" s="298">
        <f t="shared" si="2"/>
        <v>-1866</v>
      </c>
      <c r="AB38" s="6"/>
      <c r="AC38" s="302"/>
      <c r="AD38" s="295"/>
    </row>
    <row r="39" spans="3:30" x14ac:dyDescent="0.3">
      <c r="T39" s="294"/>
      <c r="U39" s="296">
        <f t="shared" si="1"/>
        <v>43984</v>
      </c>
      <c r="V39" s="6"/>
      <c r="W39" s="297">
        <v>305724</v>
      </c>
      <c r="X39" s="6"/>
      <c r="Y39" s="44">
        <v>0.16300000000000001</v>
      </c>
      <c r="Z39" s="6"/>
      <c r="AA39" s="298">
        <f t="shared" si="2"/>
        <v>93</v>
      </c>
      <c r="AB39" s="6"/>
      <c r="AC39" s="302"/>
      <c r="AD39" s="295"/>
    </row>
    <row r="40" spans="3:30" ht="15" thickBot="1" x14ac:dyDescent="0.35">
      <c r="T40" s="294"/>
      <c r="U40" s="296">
        <f t="shared" si="1"/>
        <v>43985</v>
      </c>
      <c r="V40" s="6"/>
      <c r="W40" s="297">
        <v>297824</v>
      </c>
      <c r="X40" s="6"/>
      <c r="Y40" s="44">
        <v>0.157</v>
      </c>
      <c r="Z40" s="6"/>
      <c r="AA40" s="298">
        <f t="shared" si="2"/>
        <v>7900</v>
      </c>
      <c r="AB40" s="6"/>
      <c r="AC40" s="302"/>
      <c r="AD40" s="295"/>
    </row>
    <row r="41" spans="3:30" ht="15" thickBot="1" x14ac:dyDescent="0.35">
      <c r="D41" s="612" t="s">
        <v>127</v>
      </c>
      <c r="E41" s="613"/>
      <c r="F41" s="613"/>
      <c r="G41" s="613"/>
      <c r="H41" s="613"/>
      <c r="I41" s="613"/>
      <c r="J41" s="613"/>
      <c r="K41" s="613"/>
      <c r="L41" s="613"/>
      <c r="M41" s="613"/>
      <c r="N41" s="613"/>
      <c r="O41" s="614"/>
      <c r="T41" s="294"/>
      <c r="U41" s="296">
        <f t="shared" si="1"/>
        <v>43986</v>
      </c>
      <c r="V41" s="6"/>
      <c r="W41" s="297">
        <v>296183</v>
      </c>
      <c r="X41" s="6"/>
      <c r="Y41" s="44">
        <v>0.154</v>
      </c>
      <c r="Z41" s="6"/>
      <c r="AA41" s="298">
        <f t="shared" si="2"/>
        <v>1641</v>
      </c>
      <c r="AB41" s="6"/>
      <c r="AC41" s="302"/>
      <c r="AD41" s="295"/>
    </row>
    <row r="42" spans="3:30" ht="15" thickBot="1" x14ac:dyDescent="0.35">
      <c r="D42" s="321"/>
      <c r="E42" s="615" t="s">
        <v>75</v>
      </c>
      <c r="F42" s="615"/>
      <c r="G42" s="615"/>
      <c r="H42" s="615"/>
      <c r="I42" s="304" t="s">
        <v>74</v>
      </c>
      <c r="J42" s="305"/>
      <c r="K42" s="616" t="s">
        <v>37</v>
      </c>
      <c r="L42" s="616"/>
      <c r="M42" s="306"/>
      <c r="N42" s="307" t="s">
        <v>73</v>
      </c>
      <c r="O42" s="322"/>
      <c r="T42" s="294"/>
      <c r="U42" s="296">
        <f t="shared" si="1"/>
        <v>43987</v>
      </c>
      <c r="V42" s="6"/>
      <c r="W42" s="297">
        <v>299564</v>
      </c>
      <c r="X42" s="6"/>
      <c r="Y42" s="44">
        <v>0.154</v>
      </c>
      <c r="Z42" s="6"/>
      <c r="AA42" s="298">
        <f t="shared" si="2"/>
        <v>-3381</v>
      </c>
      <c r="AB42" s="6"/>
      <c r="AC42" s="302"/>
      <c r="AD42" s="295"/>
    </row>
    <row r="43" spans="3:30" x14ac:dyDescent="0.3">
      <c r="D43" s="323"/>
      <c r="E43" s="308" t="s">
        <v>43</v>
      </c>
      <c r="F43" s="309"/>
      <c r="G43" s="308"/>
      <c r="H43" s="308"/>
      <c r="I43" s="380">
        <v>25405</v>
      </c>
      <c r="J43" s="380"/>
      <c r="K43" s="381"/>
      <c r="L43" s="381"/>
      <c r="M43" s="381"/>
      <c r="N43" s="381"/>
      <c r="O43" s="315"/>
      <c r="T43" s="294"/>
      <c r="U43" s="296">
        <f t="shared" si="1"/>
        <v>43988</v>
      </c>
      <c r="V43" s="6"/>
      <c r="W43" s="297">
        <v>299553</v>
      </c>
      <c r="X43" s="6"/>
      <c r="Y43" s="44">
        <v>0.154</v>
      </c>
      <c r="Z43" s="6"/>
      <c r="AA43" s="298">
        <f t="shared" si="2"/>
        <v>11</v>
      </c>
      <c r="AB43" s="6"/>
      <c r="AC43" s="302"/>
      <c r="AD43" s="295"/>
    </row>
    <row r="44" spans="3:30" x14ac:dyDescent="0.3">
      <c r="D44" s="323"/>
      <c r="E44" s="308" t="s">
        <v>44</v>
      </c>
      <c r="F44" s="308" t="s">
        <v>4</v>
      </c>
      <c r="G44" s="308"/>
      <c r="H44" s="308"/>
      <c r="I44" s="380">
        <v>1836</v>
      </c>
      <c r="J44" s="380"/>
      <c r="K44" s="381"/>
      <c r="L44" s="381"/>
      <c r="M44" s="381"/>
      <c r="N44" s="381"/>
      <c r="O44" s="315"/>
      <c r="T44" s="294"/>
      <c r="U44" s="296">
        <f t="shared" si="1"/>
        <v>43989</v>
      </c>
      <c r="V44" s="6"/>
      <c r="W44" s="297">
        <v>301798</v>
      </c>
      <c r="X44" s="6"/>
      <c r="Y44" s="44">
        <v>0.152</v>
      </c>
      <c r="Z44" s="6"/>
      <c r="AA44" s="298">
        <f t="shared" si="2"/>
        <v>-2245</v>
      </c>
      <c r="AB44" s="6"/>
      <c r="AC44" s="302"/>
      <c r="AD44" s="295"/>
    </row>
    <row r="45" spans="3:30" x14ac:dyDescent="0.3">
      <c r="D45" s="323"/>
      <c r="E45" s="308"/>
      <c r="F45" s="308" t="s">
        <v>45</v>
      </c>
      <c r="G45" s="308"/>
      <c r="H45" s="308"/>
      <c r="I45" s="382">
        <v>1397</v>
      </c>
      <c r="J45" s="380"/>
      <c r="K45" s="381"/>
      <c r="L45" s="380"/>
      <c r="M45" s="381"/>
      <c r="N45" s="383"/>
      <c r="O45" s="315"/>
      <c r="T45" s="294"/>
      <c r="U45" s="296">
        <f t="shared" si="1"/>
        <v>43990</v>
      </c>
      <c r="V45" s="6"/>
      <c r="W45" s="297">
        <v>301795</v>
      </c>
      <c r="X45" s="6"/>
      <c r="Y45" s="44">
        <v>0.15</v>
      </c>
      <c r="Z45" s="6"/>
      <c r="AA45" s="298">
        <f t="shared" si="2"/>
        <v>3</v>
      </c>
      <c r="AB45" s="6"/>
      <c r="AC45" s="302"/>
      <c r="AD45" s="295"/>
    </row>
    <row r="46" spans="3:30" x14ac:dyDescent="0.3">
      <c r="D46" s="323"/>
      <c r="E46" s="308"/>
      <c r="F46" s="312" t="s">
        <v>70</v>
      </c>
      <c r="G46" s="312"/>
      <c r="H46" s="312"/>
      <c r="I46" s="380">
        <f>+I43-I44-I45</f>
        <v>22172</v>
      </c>
      <c r="J46" s="380"/>
      <c r="K46" s="381"/>
      <c r="L46" s="381"/>
      <c r="M46" s="381"/>
      <c r="N46" s="381"/>
      <c r="O46" s="315"/>
      <c r="T46" s="294"/>
      <c r="U46" s="296">
        <f t="shared" si="1"/>
        <v>43991</v>
      </c>
      <c r="V46" s="6"/>
      <c r="W46" s="297">
        <v>300305</v>
      </c>
      <c r="X46" s="6"/>
      <c r="Y46" s="44">
        <v>0.14799999999999999</v>
      </c>
      <c r="Z46" s="6"/>
      <c r="AA46" s="298">
        <f t="shared" si="2"/>
        <v>1490</v>
      </c>
      <c r="AB46" s="6"/>
      <c r="AC46" s="302"/>
      <c r="AD46" s="295"/>
    </row>
    <row r="47" spans="3:30" x14ac:dyDescent="0.3">
      <c r="D47" s="323"/>
      <c r="E47" s="308" t="s">
        <v>77</v>
      </c>
      <c r="F47" s="310"/>
      <c r="G47" s="310"/>
      <c r="H47" s="310"/>
      <c r="I47" s="382">
        <f>+'Main Table'!AO172</f>
        <v>1970617</v>
      </c>
      <c r="J47" s="380"/>
      <c r="K47" s="381"/>
      <c r="L47" s="381"/>
      <c r="M47" s="381"/>
      <c r="N47" s="381"/>
      <c r="O47" s="315"/>
      <c r="T47" s="294"/>
      <c r="U47" s="296">
        <f t="shared" si="1"/>
        <v>43992</v>
      </c>
      <c r="V47" s="6"/>
      <c r="W47" s="297">
        <v>298430</v>
      </c>
      <c r="X47" s="6"/>
      <c r="Y47" s="44">
        <v>0.14599999999999999</v>
      </c>
      <c r="Z47" s="6"/>
      <c r="AA47" s="298">
        <f t="shared" si="2"/>
        <v>1875</v>
      </c>
      <c r="AB47" s="6"/>
      <c r="AC47" s="302"/>
      <c r="AD47" s="295"/>
    </row>
    <row r="48" spans="3:30" x14ac:dyDescent="0.3">
      <c r="D48" s="638" t="s">
        <v>49</v>
      </c>
      <c r="E48" s="639"/>
      <c r="F48" s="639"/>
      <c r="G48" s="639"/>
      <c r="H48" s="639"/>
      <c r="I48" s="313">
        <f>+I46-I47</f>
        <v>-1948445</v>
      </c>
      <c r="J48" s="380"/>
      <c r="K48" s="381"/>
      <c r="L48" s="381"/>
      <c r="M48" s="381"/>
      <c r="N48" s="381"/>
      <c r="O48" s="315"/>
      <c r="T48" s="294"/>
      <c r="U48" s="296">
        <f t="shared" si="1"/>
        <v>43993</v>
      </c>
      <c r="V48" s="6"/>
      <c r="W48" s="297">
        <v>296204</v>
      </c>
      <c r="X48" s="6"/>
      <c r="Y48" s="44">
        <v>0.14199999999999999</v>
      </c>
      <c r="Z48" s="6"/>
      <c r="AA48" s="298">
        <f t="shared" si="2"/>
        <v>2226</v>
      </c>
      <c r="AB48" s="6"/>
      <c r="AC48" s="302"/>
      <c r="AD48" s="295"/>
    </row>
    <row r="49" spans="4:32" x14ac:dyDescent="0.3">
      <c r="D49" s="323"/>
      <c r="E49" s="308" t="s">
        <v>71</v>
      </c>
      <c r="F49" s="310"/>
      <c r="G49" s="310"/>
      <c r="H49" s="310"/>
      <c r="I49" s="382">
        <f>+I47</f>
        <v>1970617</v>
      </c>
      <c r="J49" s="380"/>
      <c r="K49" s="381"/>
      <c r="L49" s="381"/>
      <c r="M49" s="381"/>
      <c r="N49" s="381"/>
      <c r="O49" s="315"/>
      <c r="T49" s="294"/>
      <c r="U49" s="296">
        <f t="shared" si="1"/>
        <v>43994</v>
      </c>
      <c r="V49" s="6"/>
      <c r="W49" s="297">
        <v>300135</v>
      </c>
      <c r="X49" s="6"/>
      <c r="Y49" s="44">
        <v>0.14199999999999999</v>
      </c>
      <c r="Z49" s="6"/>
      <c r="AA49" s="298">
        <f t="shared" si="2"/>
        <v>-3931</v>
      </c>
      <c r="AB49" s="6"/>
      <c r="AC49" s="302"/>
      <c r="AD49" s="295"/>
    </row>
    <row r="50" spans="4:32" ht="15" thickBot="1" x14ac:dyDescent="0.35">
      <c r="D50" s="638" t="s">
        <v>46</v>
      </c>
      <c r="E50" s="639"/>
      <c r="F50" s="639"/>
      <c r="G50" s="639"/>
      <c r="H50" s="639"/>
      <c r="I50" s="384">
        <f>+I48+I49</f>
        <v>22172</v>
      </c>
      <c r="J50" s="380"/>
      <c r="K50" s="640">
        <v>30167</v>
      </c>
      <c r="L50" s="640"/>
      <c r="M50" s="381"/>
      <c r="N50" s="385">
        <f>+K50-I50</f>
        <v>7995</v>
      </c>
      <c r="O50" s="315"/>
      <c r="T50" s="294"/>
      <c r="U50" s="296">
        <f t="shared" si="1"/>
        <v>43995</v>
      </c>
      <c r="V50" s="6"/>
      <c r="W50" s="297">
        <v>305087</v>
      </c>
      <c r="X50" s="6"/>
      <c r="Y50" s="44">
        <v>0.14199999999999999</v>
      </c>
      <c r="Z50" s="6"/>
      <c r="AA50" s="298">
        <f t="shared" si="2"/>
        <v>-4952</v>
      </c>
      <c r="AB50" s="6"/>
      <c r="AC50" s="302"/>
      <c r="AD50" s="295"/>
    </row>
    <row r="51" spans="4:32" ht="15.6" thickTop="1" thickBot="1" x14ac:dyDescent="0.35">
      <c r="D51" s="314"/>
      <c r="E51" s="641" t="s">
        <v>69</v>
      </c>
      <c r="F51" s="641"/>
      <c r="G51" s="641"/>
      <c r="H51" s="312"/>
      <c r="I51" s="386">
        <f>+I50/K50</f>
        <v>0.73497530414028578</v>
      </c>
      <c r="J51" s="381"/>
      <c r="K51" s="381"/>
      <c r="L51" s="381"/>
      <c r="M51" s="381"/>
      <c r="N51" s="387">
        <f>+N50/K50</f>
        <v>0.26502469585971428</v>
      </c>
      <c r="O51" s="315"/>
      <c r="S51" s="56"/>
      <c r="T51" s="294"/>
      <c r="U51" s="296">
        <f>+U50+1</f>
        <v>43996</v>
      </c>
      <c r="V51" s="6"/>
      <c r="W51" s="297">
        <v>302731</v>
      </c>
      <c r="X51" s="6"/>
      <c r="Y51" s="44">
        <v>0.14000000000000001</v>
      </c>
      <c r="Z51" s="6"/>
      <c r="AA51" s="298">
        <f t="shared" si="2"/>
        <v>2356</v>
      </c>
      <c r="AB51" s="6"/>
      <c r="AC51" s="302"/>
      <c r="AD51" s="295"/>
    </row>
    <row r="52" spans="4:32" ht="15.6" thickTop="1" thickBot="1" x14ac:dyDescent="0.35">
      <c r="D52" s="324"/>
      <c r="E52" s="325"/>
      <c r="F52" s="325"/>
      <c r="G52" s="325"/>
      <c r="H52" s="325"/>
      <c r="I52" s="388"/>
      <c r="J52" s="389"/>
      <c r="K52" s="390"/>
      <c r="L52" s="390"/>
      <c r="M52" s="390"/>
      <c r="N52" s="390"/>
      <c r="O52" s="318"/>
      <c r="T52" s="294"/>
      <c r="U52" s="296">
        <f t="shared" ref="U52:U109" si="3">+U51+1</f>
        <v>43997</v>
      </c>
      <c r="V52" s="6"/>
      <c r="W52" s="297">
        <v>301583</v>
      </c>
      <c r="X52" s="6"/>
      <c r="Y52" s="44">
        <v>0.13800000000000001</v>
      </c>
      <c r="Z52" s="6"/>
      <c r="AA52" s="298">
        <f t="shared" ref="AA52:AA63" si="4">+W51-W52</f>
        <v>1148</v>
      </c>
      <c r="AB52" s="6"/>
      <c r="AC52" s="302"/>
      <c r="AD52" s="295"/>
    </row>
    <row r="53" spans="4:32" ht="15" thickBot="1" x14ac:dyDescent="0.35">
      <c r="D53" s="90"/>
      <c r="E53" s="152"/>
      <c r="F53" s="152"/>
      <c r="G53" s="152"/>
      <c r="H53" s="152"/>
      <c r="I53" s="354"/>
      <c r="J53" s="90"/>
      <c r="K53" s="110"/>
      <c r="L53" s="110"/>
      <c r="M53" s="360"/>
      <c r="N53" s="110"/>
      <c r="O53" s="110"/>
      <c r="P53" s="61"/>
      <c r="Q53" s="61"/>
      <c r="R53" s="61"/>
      <c r="T53" s="294"/>
      <c r="U53" s="296">
        <f t="shared" si="3"/>
        <v>43998</v>
      </c>
      <c r="V53" s="6"/>
      <c r="W53" s="297">
        <v>306362</v>
      </c>
      <c r="X53" s="6"/>
      <c r="Y53" s="44">
        <v>0.13900000000000001</v>
      </c>
      <c r="Z53" s="6"/>
      <c r="AA53" s="298">
        <f t="shared" si="4"/>
        <v>-4779</v>
      </c>
      <c r="AB53" s="6"/>
      <c r="AC53" s="302"/>
      <c r="AD53" s="295"/>
    </row>
    <row r="54" spans="4:32" ht="16.2" thickBot="1" x14ac:dyDescent="0.35">
      <c r="D54" s="361"/>
      <c r="E54" s="604" t="s">
        <v>128</v>
      </c>
      <c r="F54" s="605"/>
      <c r="G54" s="605"/>
      <c r="H54" s="605"/>
      <c r="I54" s="605"/>
      <c r="J54" s="606"/>
      <c r="K54" s="362"/>
      <c r="L54" s="365" t="s">
        <v>10</v>
      </c>
      <c r="M54" s="364"/>
      <c r="N54" s="110"/>
      <c r="O54" s="110"/>
      <c r="P54" s="61"/>
      <c r="Q54" s="61"/>
      <c r="R54" s="61"/>
      <c r="T54" s="294"/>
      <c r="U54" s="296">
        <f t="shared" si="3"/>
        <v>43999</v>
      </c>
      <c r="V54" s="6"/>
      <c r="W54" s="297">
        <v>310165</v>
      </c>
      <c r="X54" s="6"/>
      <c r="Y54" s="44">
        <v>0.13900000000000001</v>
      </c>
      <c r="Z54" s="6"/>
      <c r="AA54" s="298">
        <f t="shared" si="4"/>
        <v>-3803</v>
      </c>
      <c r="AB54" s="6"/>
      <c r="AC54" s="302"/>
      <c r="AD54" s="295"/>
    </row>
    <row r="55" spans="4:32" x14ac:dyDescent="0.3">
      <c r="D55" s="323"/>
      <c r="E55" s="355" t="s">
        <v>88</v>
      </c>
      <c r="F55" s="310"/>
      <c r="G55" s="310"/>
      <c r="H55" s="310"/>
      <c r="I55" s="642">
        <f>+K50</f>
        <v>30167</v>
      </c>
      <c r="J55" s="642"/>
      <c r="K55" s="310"/>
      <c r="L55" s="356">
        <f>+I55/$I$55</f>
        <v>1</v>
      </c>
      <c r="M55" s="363"/>
      <c r="N55" s="110"/>
      <c r="O55" s="110"/>
      <c r="P55" s="61"/>
      <c r="Q55" s="61"/>
      <c r="R55" s="61"/>
      <c r="T55" s="294"/>
      <c r="U55" s="296">
        <f t="shared" si="3"/>
        <v>44000</v>
      </c>
      <c r="V55" s="6"/>
      <c r="W55" s="297">
        <v>321504</v>
      </c>
      <c r="X55" s="6"/>
      <c r="Y55" s="44">
        <v>0.13800000000000001</v>
      </c>
      <c r="Z55" s="6"/>
      <c r="AA55" s="298">
        <f t="shared" si="4"/>
        <v>-11339</v>
      </c>
      <c r="AB55" s="6"/>
      <c r="AC55" s="302"/>
      <c r="AD55" s="295"/>
    </row>
    <row r="56" spans="4:32" x14ac:dyDescent="0.3">
      <c r="D56" s="323"/>
      <c r="E56" s="355"/>
      <c r="F56" s="310"/>
      <c r="G56" s="310"/>
      <c r="H56" s="310"/>
      <c r="I56" s="310"/>
      <c r="J56" s="310"/>
      <c r="K56" s="310"/>
      <c r="L56" s="310"/>
      <c r="M56" s="363"/>
      <c r="N56" s="110"/>
      <c r="O56" s="110"/>
      <c r="P56" s="61"/>
      <c r="Q56" s="61"/>
      <c r="R56" s="61"/>
      <c r="T56" s="294"/>
      <c r="U56" s="296">
        <f t="shared" si="3"/>
        <v>44001</v>
      </c>
      <c r="V56" s="6"/>
      <c r="W56" s="297">
        <v>323237</v>
      </c>
      <c r="X56" s="6"/>
      <c r="Y56" s="44">
        <v>0.14099999999999999</v>
      </c>
      <c r="Z56" s="6"/>
      <c r="AA56" s="298">
        <f t="shared" si="4"/>
        <v>-1733</v>
      </c>
      <c r="AB56" s="6"/>
      <c r="AC56" s="302"/>
      <c r="AD56" s="295"/>
    </row>
    <row r="57" spans="4:32" x14ac:dyDescent="0.3">
      <c r="D57" s="314"/>
      <c r="E57" s="311"/>
      <c r="F57" s="357" t="s">
        <v>113</v>
      </c>
      <c r="G57" s="357"/>
      <c r="H57" s="311"/>
      <c r="I57" s="643">
        <f>+I50</f>
        <v>22172</v>
      </c>
      <c r="J57" s="644"/>
      <c r="K57" s="311"/>
      <c r="L57" s="356">
        <f>+I57/$I$55</f>
        <v>0.73497530414028578</v>
      </c>
      <c r="M57" s="315"/>
      <c r="N57" s="110"/>
      <c r="O57" s="110"/>
      <c r="P57" s="61"/>
      <c r="Q57" s="61"/>
      <c r="R57" s="61"/>
      <c r="T57" s="294"/>
      <c r="U57" s="296">
        <f t="shared" si="3"/>
        <v>44002</v>
      </c>
      <c r="V57" s="6"/>
      <c r="W57" s="297">
        <v>338196</v>
      </c>
      <c r="X57" s="6"/>
      <c r="Y57" s="44">
        <v>0.14499999999999999</v>
      </c>
      <c r="Z57" s="6"/>
      <c r="AA57" s="298">
        <f t="shared" si="4"/>
        <v>-14959</v>
      </c>
      <c r="AB57" s="6"/>
      <c r="AC57" s="302"/>
      <c r="AD57" s="295"/>
    </row>
    <row r="58" spans="4:32" x14ac:dyDescent="0.3">
      <c r="D58" s="314"/>
      <c r="E58" s="311"/>
      <c r="F58" s="311" t="s">
        <v>89</v>
      </c>
      <c r="G58" s="311"/>
      <c r="H58" s="311"/>
      <c r="I58" s="645">
        <f>+I44</f>
        <v>1836</v>
      </c>
      <c r="J58" s="646"/>
      <c r="K58" s="311"/>
      <c r="L58" s="356">
        <f>+I58/$I$55</f>
        <v>6.0861205953525378E-2</v>
      </c>
      <c r="M58" s="315"/>
      <c r="N58" s="110"/>
      <c r="O58" s="110"/>
      <c r="P58" s="61"/>
      <c r="Q58" s="61"/>
      <c r="R58" s="61"/>
      <c r="T58" s="294"/>
      <c r="U58" s="296">
        <f t="shared" si="3"/>
        <v>44003</v>
      </c>
      <c r="V58" s="6"/>
      <c r="W58" s="297">
        <v>345179</v>
      </c>
      <c r="X58" s="6"/>
      <c r="Y58" s="44">
        <v>0.14699999999999999</v>
      </c>
      <c r="Z58" s="6"/>
      <c r="AA58" s="298">
        <f t="shared" si="4"/>
        <v>-6983</v>
      </c>
      <c r="AB58" s="6"/>
      <c r="AC58" s="302"/>
      <c r="AD58" s="295"/>
    </row>
    <row r="59" spans="4:32" ht="15" thickBot="1" x14ac:dyDescent="0.35">
      <c r="D59" s="314"/>
      <c r="E59" s="647" t="s">
        <v>114</v>
      </c>
      <c r="F59" s="647"/>
      <c r="G59" s="647"/>
      <c r="H59" s="311"/>
      <c r="I59" s="607">
        <f>+I55-I57-I58</f>
        <v>6159</v>
      </c>
      <c r="J59" s="648"/>
      <c r="K59" s="358"/>
      <c r="L59" s="359">
        <f>+I59/$I$55</f>
        <v>0.20416348990618888</v>
      </c>
      <c r="M59" s="315"/>
      <c r="N59" s="110"/>
      <c r="O59" s="110"/>
      <c r="P59" s="158"/>
      <c r="Q59" s="158"/>
      <c r="R59" s="158"/>
      <c r="T59" s="294"/>
      <c r="U59" s="296">
        <f t="shared" si="3"/>
        <v>44004</v>
      </c>
      <c r="V59" s="6"/>
      <c r="W59" s="297">
        <v>336790</v>
      </c>
      <c r="X59" s="6"/>
      <c r="Y59" s="44">
        <v>0.14099999999999999</v>
      </c>
      <c r="Z59" s="6"/>
      <c r="AA59" s="298">
        <f t="shared" si="4"/>
        <v>8389</v>
      </c>
      <c r="AB59" s="6"/>
      <c r="AC59" s="302"/>
      <c r="AD59" s="295"/>
    </row>
    <row r="60" spans="4:32" ht="15" thickTop="1" x14ac:dyDescent="0.3">
      <c r="D60" s="314"/>
      <c r="E60" s="468"/>
      <c r="F60" s="468" t="s">
        <v>129</v>
      </c>
      <c r="G60" s="468"/>
      <c r="H60" s="311"/>
      <c r="I60" s="649">
        <f>+I45</f>
        <v>1397</v>
      </c>
      <c r="J60" s="649"/>
      <c r="K60" s="358"/>
      <c r="L60" s="378"/>
      <c r="M60" s="315"/>
      <c r="N60" s="110"/>
      <c r="O60" s="110"/>
      <c r="P60" s="158"/>
      <c r="Q60" s="158"/>
      <c r="R60" s="158"/>
      <c r="T60" s="294"/>
      <c r="U60" s="296">
        <f t="shared" si="3"/>
        <v>44005</v>
      </c>
      <c r="V60" s="6"/>
      <c r="W60" s="297">
        <v>349505</v>
      </c>
      <c r="X60" s="6"/>
      <c r="Y60" s="44">
        <v>0.14399999999999999</v>
      </c>
      <c r="Z60" s="6"/>
      <c r="AA60" s="298">
        <f t="shared" si="4"/>
        <v>-12715</v>
      </c>
      <c r="AB60" s="6"/>
      <c r="AC60" s="302"/>
      <c r="AD60" s="295"/>
      <c r="AF60" s="61"/>
    </row>
    <row r="61" spans="4:32" ht="15" thickBot="1" x14ac:dyDescent="0.35">
      <c r="D61" s="314"/>
      <c r="E61" s="377"/>
      <c r="F61" s="377" t="s">
        <v>130</v>
      </c>
      <c r="G61" s="377"/>
      <c r="H61" s="311"/>
      <c r="I61" s="607">
        <f>+I59-I60</f>
        <v>4762</v>
      </c>
      <c r="J61" s="607"/>
      <c r="K61" s="358"/>
      <c r="L61" s="359">
        <f>+I61/K50</f>
        <v>0.15785460934133325</v>
      </c>
      <c r="M61" s="315"/>
      <c r="N61" s="110"/>
      <c r="O61" s="110"/>
      <c r="P61" s="61"/>
      <c r="Q61" s="61"/>
      <c r="R61" s="61"/>
      <c r="T61" s="294"/>
      <c r="U61" s="296">
        <f t="shared" si="3"/>
        <v>44006</v>
      </c>
      <c r="V61" s="6"/>
      <c r="W61" s="297">
        <v>361428</v>
      </c>
      <c r="X61" s="6"/>
      <c r="Y61" s="44">
        <v>0.14699999999999999</v>
      </c>
      <c r="Z61" s="6"/>
      <c r="AA61" s="298">
        <f t="shared" si="4"/>
        <v>-11923</v>
      </c>
      <c r="AB61" s="6"/>
      <c r="AC61" s="302"/>
      <c r="AD61" s="295"/>
    </row>
    <row r="62" spans="4:32" ht="15.6" thickTop="1" thickBot="1" x14ac:dyDescent="0.35">
      <c r="D62" s="316"/>
      <c r="E62" s="317"/>
      <c r="F62" s="317"/>
      <c r="G62" s="317"/>
      <c r="H62" s="317"/>
      <c r="I62" s="317"/>
      <c r="J62" s="317"/>
      <c r="K62" s="317"/>
      <c r="L62" s="317"/>
      <c r="M62" s="318"/>
      <c r="N62" s="110"/>
      <c r="O62" s="110"/>
      <c r="P62" s="61"/>
      <c r="Q62" s="61"/>
      <c r="R62" s="61"/>
      <c r="T62" s="294"/>
      <c r="U62" s="296">
        <f t="shared" si="3"/>
        <v>44007</v>
      </c>
      <c r="V62" s="6"/>
      <c r="W62" s="297">
        <v>374775</v>
      </c>
      <c r="X62" s="6"/>
      <c r="Y62" s="44">
        <v>0.15</v>
      </c>
      <c r="Z62" s="6"/>
      <c r="AA62" s="298">
        <f t="shared" si="4"/>
        <v>-13347</v>
      </c>
      <c r="AB62" s="6"/>
      <c r="AC62" s="302"/>
      <c r="AD62" s="295"/>
    </row>
    <row r="63" spans="4:32" ht="15" thickBot="1" x14ac:dyDescent="0.35">
      <c r="T63" s="294"/>
      <c r="U63" s="296">
        <f t="shared" si="3"/>
        <v>44008</v>
      </c>
      <c r="V63" s="6"/>
      <c r="W63" s="297">
        <v>402712</v>
      </c>
      <c r="X63" s="6"/>
      <c r="Y63" s="44">
        <v>0.158</v>
      </c>
      <c r="Z63" s="6"/>
      <c r="AA63" s="298">
        <f t="shared" si="4"/>
        <v>-27937</v>
      </c>
      <c r="AB63" s="6"/>
      <c r="AC63" s="302"/>
      <c r="AD63" s="295"/>
    </row>
    <row r="64" spans="4:32" ht="15" thickBot="1" x14ac:dyDescent="0.35">
      <c r="E64" s="604" t="s">
        <v>117</v>
      </c>
      <c r="F64" s="605"/>
      <c r="G64" s="605"/>
      <c r="H64" s="605"/>
      <c r="I64" s="605"/>
      <c r="J64" s="605"/>
      <c r="K64" s="605"/>
      <c r="L64" s="605"/>
      <c r="M64" s="606"/>
      <c r="P64" s="371"/>
      <c r="Q64" s="371"/>
      <c r="R64" s="371"/>
      <c r="T64" s="294"/>
      <c r="U64" s="296">
        <f t="shared" si="3"/>
        <v>44009</v>
      </c>
      <c r="V64" s="6"/>
      <c r="W64" s="297">
        <v>425664</v>
      </c>
      <c r="X64" s="6"/>
      <c r="Y64" s="44">
        <v>0.16400000000000001</v>
      </c>
      <c r="Z64" s="6"/>
      <c r="AA64" s="298">
        <f t="shared" ref="AA64:AA81" si="5">+W63-W64</f>
        <v>-22952</v>
      </c>
      <c r="AB64" s="6"/>
      <c r="AC64" s="302"/>
      <c r="AD64" s="295"/>
    </row>
    <row r="65" spans="4:30" x14ac:dyDescent="0.3">
      <c r="E65" s="366"/>
      <c r="F65" s="319" t="s">
        <v>109</v>
      </c>
      <c r="G65" s="319"/>
      <c r="H65" s="319"/>
      <c r="I65" s="637">
        <v>11690000</v>
      </c>
      <c r="J65" s="637"/>
      <c r="K65" s="637"/>
      <c r="L65" s="637"/>
      <c r="M65" s="367"/>
      <c r="P65" s="57"/>
      <c r="Q65" s="57"/>
      <c r="R65" s="57"/>
      <c r="S65" s="57"/>
      <c r="T65" s="294"/>
      <c r="U65" s="296">
        <f t="shared" si="3"/>
        <v>44010</v>
      </c>
      <c r="V65" s="6"/>
      <c r="W65" s="297">
        <v>440910</v>
      </c>
      <c r="X65" s="6"/>
      <c r="Y65" s="44">
        <v>0.16700000000000001</v>
      </c>
      <c r="Z65" s="6"/>
      <c r="AA65" s="298">
        <f t="shared" si="5"/>
        <v>-15246</v>
      </c>
      <c r="AB65" s="6"/>
      <c r="AC65" s="302"/>
      <c r="AD65" s="295"/>
    </row>
    <row r="66" spans="4:30" x14ac:dyDescent="0.3">
      <c r="E66" s="366"/>
      <c r="F66" s="319" t="s">
        <v>110</v>
      </c>
      <c r="G66" s="319"/>
      <c r="H66" s="319"/>
      <c r="I66" s="319"/>
      <c r="J66" s="319"/>
      <c r="K66" s="319"/>
      <c r="L66" s="320">
        <f>+I59/I65</f>
        <v>5.2686056458511551E-4</v>
      </c>
      <c r="M66" s="367"/>
      <c r="T66" s="294"/>
      <c r="U66" s="296">
        <f t="shared" si="3"/>
        <v>44011</v>
      </c>
      <c r="V66" s="6"/>
      <c r="W66" s="297">
        <v>459097</v>
      </c>
      <c r="X66" s="6"/>
      <c r="Y66" s="44">
        <v>0.17100000000000001</v>
      </c>
      <c r="Z66" s="6"/>
      <c r="AA66" s="298">
        <f t="shared" si="5"/>
        <v>-18187</v>
      </c>
      <c r="AB66" s="6"/>
      <c r="AC66" s="302"/>
      <c r="AD66" s="295"/>
    </row>
    <row r="67" spans="4:30" x14ac:dyDescent="0.3">
      <c r="E67" s="366"/>
      <c r="F67" s="603" t="s">
        <v>108</v>
      </c>
      <c r="G67" s="603"/>
      <c r="H67" s="319"/>
      <c r="I67" s="319"/>
      <c r="J67" s="319"/>
      <c r="K67" s="319"/>
      <c r="L67" s="379">
        <f>+I59/(I65/100000)</f>
        <v>52.686056458511544</v>
      </c>
      <c r="M67" s="367"/>
      <c r="T67" s="294"/>
      <c r="U67" s="296">
        <f t="shared" si="3"/>
        <v>44012</v>
      </c>
      <c r="V67" s="6"/>
      <c r="W67" s="297">
        <v>477287</v>
      </c>
      <c r="X67" s="6"/>
      <c r="Y67" s="44">
        <v>0.17499999999999999</v>
      </c>
      <c r="Z67" s="6"/>
      <c r="AA67" s="298">
        <f t="shared" si="5"/>
        <v>-18190</v>
      </c>
      <c r="AB67" s="6"/>
      <c r="AC67" s="302"/>
      <c r="AD67" s="295"/>
    </row>
    <row r="68" spans="4:30" ht="15" thickBot="1" x14ac:dyDescent="0.35">
      <c r="E68" s="368"/>
      <c r="F68" s="369"/>
      <c r="G68" s="369"/>
      <c r="H68" s="369"/>
      <c r="I68" s="369"/>
      <c r="J68" s="369"/>
      <c r="K68" s="369"/>
      <c r="L68" s="369"/>
      <c r="M68" s="370"/>
      <c r="T68" s="294"/>
      <c r="U68" s="296">
        <f t="shared" si="3"/>
        <v>44013</v>
      </c>
      <c r="V68" s="6"/>
      <c r="W68" s="297">
        <v>494808</v>
      </c>
      <c r="X68" s="6"/>
      <c r="Y68" s="44">
        <v>0.17799999999999999</v>
      </c>
      <c r="Z68" s="6"/>
      <c r="AA68" s="298">
        <f t="shared" si="5"/>
        <v>-17521</v>
      </c>
      <c r="AB68" s="6"/>
      <c r="AC68" s="302"/>
      <c r="AD68" s="295"/>
    </row>
    <row r="69" spans="4:30" x14ac:dyDescent="0.3">
      <c r="T69" s="294"/>
      <c r="U69" s="296">
        <f t="shared" si="3"/>
        <v>44014</v>
      </c>
      <c r="V69" s="6"/>
      <c r="W69" s="297">
        <v>518711</v>
      </c>
      <c r="X69" s="6"/>
      <c r="Y69" s="44">
        <v>0.183</v>
      </c>
      <c r="Z69" s="6"/>
      <c r="AA69" s="298">
        <f t="shared" si="5"/>
        <v>-23903</v>
      </c>
      <c r="AB69" s="6"/>
      <c r="AC69" s="302"/>
      <c r="AD69" s="295"/>
    </row>
    <row r="70" spans="4:30" x14ac:dyDescent="0.3">
      <c r="T70" s="294"/>
      <c r="U70" s="296">
        <f t="shared" si="3"/>
        <v>44015</v>
      </c>
      <c r="V70" s="6"/>
      <c r="W70" s="297">
        <v>537924</v>
      </c>
      <c r="X70" s="6"/>
      <c r="Y70" s="44">
        <v>0.187</v>
      </c>
      <c r="Z70" s="6"/>
      <c r="AA70" s="298">
        <f t="shared" si="5"/>
        <v>-19213</v>
      </c>
      <c r="AB70" s="6"/>
      <c r="AC70" s="302"/>
      <c r="AD70" s="295"/>
    </row>
    <row r="71" spans="4:30" ht="15" thickBot="1" x14ac:dyDescent="0.35">
      <c r="T71" s="294"/>
      <c r="U71" s="296">
        <f t="shared" si="3"/>
        <v>44016</v>
      </c>
      <c r="V71" s="6"/>
      <c r="W71" s="297">
        <v>561332</v>
      </c>
      <c r="X71" s="6"/>
      <c r="Y71" s="44">
        <v>0.191</v>
      </c>
      <c r="Z71" s="6"/>
      <c r="AA71" s="298">
        <f t="shared" si="5"/>
        <v>-23408</v>
      </c>
      <c r="AB71" s="6"/>
      <c r="AC71" s="302"/>
      <c r="AD71" s="295"/>
    </row>
    <row r="72" spans="4:30" ht="15" thickBot="1" x14ac:dyDescent="0.35">
      <c r="D72" s="666" t="s">
        <v>131</v>
      </c>
      <c r="E72" s="667"/>
      <c r="F72" s="667"/>
      <c r="G72" s="667"/>
      <c r="H72" s="667"/>
      <c r="I72" s="667"/>
      <c r="J72" s="667"/>
      <c r="K72" s="667"/>
      <c r="L72" s="667"/>
      <c r="M72" s="667"/>
      <c r="N72" s="667"/>
      <c r="O72" s="668"/>
      <c r="T72" s="294"/>
      <c r="U72" s="296">
        <f t="shared" si="3"/>
        <v>44017</v>
      </c>
      <c r="V72" s="6"/>
      <c r="W72" s="297">
        <v>569824</v>
      </c>
      <c r="X72" s="6"/>
      <c r="Y72" s="44">
        <v>0.191</v>
      </c>
      <c r="Z72" s="6"/>
      <c r="AA72" s="298">
        <f t="shared" si="5"/>
        <v>-8492</v>
      </c>
      <c r="AB72" s="6"/>
      <c r="AC72" s="302"/>
      <c r="AD72" s="295"/>
    </row>
    <row r="73" spans="4:30" ht="15" thickBot="1" x14ac:dyDescent="0.35">
      <c r="D73" s="398"/>
      <c r="E73" s="669" t="s">
        <v>75</v>
      </c>
      <c r="F73" s="669"/>
      <c r="G73" s="669"/>
      <c r="H73" s="669"/>
      <c r="I73" s="399" t="s">
        <v>74</v>
      </c>
      <c r="J73" s="400"/>
      <c r="K73" s="670" t="s">
        <v>37</v>
      </c>
      <c r="L73" s="670"/>
      <c r="M73" s="401"/>
      <c r="N73" s="402" t="s">
        <v>73</v>
      </c>
      <c r="O73" s="403"/>
      <c r="T73" s="294"/>
      <c r="U73" s="296">
        <f t="shared" si="3"/>
        <v>44018</v>
      </c>
      <c r="V73" s="6"/>
      <c r="W73" s="297">
        <v>581179</v>
      </c>
      <c r="X73" s="6"/>
      <c r="Y73" s="44">
        <v>0.192</v>
      </c>
      <c r="Z73" s="6"/>
      <c r="AA73" s="298">
        <f t="shared" si="5"/>
        <v>-11355</v>
      </c>
      <c r="AB73" s="6"/>
      <c r="AC73" s="302"/>
      <c r="AD73" s="295"/>
    </row>
    <row r="74" spans="4:30" x14ac:dyDescent="0.3">
      <c r="D74" s="404"/>
      <c r="E74" s="405" t="s">
        <v>43</v>
      </c>
      <c r="F74" s="406"/>
      <c r="G74" s="405"/>
      <c r="H74" s="405"/>
      <c r="I74" s="407">
        <v>38828</v>
      </c>
      <c r="J74" s="407"/>
      <c r="K74" s="408"/>
      <c r="L74" s="408"/>
      <c r="M74" s="408"/>
      <c r="N74" s="408"/>
      <c r="O74" s="409"/>
      <c r="T74" s="294"/>
      <c r="U74" s="296">
        <f t="shared" si="3"/>
        <v>44019</v>
      </c>
      <c r="V74" s="6"/>
      <c r="W74" s="297">
        <v>606840</v>
      </c>
      <c r="X74" s="6"/>
      <c r="Y74" s="44">
        <v>0.19600000000000001</v>
      </c>
      <c r="Z74" s="6"/>
      <c r="AA74" s="298">
        <f t="shared" si="5"/>
        <v>-25661</v>
      </c>
      <c r="AB74" s="6"/>
      <c r="AC74" s="302"/>
      <c r="AD74" s="295"/>
    </row>
    <row r="75" spans="4:30" x14ac:dyDescent="0.3">
      <c r="D75" s="404"/>
      <c r="E75" s="405" t="s">
        <v>44</v>
      </c>
      <c r="F75" s="405" t="s">
        <v>4</v>
      </c>
      <c r="G75" s="405"/>
      <c r="H75" s="405"/>
      <c r="I75" s="407">
        <v>2144</v>
      </c>
      <c r="J75" s="407"/>
      <c r="K75" s="408"/>
      <c r="L75" s="408"/>
      <c r="M75" s="408"/>
      <c r="N75" s="408"/>
      <c r="O75" s="409"/>
      <c r="T75" s="294"/>
      <c r="U75" s="296">
        <f t="shared" si="3"/>
        <v>44020</v>
      </c>
      <c r="V75" s="6"/>
      <c r="W75" s="297">
        <v>621347</v>
      </c>
      <c r="X75" s="6"/>
      <c r="Y75" s="44">
        <v>0.19700000000000001</v>
      </c>
      <c r="Z75" s="6"/>
      <c r="AA75" s="298">
        <f t="shared" si="5"/>
        <v>-14507</v>
      </c>
      <c r="AB75" s="6"/>
      <c r="AC75" s="302"/>
      <c r="AD75" s="295"/>
    </row>
    <row r="76" spans="4:30" x14ac:dyDescent="0.3">
      <c r="D76" s="404"/>
      <c r="E76" s="405"/>
      <c r="F76" s="405" t="s">
        <v>45</v>
      </c>
      <c r="G76" s="405"/>
      <c r="H76" s="405"/>
      <c r="I76" s="410"/>
      <c r="J76" s="407"/>
      <c r="K76" s="408"/>
      <c r="L76" s="407"/>
      <c r="M76" s="408"/>
      <c r="N76" s="411"/>
      <c r="O76" s="409"/>
      <c r="T76" s="294"/>
      <c r="U76" s="296">
        <f t="shared" si="3"/>
        <v>44021</v>
      </c>
      <c r="V76" s="6"/>
      <c r="W76" s="297">
        <v>639107</v>
      </c>
      <c r="X76" s="6"/>
      <c r="Y76" s="44">
        <v>0.19800000000000001</v>
      </c>
      <c r="Z76" s="6"/>
      <c r="AA76" s="298">
        <f t="shared" si="5"/>
        <v>-17760</v>
      </c>
      <c r="AB76" s="6"/>
      <c r="AC76" s="302"/>
      <c r="AD76" s="295"/>
    </row>
    <row r="77" spans="4:30" x14ac:dyDescent="0.3">
      <c r="D77" s="404"/>
      <c r="E77" s="405"/>
      <c r="F77" s="412" t="s">
        <v>70</v>
      </c>
      <c r="G77" s="412"/>
      <c r="H77" s="412"/>
      <c r="I77" s="407">
        <f>+I74-I75-I76</f>
        <v>36684</v>
      </c>
      <c r="J77" s="407"/>
      <c r="K77" s="408"/>
      <c r="L77" s="408"/>
      <c r="M77" s="408"/>
      <c r="N77" s="408"/>
      <c r="O77" s="409"/>
      <c r="T77" s="294"/>
      <c r="U77" s="296">
        <f t="shared" si="3"/>
        <v>44022</v>
      </c>
      <c r="V77" s="6"/>
      <c r="W77" s="297">
        <v>670486</v>
      </c>
      <c r="X77" s="6"/>
      <c r="Y77" s="44">
        <v>0.20399999999999999</v>
      </c>
      <c r="Z77" s="6"/>
      <c r="AA77" s="298">
        <f t="shared" si="5"/>
        <v>-31379</v>
      </c>
      <c r="AB77" s="6"/>
      <c r="AC77" s="302"/>
      <c r="AD77" s="295"/>
    </row>
    <row r="78" spans="4:30" x14ac:dyDescent="0.3">
      <c r="D78" s="404"/>
      <c r="E78" s="405" t="s">
        <v>77</v>
      </c>
      <c r="F78" s="16"/>
      <c r="G78" s="16"/>
      <c r="H78" s="16"/>
      <c r="I78" s="410">
        <f>+'Main Table'!AO205</f>
        <v>0</v>
      </c>
      <c r="J78" s="407"/>
      <c r="K78" s="408"/>
      <c r="L78" s="408"/>
      <c r="M78" s="408"/>
      <c r="N78" s="408"/>
      <c r="O78" s="409"/>
      <c r="T78" s="294"/>
      <c r="U78" s="296">
        <f t="shared" si="3"/>
        <v>44023</v>
      </c>
      <c r="V78" s="6"/>
      <c r="W78" s="297">
        <v>687513</v>
      </c>
      <c r="X78" s="6"/>
      <c r="Y78" s="44">
        <v>0.20499999999999999</v>
      </c>
      <c r="Z78" s="6"/>
      <c r="AA78" s="298">
        <f t="shared" si="5"/>
        <v>-17027</v>
      </c>
      <c r="AB78" s="6"/>
      <c r="AC78" s="302"/>
      <c r="AD78" s="295"/>
    </row>
    <row r="79" spans="4:30" x14ac:dyDescent="0.3">
      <c r="D79" s="671" t="s">
        <v>49</v>
      </c>
      <c r="E79" s="672"/>
      <c r="F79" s="672"/>
      <c r="G79" s="672"/>
      <c r="H79" s="672"/>
      <c r="I79" s="413">
        <f>+I77-I78</f>
        <v>36684</v>
      </c>
      <c r="J79" s="407"/>
      <c r="K79" s="408"/>
      <c r="L79" s="408"/>
      <c r="M79" s="408"/>
      <c r="N79" s="408"/>
      <c r="O79" s="409"/>
      <c r="T79" s="294"/>
      <c r="U79" s="296">
        <f t="shared" si="3"/>
        <v>44024</v>
      </c>
      <c r="V79" s="6"/>
      <c r="W79" s="297">
        <v>699823</v>
      </c>
      <c r="X79" s="6"/>
      <c r="Y79" s="44">
        <v>0.20499999999999999</v>
      </c>
      <c r="Z79" s="6"/>
      <c r="AA79" s="298">
        <f t="shared" si="5"/>
        <v>-12310</v>
      </c>
      <c r="AB79" s="6"/>
      <c r="AC79" s="302"/>
      <c r="AD79" s="295"/>
    </row>
    <row r="80" spans="4:30" x14ac:dyDescent="0.3">
      <c r="D80" s="404"/>
      <c r="E80" s="405" t="s">
        <v>71</v>
      </c>
      <c r="F80" s="16"/>
      <c r="G80" s="16"/>
      <c r="H80" s="16"/>
      <c r="I80" s="410">
        <f>+I78</f>
        <v>0</v>
      </c>
      <c r="J80" s="407"/>
      <c r="K80" s="408"/>
      <c r="L80" s="408"/>
      <c r="M80" s="408"/>
      <c r="N80" s="408"/>
      <c r="O80" s="409"/>
      <c r="T80" s="294"/>
      <c r="U80" s="296">
        <f t="shared" si="3"/>
        <v>44025</v>
      </c>
      <c r="V80" s="6"/>
      <c r="W80" s="297">
        <v>716467</v>
      </c>
      <c r="X80" s="6"/>
      <c r="Y80" s="44">
        <v>0.20599999999999999</v>
      </c>
      <c r="Z80" s="6"/>
      <c r="AA80" s="298">
        <f t="shared" si="5"/>
        <v>-16644</v>
      </c>
      <c r="AB80" s="6"/>
      <c r="AC80" s="302"/>
      <c r="AD80" s="295"/>
    </row>
    <row r="81" spans="3:30" ht="15" thickBot="1" x14ac:dyDescent="0.35">
      <c r="D81" s="671" t="s">
        <v>46</v>
      </c>
      <c r="E81" s="672"/>
      <c r="F81" s="672"/>
      <c r="G81" s="672"/>
      <c r="H81" s="672"/>
      <c r="I81" s="414">
        <f>+I79+I80</f>
        <v>36684</v>
      </c>
      <c r="J81" s="407"/>
      <c r="K81" s="674">
        <v>48675</v>
      </c>
      <c r="L81" s="674"/>
      <c r="M81" s="408"/>
      <c r="N81" s="415">
        <f>+K81-I81</f>
        <v>11991</v>
      </c>
      <c r="O81" s="409"/>
      <c r="S81" s="57"/>
      <c r="T81" s="294"/>
      <c r="U81" s="296">
        <f t="shared" si="3"/>
        <v>44026</v>
      </c>
      <c r="V81" s="6"/>
      <c r="W81" s="297">
        <v>720448</v>
      </c>
      <c r="X81" s="6"/>
      <c r="Y81" s="44">
        <v>0.20300000000000001</v>
      </c>
      <c r="Z81" s="6"/>
      <c r="AA81" s="298">
        <f t="shared" si="5"/>
        <v>-3981</v>
      </c>
      <c r="AB81" s="6"/>
      <c r="AC81" s="302"/>
      <c r="AD81" s="295"/>
    </row>
    <row r="82" spans="3:30" ht="15.6" thickTop="1" thickBot="1" x14ac:dyDescent="0.35">
      <c r="D82" s="416"/>
      <c r="E82" s="673" t="s">
        <v>69</v>
      </c>
      <c r="F82" s="673"/>
      <c r="G82" s="673"/>
      <c r="H82" s="412"/>
      <c r="I82" s="417">
        <f>+I81/K81</f>
        <v>0.75365177195685673</v>
      </c>
      <c r="J82" s="408"/>
      <c r="K82" s="408"/>
      <c r="L82" s="408"/>
      <c r="M82" s="408"/>
      <c r="N82" s="418">
        <f>+N81/K81</f>
        <v>0.2463482280431433</v>
      </c>
      <c r="O82" s="409"/>
      <c r="T82" s="294"/>
      <c r="U82" s="296">
        <f t="shared" si="3"/>
        <v>44027</v>
      </c>
      <c r="V82" s="6"/>
      <c r="W82" s="297">
        <v>734229</v>
      </c>
      <c r="X82" s="6"/>
      <c r="Y82" s="44">
        <v>0.20300000000000001</v>
      </c>
      <c r="Z82" s="6"/>
      <c r="AA82" s="298">
        <f t="shared" ref="AA82" si="6">+W81-W82</f>
        <v>-13781</v>
      </c>
      <c r="AB82" s="6"/>
      <c r="AC82" s="302"/>
      <c r="AD82" s="295"/>
    </row>
    <row r="83" spans="3:30" ht="15.6" thickTop="1" thickBot="1" x14ac:dyDescent="0.35">
      <c r="D83" s="419"/>
      <c r="E83" s="420"/>
      <c r="F83" s="420"/>
      <c r="G83" s="420"/>
      <c r="H83" s="420"/>
      <c r="I83" s="421"/>
      <c r="J83" s="422"/>
      <c r="K83" s="423"/>
      <c r="L83" s="423"/>
      <c r="M83" s="423"/>
      <c r="N83" s="423"/>
      <c r="O83" s="424"/>
      <c r="T83" s="294"/>
      <c r="U83" s="296">
        <f t="shared" si="3"/>
        <v>44028</v>
      </c>
      <c r="V83" s="6"/>
      <c r="W83" s="297">
        <v>761026</v>
      </c>
      <c r="X83" s="6"/>
      <c r="Y83" s="44">
        <v>0.20599999999999999</v>
      </c>
      <c r="Z83" s="6"/>
      <c r="AA83" s="298">
        <f t="shared" ref="AA83" si="7">+W82-W83</f>
        <v>-26797</v>
      </c>
      <c r="AB83" s="6"/>
      <c r="AC83" s="302"/>
      <c r="AD83" s="295"/>
    </row>
    <row r="84" spans="3:30" x14ac:dyDescent="0.3">
      <c r="C84" s="61"/>
      <c r="D84" s="90"/>
      <c r="E84" s="152"/>
      <c r="F84" s="152"/>
      <c r="G84" s="152"/>
      <c r="H84" s="152"/>
      <c r="I84" s="162"/>
      <c r="J84" s="532"/>
      <c r="K84" s="533"/>
      <c r="L84" s="533"/>
      <c r="M84" s="533"/>
      <c r="N84" s="533"/>
      <c r="O84" s="110"/>
      <c r="P84" s="61"/>
      <c r="T84" s="294"/>
      <c r="U84" s="296">
        <f t="shared" si="3"/>
        <v>44029</v>
      </c>
      <c r="V84" s="6"/>
      <c r="W84" s="297">
        <v>791691</v>
      </c>
      <c r="X84" s="6"/>
      <c r="Y84" s="44">
        <v>0.21</v>
      </c>
      <c r="Z84" s="6"/>
      <c r="AA84" s="298">
        <f t="shared" ref="AA84" si="8">+W83-W84</f>
        <v>-30665</v>
      </c>
      <c r="AB84" s="6"/>
      <c r="AC84" s="302"/>
      <c r="AD84" s="295"/>
    </row>
    <row r="85" spans="3:30" x14ac:dyDescent="0.3">
      <c r="C85" s="61"/>
      <c r="D85" s="90"/>
      <c r="E85" s="152"/>
      <c r="F85" s="152"/>
      <c r="G85" s="152"/>
      <c r="H85" s="152"/>
      <c r="I85" s="162"/>
      <c r="J85" s="532"/>
      <c r="K85" s="533"/>
      <c r="L85" s="533"/>
      <c r="M85" s="533"/>
      <c r="N85" s="533"/>
      <c r="O85" s="110"/>
      <c r="P85" s="61"/>
      <c r="T85" s="294"/>
      <c r="U85" s="296">
        <f t="shared" si="3"/>
        <v>44030</v>
      </c>
      <c r="V85" s="6"/>
      <c r="W85" s="297">
        <v>801338</v>
      </c>
      <c r="X85" s="6"/>
      <c r="Y85" s="44">
        <v>0.20899999999999999</v>
      </c>
      <c r="Z85" s="6"/>
      <c r="AA85" s="298">
        <f t="shared" ref="AA85" si="9">+W84-W85</f>
        <v>-9647</v>
      </c>
      <c r="AB85" s="6"/>
      <c r="AC85" s="302"/>
      <c r="AD85" s="295"/>
    </row>
    <row r="86" spans="3:30" x14ac:dyDescent="0.3">
      <c r="C86" s="61"/>
      <c r="D86" s="90"/>
      <c r="E86" s="152"/>
      <c r="F86" s="152"/>
      <c r="G86" s="152"/>
      <c r="H86" s="152"/>
      <c r="I86" s="162"/>
      <c r="J86" s="532"/>
      <c r="K86" s="533"/>
      <c r="L86" s="533"/>
      <c r="M86" s="533"/>
      <c r="N86" s="533"/>
      <c r="O86" s="110"/>
      <c r="P86" s="61"/>
      <c r="T86" s="294"/>
      <c r="U86" s="296">
        <f t="shared" si="3"/>
        <v>44031</v>
      </c>
      <c r="V86" s="6"/>
      <c r="W86" s="297">
        <v>811067</v>
      </c>
      <c r="X86" s="6"/>
      <c r="Y86" s="44">
        <v>0.20799999999999999</v>
      </c>
      <c r="Z86" s="6"/>
      <c r="AA86" s="298">
        <f t="shared" ref="AA86" si="10">+W85-W86</f>
        <v>-9729</v>
      </c>
      <c r="AB86" s="6"/>
      <c r="AC86" s="302"/>
      <c r="AD86" s="295"/>
    </row>
    <row r="87" spans="3:30" x14ac:dyDescent="0.3">
      <c r="C87" s="61"/>
      <c r="D87" s="90"/>
      <c r="E87" s="152"/>
      <c r="F87" s="152"/>
      <c r="G87" s="152"/>
      <c r="H87" s="152"/>
      <c r="I87" s="162"/>
      <c r="J87" s="532"/>
      <c r="K87" s="533"/>
      <c r="L87" s="533"/>
      <c r="M87" s="533"/>
      <c r="N87" s="533"/>
      <c r="O87" s="110"/>
      <c r="P87" s="61"/>
      <c r="T87" s="294"/>
      <c r="U87" s="296">
        <f t="shared" si="3"/>
        <v>44032</v>
      </c>
      <c r="V87" s="6"/>
      <c r="W87" s="297">
        <v>792871</v>
      </c>
      <c r="X87" s="6"/>
      <c r="Y87" s="44">
        <v>0.2</v>
      </c>
      <c r="Z87" s="6"/>
      <c r="AA87" s="298">
        <f t="shared" ref="AA87" si="11">+W86-W87</f>
        <v>18196</v>
      </c>
      <c r="AB87" s="6"/>
      <c r="AC87" s="302"/>
      <c r="AD87" s="295"/>
    </row>
    <row r="88" spans="3:30" x14ac:dyDescent="0.3">
      <c r="C88" s="61"/>
      <c r="D88" s="90"/>
      <c r="E88" s="152"/>
      <c r="F88" s="152"/>
      <c r="G88" s="152"/>
      <c r="H88" s="152"/>
      <c r="I88" s="162"/>
      <c r="J88" s="532"/>
      <c r="K88" s="533"/>
      <c r="L88" s="533"/>
      <c r="M88" s="533"/>
      <c r="N88" s="533"/>
      <c r="O88" s="110"/>
      <c r="P88" s="61"/>
      <c r="T88" s="294"/>
      <c r="U88" s="296">
        <f t="shared" si="3"/>
        <v>44033</v>
      </c>
      <c r="V88" s="6"/>
      <c r="W88" s="297">
        <v>747251</v>
      </c>
      <c r="X88" s="6"/>
      <c r="Y88" s="44">
        <v>0.185</v>
      </c>
      <c r="Z88" s="6"/>
      <c r="AA88" s="298">
        <f t="shared" ref="AA88" si="12">+W87-W88</f>
        <v>45620</v>
      </c>
      <c r="AB88" s="6"/>
      <c r="AC88" s="302"/>
      <c r="AD88" s="295"/>
    </row>
    <row r="89" spans="3:30" x14ac:dyDescent="0.3">
      <c r="C89" s="61"/>
      <c r="D89" s="90"/>
      <c r="E89" s="152"/>
      <c r="F89" s="152"/>
      <c r="G89" s="152"/>
      <c r="H89" s="152"/>
      <c r="I89" s="162"/>
      <c r="J89" s="532"/>
      <c r="K89" s="533"/>
      <c r="L89" s="533"/>
      <c r="M89" s="533"/>
      <c r="N89" s="533"/>
      <c r="O89" s="110"/>
      <c r="P89" s="61"/>
      <c r="T89" s="294"/>
      <c r="U89" s="296">
        <f t="shared" si="3"/>
        <v>44034</v>
      </c>
      <c r="V89" s="6"/>
      <c r="W89" s="297">
        <v>757520</v>
      </c>
      <c r="X89" s="6"/>
      <c r="Y89" s="44">
        <v>0.185</v>
      </c>
      <c r="Z89" s="6"/>
      <c r="AA89" s="298">
        <f t="shared" ref="AA89" si="13">+W88-W89</f>
        <v>-10269</v>
      </c>
      <c r="AB89" s="6"/>
      <c r="AC89" s="302"/>
      <c r="AD89" s="295"/>
    </row>
    <row r="90" spans="3:30" x14ac:dyDescent="0.3">
      <c r="C90" s="61"/>
      <c r="D90" s="90"/>
      <c r="E90" s="152"/>
      <c r="F90" s="152"/>
      <c r="G90" s="152"/>
      <c r="H90" s="152"/>
      <c r="I90" s="162"/>
      <c r="J90" s="532"/>
      <c r="K90" s="533"/>
      <c r="L90" s="533"/>
      <c r="M90" s="533"/>
      <c r="N90" s="533"/>
      <c r="O90" s="110"/>
      <c r="P90" s="61"/>
      <c r="T90" s="294"/>
      <c r="U90" s="296">
        <f t="shared" si="3"/>
        <v>44035</v>
      </c>
      <c r="V90" s="6"/>
      <c r="W90" s="297">
        <v>770711</v>
      </c>
      <c r="X90" s="6"/>
      <c r="Y90" s="44">
        <v>0.185</v>
      </c>
      <c r="Z90" s="6"/>
      <c r="AA90" s="298">
        <f t="shared" ref="AA90" si="14">+W89-W90</f>
        <v>-13191</v>
      </c>
      <c r="AB90" s="6"/>
      <c r="AC90" s="302"/>
      <c r="AD90" s="295"/>
    </row>
    <row r="91" spans="3:30" x14ac:dyDescent="0.3">
      <c r="C91" s="61"/>
      <c r="D91" s="90"/>
      <c r="E91" s="152"/>
      <c r="F91" s="152"/>
      <c r="G91" s="152"/>
      <c r="H91" s="152"/>
      <c r="I91" s="162"/>
      <c r="J91" s="532"/>
      <c r="K91" s="533"/>
      <c r="L91" s="533"/>
      <c r="M91" s="533"/>
      <c r="N91" s="533"/>
      <c r="O91" s="110"/>
      <c r="P91" s="61"/>
      <c r="T91" s="294"/>
      <c r="U91" s="296">
        <f t="shared" si="3"/>
        <v>44036</v>
      </c>
      <c r="V91" s="6"/>
      <c r="W91" s="297">
        <v>783144</v>
      </c>
      <c r="X91" s="6"/>
      <c r="Y91" s="44">
        <v>0.184</v>
      </c>
      <c r="Z91" s="6"/>
      <c r="AA91" s="298">
        <f t="shared" ref="AA91" si="15">+W90-W91</f>
        <v>-12433</v>
      </c>
      <c r="AB91" s="6"/>
      <c r="AC91" s="302"/>
      <c r="AD91" s="295"/>
    </row>
    <row r="92" spans="3:30" x14ac:dyDescent="0.3">
      <c r="O92" s="110"/>
      <c r="T92" s="294"/>
      <c r="U92" s="296">
        <f t="shared" si="3"/>
        <v>44037</v>
      </c>
      <c r="V92" s="6"/>
      <c r="W92" s="297">
        <v>784395</v>
      </c>
      <c r="X92" s="6"/>
      <c r="Y92" s="44">
        <v>0.182</v>
      </c>
      <c r="Z92" s="6"/>
      <c r="AA92" s="298">
        <f t="shared" ref="AA92" si="16">+W91-W92</f>
        <v>-1251</v>
      </c>
      <c r="AB92" s="6"/>
      <c r="AC92" s="302"/>
      <c r="AD92" s="295"/>
    </row>
    <row r="93" spans="3:30" x14ac:dyDescent="0.3">
      <c r="O93" s="110"/>
      <c r="T93" s="294"/>
      <c r="U93" s="296">
        <f t="shared" si="3"/>
        <v>44038</v>
      </c>
      <c r="V93" s="6"/>
      <c r="W93" s="297">
        <v>768522</v>
      </c>
      <c r="X93" s="6"/>
      <c r="Y93" s="44">
        <v>0.17599999999999999</v>
      </c>
      <c r="Z93" s="6"/>
      <c r="AA93" s="298">
        <f t="shared" ref="AA93" si="17">+W92-W93</f>
        <v>15873</v>
      </c>
      <c r="AB93" s="6"/>
      <c r="AC93" s="302"/>
      <c r="AD93" s="295"/>
    </row>
    <row r="94" spans="3:30" x14ac:dyDescent="0.3">
      <c r="O94" s="110"/>
      <c r="T94" s="294"/>
      <c r="U94" s="296">
        <f t="shared" si="3"/>
        <v>44039</v>
      </c>
      <c r="V94" s="6"/>
      <c r="W94" s="297">
        <v>757532</v>
      </c>
      <c r="X94" s="6"/>
      <c r="Y94" s="44">
        <v>0.17100000000000001</v>
      </c>
      <c r="Z94" s="6"/>
      <c r="AA94" s="298">
        <f t="shared" ref="AA94" si="18">+W93-W94</f>
        <v>10990</v>
      </c>
      <c r="AB94" s="6"/>
      <c r="AC94" s="302"/>
      <c r="AD94" s="295"/>
    </row>
    <row r="95" spans="3:30" x14ac:dyDescent="0.3">
      <c r="O95" s="110"/>
      <c r="T95" s="294"/>
      <c r="U95" s="296">
        <f t="shared" si="3"/>
        <v>44040</v>
      </c>
      <c r="V95" s="6"/>
      <c r="W95" s="297">
        <v>747119</v>
      </c>
      <c r="X95" s="6"/>
      <c r="Y95" s="44">
        <v>0.16600000000000001</v>
      </c>
      <c r="Z95" s="6"/>
      <c r="AA95" s="298">
        <f t="shared" ref="AA95" si="19">+W94-W95</f>
        <v>10413</v>
      </c>
      <c r="AB95" s="6"/>
      <c r="AC95" s="302"/>
      <c r="AD95" s="295"/>
    </row>
    <row r="96" spans="3:30" x14ac:dyDescent="0.3">
      <c r="O96" s="110"/>
      <c r="T96" s="294"/>
      <c r="U96" s="296">
        <f t="shared" si="3"/>
        <v>44041</v>
      </c>
      <c r="V96" s="6"/>
      <c r="W96" s="297">
        <v>750781</v>
      </c>
      <c r="X96" s="6"/>
      <c r="Y96" s="44">
        <v>0.16400000000000001</v>
      </c>
      <c r="Z96" s="6"/>
      <c r="AA96" s="298">
        <f t="shared" ref="AA96" si="20">+W95-W96</f>
        <v>-3662</v>
      </c>
      <c r="AB96" s="6"/>
      <c r="AC96" s="302"/>
      <c r="AD96" s="295"/>
    </row>
    <row r="97" spans="15:30" x14ac:dyDescent="0.3">
      <c r="O97" s="110"/>
      <c r="T97" s="294"/>
      <c r="U97" s="296">
        <f t="shared" si="3"/>
        <v>44042</v>
      </c>
      <c r="V97" s="6"/>
      <c r="W97" s="297">
        <v>753862</v>
      </c>
      <c r="X97" s="6"/>
      <c r="Y97" s="44">
        <v>0.16300000000000001</v>
      </c>
      <c r="Z97" s="6"/>
      <c r="AA97" s="298">
        <f t="shared" ref="AA97" si="21">+W96-W97</f>
        <v>-3081</v>
      </c>
      <c r="AB97" s="6"/>
      <c r="AC97" s="302"/>
      <c r="AD97" s="295"/>
    </row>
    <row r="98" spans="15:30" x14ac:dyDescent="0.3">
      <c r="O98" s="110"/>
      <c r="T98" s="294"/>
      <c r="U98" s="296">
        <f t="shared" si="3"/>
        <v>44043</v>
      </c>
      <c r="V98" s="6"/>
      <c r="W98" s="297">
        <v>761970</v>
      </c>
      <c r="X98" s="6"/>
      <c r="Y98" s="44">
        <v>0.16200000000000001</v>
      </c>
      <c r="Z98" s="6"/>
      <c r="AA98" s="298">
        <f t="shared" ref="AA98" si="22">+W97-W98</f>
        <v>-8108</v>
      </c>
      <c r="AB98" s="6"/>
      <c r="AC98" s="302"/>
      <c r="AD98" s="295"/>
    </row>
    <row r="99" spans="15:30" x14ac:dyDescent="0.3">
      <c r="O99" s="110"/>
      <c r="T99" s="294"/>
      <c r="U99" s="296">
        <f t="shared" si="3"/>
        <v>44044</v>
      </c>
      <c r="V99" s="6"/>
      <c r="W99" s="297">
        <v>753065</v>
      </c>
      <c r="X99" s="6"/>
      <c r="Y99" s="44">
        <v>0.158</v>
      </c>
      <c r="Z99" s="6"/>
      <c r="AA99" s="298">
        <f t="shared" ref="AA99" si="23">+W98-W99</f>
        <v>8905</v>
      </c>
      <c r="AB99" s="6"/>
      <c r="AC99" s="302"/>
      <c r="AD99" s="295"/>
    </row>
    <row r="100" spans="15:30" x14ac:dyDescent="0.3">
      <c r="O100" s="110"/>
      <c r="T100" s="294"/>
      <c r="U100" s="296">
        <f t="shared" si="3"/>
        <v>44045</v>
      </c>
      <c r="V100" s="6"/>
      <c r="W100" s="297">
        <v>730039</v>
      </c>
      <c r="X100" s="6"/>
      <c r="Y100" s="44">
        <v>0.152</v>
      </c>
      <c r="Z100" s="6"/>
      <c r="AA100" s="298">
        <f t="shared" ref="AA100" si="24">+W99-W100</f>
        <v>23026</v>
      </c>
      <c r="AB100" s="6"/>
      <c r="AC100" s="302"/>
      <c r="AD100" s="295"/>
    </row>
    <row r="101" spans="15:30" x14ac:dyDescent="0.3">
      <c r="O101" s="110"/>
      <c r="T101" s="294"/>
      <c r="U101" s="296">
        <f t="shared" si="3"/>
        <v>44046</v>
      </c>
      <c r="V101" s="6"/>
      <c r="W101" s="297">
        <f>+I$36</f>
        <v>709320</v>
      </c>
      <c r="X101" s="6"/>
      <c r="Y101" s="44">
        <f>+L$36</f>
        <v>0.14592320413881096</v>
      </c>
      <c r="Z101" s="6"/>
      <c r="AA101" s="298">
        <f t="shared" ref="AA101" si="25">+W100-W101</f>
        <v>20719</v>
      </c>
      <c r="AB101" s="6"/>
      <c r="AC101" s="302"/>
      <c r="AD101" s="295"/>
    </row>
    <row r="102" spans="15:30" x14ac:dyDescent="0.3">
      <c r="O102" s="110"/>
      <c r="T102" s="294"/>
      <c r="U102" s="296">
        <f t="shared" si="3"/>
        <v>44047</v>
      </c>
      <c r="V102" s="6"/>
      <c r="W102" s="297"/>
      <c r="X102" s="6"/>
      <c r="Y102" s="44"/>
      <c r="Z102" s="6"/>
      <c r="AA102" s="298"/>
      <c r="AB102" s="6"/>
      <c r="AC102" s="302"/>
      <c r="AD102" s="295"/>
    </row>
    <row r="103" spans="15:30" x14ac:dyDescent="0.3">
      <c r="O103" s="110"/>
      <c r="T103" s="294"/>
      <c r="U103" s="296">
        <f t="shared" si="3"/>
        <v>44048</v>
      </c>
      <c r="V103" s="6"/>
      <c r="W103" s="297"/>
      <c r="X103" s="6"/>
      <c r="Y103" s="44"/>
      <c r="Z103" s="6"/>
      <c r="AA103" s="298"/>
      <c r="AB103" s="6"/>
      <c r="AC103" s="302"/>
      <c r="AD103" s="295"/>
    </row>
    <row r="104" spans="15:30" x14ac:dyDescent="0.3">
      <c r="O104" s="110"/>
      <c r="T104" s="294"/>
      <c r="U104" s="296">
        <f t="shared" si="3"/>
        <v>44049</v>
      </c>
      <c r="V104" s="6"/>
      <c r="W104" s="297"/>
      <c r="X104" s="6"/>
      <c r="Y104" s="44"/>
      <c r="Z104" s="6"/>
      <c r="AA104" s="298"/>
      <c r="AB104" s="6"/>
      <c r="AC104" s="302"/>
      <c r="AD104" s="295"/>
    </row>
    <row r="105" spans="15:30" x14ac:dyDescent="0.3">
      <c r="O105" s="110"/>
      <c r="T105" s="294"/>
      <c r="U105" s="296">
        <f t="shared" si="3"/>
        <v>44050</v>
      </c>
      <c r="V105" s="6"/>
      <c r="W105" s="297"/>
      <c r="X105" s="6"/>
      <c r="Y105" s="44"/>
      <c r="Z105" s="6"/>
      <c r="AA105" s="298"/>
      <c r="AB105" s="6"/>
      <c r="AC105" s="302"/>
      <c r="AD105" s="295"/>
    </row>
    <row r="106" spans="15:30" x14ac:dyDescent="0.3">
      <c r="O106" s="110"/>
      <c r="T106" s="294"/>
      <c r="U106" s="296">
        <f t="shared" si="3"/>
        <v>44051</v>
      </c>
      <c r="V106" s="6"/>
      <c r="W106" s="297"/>
      <c r="X106" s="6"/>
      <c r="Y106" s="44"/>
      <c r="Z106" s="6"/>
      <c r="AA106" s="298"/>
      <c r="AB106" s="6"/>
      <c r="AC106" s="302"/>
      <c r="AD106" s="295"/>
    </row>
    <row r="107" spans="15:30" x14ac:dyDescent="0.3">
      <c r="O107" s="110"/>
      <c r="T107" s="294"/>
      <c r="U107" s="296">
        <f t="shared" si="3"/>
        <v>44052</v>
      </c>
      <c r="V107" s="6"/>
      <c r="W107" s="297"/>
      <c r="X107" s="6"/>
      <c r="Y107" s="44"/>
      <c r="Z107" s="6"/>
      <c r="AA107" s="298"/>
      <c r="AB107" s="6"/>
      <c r="AC107" s="302"/>
      <c r="AD107" s="295"/>
    </row>
    <row r="108" spans="15:30" x14ac:dyDescent="0.3">
      <c r="O108" s="110"/>
      <c r="T108" s="294"/>
      <c r="U108" s="296">
        <f t="shared" si="3"/>
        <v>44053</v>
      </c>
      <c r="V108" s="6"/>
      <c r="W108" s="297"/>
      <c r="X108" s="6"/>
      <c r="Y108" s="44"/>
      <c r="Z108" s="6"/>
      <c r="AA108" s="298"/>
      <c r="AB108" s="6"/>
      <c r="AC108" s="302"/>
      <c r="AD108" s="295"/>
    </row>
    <row r="109" spans="15:30" ht="15" thickBot="1" x14ac:dyDescent="0.35">
      <c r="O109" s="110"/>
      <c r="T109" s="299"/>
      <c r="U109" s="394">
        <f t="shared" si="3"/>
        <v>44054</v>
      </c>
      <c r="V109" s="291"/>
      <c r="W109" s="395"/>
      <c r="X109" s="291"/>
      <c r="Y109" s="300"/>
      <c r="Z109" s="291"/>
      <c r="AA109" s="396"/>
      <c r="AB109" s="291"/>
      <c r="AC109" s="397"/>
      <c r="AD109" s="301"/>
    </row>
    <row r="110" spans="15:30" x14ac:dyDescent="0.3">
      <c r="O110" s="110"/>
    </row>
    <row r="111" spans="15:30" x14ac:dyDescent="0.3">
      <c r="O111" s="110"/>
      <c r="P111" s="57">
        <f>+I129/I116</f>
        <v>4.5847474526762295E-4</v>
      </c>
      <c r="Q111" s="57"/>
      <c r="R111" s="57"/>
    </row>
    <row r="112" spans="15:30" x14ac:dyDescent="0.3">
      <c r="O112" s="110"/>
    </row>
    <row r="113" spans="4:36" ht="15" thickBot="1" x14ac:dyDescent="0.35">
      <c r="O113" s="110"/>
    </row>
    <row r="114" spans="4:36" ht="15.6" thickTop="1" thickBot="1" x14ac:dyDescent="0.35">
      <c r="Q114" s="485"/>
      <c r="R114" s="486"/>
      <c r="S114" s="486"/>
      <c r="T114" s="486"/>
      <c r="U114" s="486"/>
      <c r="V114" s="486"/>
      <c r="W114" s="486"/>
      <c r="X114" s="486"/>
      <c r="Y114" s="486"/>
      <c r="Z114" s="486"/>
      <c r="AA114" s="486"/>
      <c r="AB114" s="487"/>
    </row>
    <row r="115" spans="4:36" ht="15" thickBot="1" x14ac:dyDescent="0.35">
      <c r="E115" s="653" t="s">
        <v>119</v>
      </c>
      <c r="F115" s="654"/>
      <c r="G115" s="654"/>
      <c r="H115" s="654"/>
      <c r="I115" s="654"/>
      <c r="J115" s="654"/>
      <c r="K115" s="654"/>
      <c r="L115" s="654"/>
      <c r="M115" s="655"/>
      <c r="Q115" s="488"/>
      <c r="R115" s="6"/>
      <c r="S115" s="6"/>
      <c r="T115" s="6"/>
      <c r="U115" s="5" t="s">
        <v>146</v>
      </c>
      <c r="V115" s="5"/>
      <c r="W115" s="5"/>
      <c r="X115" s="5"/>
      <c r="Y115" s="5"/>
      <c r="Z115" s="5"/>
      <c r="AA115" s="5" t="s">
        <v>30</v>
      </c>
      <c r="AB115" s="489"/>
    </row>
    <row r="116" spans="4:36" x14ac:dyDescent="0.3">
      <c r="E116" s="439"/>
      <c r="F116" s="440" t="s">
        <v>120</v>
      </c>
      <c r="G116" s="440"/>
      <c r="H116" s="440"/>
      <c r="I116" s="656">
        <v>21477737</v>
      </c>
      <c r="J116" s="656"/>
      <c r="K116" s="656"/>
      <c r="L116" s="656"/>
      <c r="M116" s="441"/>
      <c r="Q116" s="488"/>
      <c r="R116" s="481" t="s">
        <v>148</v>
      </c>
      <c r="S116" s="6"/>
      <c r="T116" s="6"/>
      <c r="U116" s="481" t="s">
        <v>147</v>
      </c>
      <c r="V116" s="5"/>
      <c r="W116" s="481" t="s">
        <v>20</v>
      </c>
      <c r="X116" s="5"/>
      <c r="Y116" s="481" t="s">
        <v>4</v>
      </c>
      <c r="Z116" s="5"/>
      <c r="AA116" s="490" t="s">
        <v>145</v>
      </c>
      <c r="AB116" s="489"/>
    </row>
    <row r="117" spans="4:36" x14ac:dyDescent="0.3">
      <c r="E117" s="439"/>
      <c r="F117" s="440" t="s">
        <v>110</v>
      </c>
      <c r="G117" s="440"/>
      <c r="H117" s="440"/>
      <c r="I117" s="440"/>
      <c r="J117" s="440"/>
      <c r="K117" s="440"/>
      <c r="L117" s="442">
        <f>+I129/I116</f>
        <v>4.5847474526762295E-4</v>
      </c>
      <c r="M117" s="441"/>
      <c r="Q117" s="488"/>
      <c r="R117" s="6" t="s">
        <v>135</v>
      </c>
      <c r="S117" s="6"/>
      <c r="T117" s="6"/>
      <c r="U117" s="7">
        <v>2003</v>
      </c>
      <c r="V117" s="6"/>
      <c r="W117" s="7">
        <v>389666</v>
      </c>
      <c r="X117" s="6"/>
      <c r="Y117" s="7">
        <v>31257</v>
      </c>
      <c r="Z117" s="6"/>
      <c r="AA117" s="297">
        <f>+AJ117</f>
        <v>19500</v>
      </c>
      <c r="AB117" s="489"/>
      <c r="AJ117" s="1">
        <v>19500</v>
      </c>
    </row>
    <row r="118" spans="4:36" x14ac:dyDescent="0.3">
      <c r="E118" s="439"/>
      <c r="F118" s="657" t="s">
        <v>108</v>
      </c>
      <c r="G118" s="657"/>
      <c r="H118" s="440"/>
      <c r="I118" s="440"/>
      <c r="J118" s="440"/>
      <c r="K118" s="440"/>
      <c r="L118" s="443">
        <f>+I129/(I116/100000)</f>
        <v>45.847474526762298</v>
      </c>
      <c r="M118" s="441"/>
      <c r="Q118" s="488"/>
      <c r="R118" s="6" t="s">
        <v>136</v>
      </c>
      <c r="S118" s="6"/>
      <c r="T118" s="6"/>
      <c r="U118" s="7">
        <v>1913</v>
      </c>
      <c r="V118" s="6"/>
      <c r="W118" s="7">
        <v>169892</v>
      </c>
      <c r="X118" s="6"/>
      <c r="Y118" s="7">
        <v>13076</v>
      </c>
      <c r="Z118" s="6"/>
      <c r="AA118" s="297">
        <f t="shared" ref="AA118:AA126" si="26">+AJ118</f>
        <v>8900</v>
      </c>
      <c r="AB118" s="489"/>
      <c r="AJ118" s="1">
        <v>8900</v>
      </c>
    </row>
    <row r="119" spans="4:36" x14ac:dyDescent="0.3">
      <c r="E119" s="439"/>
      <c r="F119" s="444"/>
      <c r="G119" s="444"/>
      <c r="H119" s="440"/>
      <c r="I119" s="440"/>
      <c r="J119" s="440"/>
      <c r="K119" s="440"/>
      <c r="L119" s="443"/>
      <c r="M119" s="441"/>
      <c r="Q119" s="488"/>
      <c r="R119" s="6" t="s">
        <v>137</v>
      </c>
      <c r="S119" s="6"/>
      <c r="T119" s="6"/>
      <c r="U119" s="7">
        <v>1568</v>
      </c>
      <c r="V119" s="6"/>
      <c r="W119" s="7">
        <v>16606</v>
      </c>
      <c r="X119" s="6"/>
      <c r="Y119" s="7">
        <v>912</v>
      </c>
      <c r="Z119" s="6"/>
      <c r="AA119" s="297">
        <f t="shared" si="26"/>
        <v>1100</v>
      </c>
      <c r="AB119" s="489"/>
      <c r="AJ119" s="1">
        <v>1100</v>
      </c>
    </row>
    <row r="120" spans="4:36" x14ac:dyDescent="0.3">
      <c r="E120" s="439"/>
      <c r="F120" s="444" t="s">
        <v>121</v>
      </c>
      <c r="G120" s="444"/>
      <c r="H120" s="657" t="s">
        <v>122</v>
      </c>
      <c r="I120" s="657"/>
      <c r="J120" s="440"/>
      <c r="K120" s="440"/>
      <c r="L120" s="443"/>
      <c r="M120" s="441"/>
      <c r="Q120" s="488"/>
      <c r="R120" s="6" t="s">
        <v>58</v>
      </c>
      <c r="S120" s="6"/>
      <c r="T120" s="6"/>
      <c r="U120" s="7">
        <v>1561</v>
      </c>
      <c r="V120" s="6"/>
      <c r="W120" s="7">
        <v>107611</v>
      </c>
      <c r="X120" s="6"/>
      <c r="Y120" s="7">
        <v>7937</v>
      </c>
      <c r="Z120" s="6"/>
      <c r="AA120" s="297">
        <f t="shared" si="26"/>
        <v>7000</v>
      </c>
      <c r="AB120" s="489"/>
      <c r="AJ120" s="1">
        <v>7000</v>
      </c>
    </row>
    <row r="121" spans="4:36" ht="15" thickBot="1" x14ac:dyDescent="0.35">
      <c r="E121" s="445"/>
      <c r="F121" s="446"/>
      <c r="G121" s="446"/>
      <c r="H121" s="446"/>
      <c r="I121" s="446"/>
      <c r="J121" s="446"/>
      <c r="K121" s="446"/>
      <c r="L121" s="446"/>
      <c r="M121" s="447"/>
      <c r="Q121" s="488"/>
      <c r="R121" s="6" t="s">
        <v>142</v>
      </c>
      <c r="S121" s="6"/>
      <c r="T121" s="6"/>
      <c r="U121" s="7">
        <v>1435</v>
      </c>
      <c r="V121" s="6"/>
      <c r="W121" s="7">
        <v>10128</v>
      </c>
      <c r="X121" s="6"/>
      <c r="Y121" s="7">
        <v>541</v>
      </c>
      <c r="Z121" s="6"/>
      <c r="AA121" s="297">
        <f t="shared" si="26"/>
        <v>700</v>
      </c>
      <c r="AB121" s="489"/>
      <c r="AJ121" s="1">
        <v>700</v>
      </c>
    </row>
    <row r="122" spans="4:36" x14ac:dyDescent="0.3">
      <c r="Q122" s="488"/>
      <c r="R122" s="6" t="s">
        <v>138</v>
      </c>
      <c r="S122" s="6"/>
      <c r="T122" s="6"/>
      <c r="U122" s="7">
        <v>1288</v>
      </c>
      <c r="V122" s="6"/>
      <c r="W122" s="7">
        <v>45913</v>
      </c>
      <c r="X122" s="6"/>
      <c r="Y122" s="7">
        <v>4287</v>
      </c>
      <c r="Z122" s="6"/>
      <c r="AA122" s="297">
        <f t="shared" si="26"/>
        <v>3600</v>
      </c>
      <c r="AB122" s="489"/>
      <c r="AJ122" s="1">
        <v>3600</v>
      </c>
    </row>
    <row r="123" spans="4:36" ht="15" thickBot="1" x14ac:dyDescent="0.35">
      <c r="D123" s="90"/>
      <c r="E123" s="152"/>
      <c r="F123" s="152"/>
      <c r="G123" s="152"/>
      <c r="H123" s="152"/>
      <c r="I123" s="354"/>
      <c r="J123" s="90"/>
      <c r="K123" s="110"/>
      <c r="L123" s="110"/>
      <c r="M123" s="110"/>
      <c r="N123" s="110"/>
      <c r="Q123" s="488"/>
      <c r="R123" s="6" t="s">
        <v>143</v>
      </c>
      <c r="S123" s="6"/>
      <c r="T123" s="6"/>
      <c r="U123" s="7">
        <v>1129</v>
      </c>
      <c r="V123" s="6"/>
      <c r="W123" s="7">
        <v>52477</v>
      </c>
      <c r="X123" s="6"/>
      <c r="Y123" s="7">
        <v>3152</v>
      </c>
      <c r="Z123" s="6"/>
      <c r="AA123" s="297">
        <f t="shared" si="26"/>
        <v>4600</v>
      </c>
      <c r="AB123" s="489"/>
      <c r="AJ123" s="1">
        <v>4600</v>
      </c>
    </row>
    <row r="124" spans="4:36" ht="16.2" thickBot="1" x14ac:dyDescent="0.35">
      <c r="D124" s="425"/>
      <c r="E124" s="658" t="s">
        <v>132</v>
      </c>
      <c r="F124" s="659"/>
      <c r="G124" s="659"/>
      <c r="H124" s="659"/>
      <c r="I124" s="659"/>
      <c r="J124" s="660"/>
      <c r="K124" s="426"/>
      <c r="L124" s="438" t="s">
        <v>10</v>
      </c>
      <c r="M124" s="427"/>
      <c r="N124" s="110"/>
      <c r="Q124" s="488"/>
      <c r="R124" s="6" t="s">
        <v>139</v>
      </c>
      <c r="S124" s="6"/>
      <c r="T124" s="6"/>
      <c r="U124" s="7">
        <v>1118</v>
      </c>
      <c r="V124" s="6"/>
      <c r="W124" s="7">
        <v>10889</v>
      </c>
      <c r="X124" s="6"/>
      <c r="Y124" s="7">
        <v>505</v>
      </c>
      <c r="Z124" s="6"/>
      <c r="AA124" s="297">
        <f t="shared" si="26"/>
        <v>980</v>
      </c>
      <c r="AB124" s="489"/>
      <c r="AJ124" s="1">
        <v>980</v>
      </c>
    </row>
    <row r="125" spans="4:36" x14ac:dyDescent="0.3">
      <c r="D125" s="404"/>
      <c r="E125" s="428" t="s">
        <v>88</v>
      </c>
      <c r="F125" s="16"/>
      <c r="G125" s="16"/>
      <c r="H125" s="16"/>
      <c r="I125" s="661">
        <f>+K81</f>
        <v>48675</v>
      </c>
      <c r="J125" s="661"/>
      <c r="K125" s="16"/>
      <c r="L125" s="60">
        <f>+I125/$I$125</f>
        <v>1</v>
      </c>
      <c r="M125" s="429"/>
      <c r="N125" s="110"/>
      <c r="Q125" s="488"/>
      <c r="R125" s="6" t="s">
        <v>140</v>
      </c>
      <c r="S125" s="6"/>
      <c r="T125" s="6"/>
      <c r="U125" s="7">
        <v>1093</v>
      </c>
      <c r="V125" s="6"/>
      <c r="W125" s="7">
        <v>138546</v>
      </c>
      <c r="X125" s="6"/>
      <c r="Y125" s="7">
        <v>6770</v>
      </c>
      <c r="Z125" s="6"/>
      <c r="AA125" s="297">
        <f t="shared" si="26"/>
        <v>12700</v>
      </c>
      <c r="AB125" s="489"/>
      <c r="AJ125" s="1">
        <v>12700</v>
      </c>
    </row>
    <row r="126" spans="4:36" x14ac:dyDescent="0.3">
      <c r="D126" s="404"/>
      <c r="E126" s="428"/>
      <c r="F126" s="16"/>
      <c r="G126" s="16"/>
      <c r="H126" s="16"/>
      <c r="I126" s="16"/>
      <c r="J126" s="16"/>
      <c r="K126" s="16"/>
      <c r="L126" s="16"/>
      <c r="M126" s="429"/>
      <c r="N126" s="110"/>
      <c r="Q126" s="488"/>
      <c r="R126" s="6" t="s">
        <v>141</v>
      </c>
      <c r="S126" s="6"/>
      <c r="T126" s="6"/>
      <c r="U126" s="491">
        <v>1081</v>
      </c>
      <c r="V126" s="6"/>
      <c r="W126" s="491">
        <v>65337</v>
      </c>
      <c r="X126" s="6"/>
      <c r="Y126" s="491">
        <v>3108</v>
      </c>
      <c r="Z126" s="6"/>
      <c r="AA126" s="492">
        <f t="shared" si="26"/>
        <v>6100</v>
      </c>
      <c r="AB126" s="489"/>
      <c r="AJ126" s="483">
        <v>6100</v>
      </c>
    </row>
    <row r="127" spans="4:36" x14ac:dyDescent="0.3">
      <c r="D127" s="416"/>
      <c r="E127" s="15"/>
      <c r="F127" s="430" t="s">
        <v>113</v>
      </c>
      <c r="G127" s="430"/>
      <c r="H127" s="15"/>
      <c r="I127" s="662">
        <f>+I81</f>
        <v>36684</v>
      </c>
      <c r="J127" s="663"/>
      <c r="K127" s="15"/>
      <c r="L127" s="60">
        <f>+I127/$I$125</f>
        <v>0.75365177195685673</v>
      </c>
      <c r="M127" s="409"/>
      <c r="N127" s="110"/>
      <c r="Q127" s="488"/>
      <c r="R127" s="5" t="s">
        <v>33</v>
      </c>
      <c r="S127" s="6"/>
      <c r="T127" s="6"/>
      <c r="U127" s="297">
        <f>+W127/(AA127/100)</f>
        <v>1545.0521632402579</v>
      </c>
      <c r="V127" s="6"/>
      <c r="W127" s="297">
        <f>SUM(W117:W126)</f>
        <v>1007065</v>
      </c>
      <c r="X127" s="6"/>
      <c r="Y127" s="297">
        <f>SUM(Y117:Y126)</f>
        <v>71545</v>
      </c>
      <c r="Z127" s="6"/>
      <c r="AA127" s="297">
        <f>SUM(AA117:AA126)</f>
        <v>65180</v>
      </c>
      <c r="AB127" s="489"/>
      <c r="AJ127" s="56">
        <f>SUM(AJ117:AJ126)</f>
        <v>65180</v>
      </c>
    </row>
    <row r="128" spans="4:36" x14ac:dyDescent="0.3">
      <c r="D128" s="416"/>
      <c r="E128" s="15"/>
      <c r="F128" s="15" t="s">
        <v>89</v>
      </c>
      <c r="G128" s="15"/>
      <c r="H128" s="15"/>
      <c r="I128" s="664">
        <f>+I75</f>
        <v>2144</v>
      </c>
      <c r="J128" s="665"/>
      <c r="K128" s="15"/>
      <c r="L128" s="60">
        <f>+I128/$I$125</f>
        <v>4.4047252182845401E-2</v>
      </c>
      <c r="M128" s="409"/>
      <c r="N128" s="110"/>
      <c r="Q128" s="488"/>
      <c r="R128" s="5"/>
      <c r="S128" s="6"/>
      <c r="T128" s="6"/>
      <c r="U128" s="6"/>
      <c r="V128" s="6"/>
      <c r="W128" s="297"/>
      <c r="X128" s="6"/>
      <c r="Y128" s="297"/>
      <c r="Z128" s="6"/>
      <c r="AA128" s="6"/>
      <c r="AB128" s="489"/>
      <c r="AJ128" s="56"/>
    </row>
    <row r="129" spans="4:36" ht="15" thickBot="1" x14ac:dyDescent="0.35">
      <c r="D129" s="416"/>
      <c r="E129" s="650" t="s">
        <v>114</v>
      </c>
      <c r="F129" s="650"/>
      <c r="G129" s="650"/>
      <c r="H129" s="15"/>
      <c r="I129" s="651">
        <f>+I125-I127-I128</f>
        <v>9847</v>
      </c>
      <c r="J129" s="652"/>
      <c r="K129" s="431"/>
      <c r="L129" s="432">
        <f>+I129/$I$125</f>
        <v>0.20230097586029788</v>
      </c>
      <c r="M129" s="409"/>
      <c r="N129" s="110"/>
      <c r="Q129" s="488"/>
      <c r="R129" s="5" t="s">
        <v>59</v>
      </c>
      <c r="S129" s="6"/>
      <c r="T129" s="6"/>
      <c r="U129" s="7">
        <v>7441</v>
      </c>
      <c r="V129" s="6"/>
      <c r="W129" s="7">
        <f>+'Main Table'!H106</f>
        <v>2465403</v>
      </c>
      <c r="X129" s="6"/>
      <c r="Y129" s="7">
        <f>+'Main Table'!Z106</f>
        <v>126977</v>
      </c>
      <c r="Z129" s="6"/>
      <c r="AA129" s="297">
        <v>331000</v>
      </c>
      <c r="AB129" s="489"/>
      <c r="AJ129" s="56">
        <v>333000</v>
      </c>
    </row>
    <row r="130" spans="4:36" ht="15.6" thickTop="1" thickBot="1" x14ac:dyDescent="0.35">
      <c r="D130" s="416"/>
      <c r="E130" s="433"/>
      <c r="F130" s="433"/>
      <c r="G130" s="433"/>
      <c r="H130" s="15"/>
      <c r="I130" s="434"/>
      <c r="J130" s="433"/>
      <c r="K130" s="431"/>
      <c r="L130" s="435"/>
      <c r="M130" s="409"/>
      <c r="N130" s="110"/>
      <c r="Q130" s="488"/>
      <c r="R130" s="5" t="s">
        <v>144</v>
      </c>
      <c r="S130" s="6"/>
      <c r="T130" s="6"/>
      <c r="U130" s="493"/>
      <c r="V130" s="6"/>
      <c r="W130" s="494">
        <f>+W127/W129</f>
        <v>0.40847885720914595</v>
      </c>
      <c r="X130" s="6"/>
      <c r="Y130" s="494">
        <f>+Y127/Y129</f>
        <v>0.56344849854698098</v>
      </c>
      <c r="Z130" s="6"/>
      <c r="AA130" s="494">
        <f>+AA127/AA129</f>
        <v>0.19691842900302114</v>
      </c>
      <c r="AB130" s="489"/>
      <c r="AJ130" s="484">
        <f>+AJ127/AJ129</f>
        <v>0.19573573573573574</v>
      </c>
    </row>
    <row r="131" spans="4:36" ht="15.6" thickTop="1" thickBot="1" x14ac:dyDescent="0.35">
      <c r="D131" s="436"/>
      <c r="E131" s="437"/>
      <c r="F131" s="437"/>
      <c r="G131" s="437"/>
      <c r="H131" s="437"/>
      <c r="I131" s="437"/>
      <c r="J131" s="437"/>
      <c r="K131" s="437"/>
      <c r="L131" s="437"/>
      <c r="M131" s="424"/>
      <c r="N131" s="110"/>
      <c r="Q131" s="495"/>
      <c r="R131" s="496"/>
      <c r="S131" s="496"/>
      <c r="T131" s="496"/>
      <c r="U131" s="496"/>
      <c r="V131" s="496"/>
      <c r="W131" s="496"/>
      <c r="X131" s="496"/>
      <c r="Y131" s="496"/>
      <c r="Z131" s="496"/>
      <c r="AA131" s="496"/>
      <c r="AB131" s="497"/>
    </row>
    <row r="135" spans="4:36" x14ac:dyDescent="0.3">
      <c r="F135" s="1">
        <v>1248371</v>
      </c>
    </row>
    <row r="136" spans="4:36" x14ac:dyDescent="0.3">
      <c r="W136" s="1"/>
    </row>
    <row r="137" spans="4:36" x14ac:dyDescent="0.3">
      <c r="F137">
        <v>700</v>
      </c>
    </row>
    <row r="138" spans="4:36" x14ac:dyDescent="0.3">
      <c r="F138" s="87">
        <f>+F137/F135</f>
        <v>5.6073074430597954E-4</v>
      </c>
    </row>
    <row r="140" spans="4:36" x14ac:dyDescent="0.3">
      <c r="F140" s="1">
        <v>60000</v>
      </c>
    </row>
    <row r="141" spans="4:36" x14ac:dyDescent="0.3">
      <c r="F141">
        <f>+F138*F140</f>
        <v>33.643844658358773</v>
      </c>
    </row>
  </sheetData>
  <mergeCells count="50">
    <mergeCell ref="D72:O72"/>
    <mergeCell ref="E73:H73"/>
    <mergeCell ref="K73:L73"/>
    <mergeCell ref="D79:H79"/>
    <mergeCell ref="E82:G82"/>
    <mergeCell ref="D81:H81"/>
    <mergeCell ref="K81:L81"/>
    <mergeCell ref="E129:G129"/>
    <mergeCell ref="I129:J129"/>
    <mergeCell ref="E115:M115"/>
    <mergeCell ref="I116:L116"/>
    <mergeCell ref="F118:G118"/>
    <mergeCell ref="E124:J124"/>
    <mergeCell ref="I125:J125"/>
    <mergeCell ref="I127:J127"/>
    <mergeCell ref="I128:J128"/>
    <mergeCell ref="H120:I120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I32:J32"/>
    <mergeCell ref="I34:J34"/>
    <mergeCell ref="I36:J36"/>
    <mergeCell ref="E31:J31"/>
    <mergeCell ref="I35:J35"/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13" workbookViewId="0">
      <selection activeCell="J15" sqref="J1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49" t="s">
        <v>5</v>
      </c>
      <c r="C1" s="549"/>
      <c r="D1" s="549"/>
    </row>
    <row r="2" spans="2:31" ht="15.6" x14ac:dyDescent="0.3">
      <c r="B2" s="549" t="s">
        <v>6</v>
      </c>
      <c r="C2" s="549"/>
      <c r="D2" s="549"/>
    </row>
    <row r="3" spans="2:31" ht="15.6" x14ac:dyDescent="0.3">
      <c r="B3" s="257" t="s">
        <v>13</v>
      </c>
      <c r="C3" s="257"/>
      <c r="D3" s="167"/>
    </row>
    <row r="4" spans="2:31" ht="15.6" x14ac:dyDescent="0.3">
      <c r="B4" s="168"/>
      <c r="C4" s="168"/>
      <c r="D4" s="167"/>
    </row>
    <row r="5" spans="2:31" ht="15.6" x14ac:dyDescent="0.3">
      <c r="B5" s="168"/>
      <c r="C5" s="168"/>
      <c r="D5" s="167" t="s">
        <v>83</v>
      </c>
      <c r="F5" s="258" t="s">
        <v>84</v>
      </c>
    </row>
    <row r="6" spans="2:31" ht="15.6" x14ac:dyDescent="0.3">
      <c r="B6" s="168"/>
      <c r="C6" s="168"/>
      <c r="D6" s="167"/>
      <c r="F6" t="s">
        <v>87</v>
      </c>
    </row>
    <row r="7" spans="2:31" ht="15.6" x14ac:dyDescent="0.3">
      <c r="B7" s="168"/>
      <c r="C7" s="168"/>
      <c r="D7" s="167"/>
      <c r="F7" s="258" t="s">
        <v>86</v>
      </c>
    </row>
    <row r="8" spans="2:31" ht="15.6" x14ac:dyDescent="0.3">
      <c r="B8" s="168"/>
      <c r="C8" s="168"/>
      <c r="D8" s="167"/>
      <c r="F8" s="258" t="s">
        <v>85</v>
      </c>
    </row>
    <row r="9" spans="2:31" ht="15.6" x14ac:dyDescent="0.3">
      <c r="B9" s="168"/>
      <c r="C9" s="168"/>
      <c r="D9" s="167"/>
      <c r="F9" s="258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76" t="s">
        <v>23</v>
      </c>
      <c r="E12" s="677"/>
      <c r="F12" s="677"/>
      <c r="G12" s="677"/>
      <c r="H12" s="677"/>
      <c r="I12" s="677"/>
      <c r="J12" s="677"/>
      <c r="K12" s="677"/>
      <c r="L12" s="677"/>
      <c r="M12" s="677"/>
      <c r="N12" s="677"/>
      <c r="O12" s="677"/>
      <c r="P12" s="677"/>
      <c r="Q12" s="677"/>
      <c r="R12" s="677"/>
      <c r="S12" s="677"/>
      <c r="T12" s="677"/>
      <c r="U12" s="678"/>
      <c r="V12" s="59"/>
    </row>
    <row r="13" spans="2:31" ht="15" thickBot="1" x14ac:dyDescent="0.35">
      <c r="D13" s="227" t="s">
        <v>19</v>
      </c>
      <c r="E13" s="76"/>
      <c r="F13" s="228" t="s">
        <v>20</v>
      </c>
      <c r="G13" s="77"/>
      <c r="H13" s="77"/>
      <c r="I13" s="77"/>
      <c r="J13" s="229" t="s">
        <v>21</v>
      </c>
      <c r="K13" s="77"/>
      <c r="L13" s="228" t="s">
        <v>18</v>
      </c>
      <c r="M13" s="78"/>
      <c r="N13" s="78"/>
      <c r="O13" s="78"/>
      <c r="P13" s="228" t="s">
        <v>20</v>
      </c>
      <c r="Q13" s="78"/>
      <c r="R13" s="78"/>
      <c r="S13" s="78"/>
      <c r="T13" s="228" t="s">
        <v>22</v>
      </c>
      <c r="U13" s="230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2">
        <v>0.1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2">
        <v>0.01</v>
      </c>
      <c r="U14" s="230"/>
      <c r="V14" s="1"/>
      <c r="X14" s="234"/>
      <c r="Y14" s="675" t="s">
        <v>62</v>
      </c>
      <c r="Z14" s="675"/>
      <c r="AA14" s="675"/>
      <c r="AB14" s="675"/>
      <c r="AC14" s="675"/>
      <c r="AD14" s="235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93978.500000000015</v>
      </c>
      <c r="G15" s="81"/>
      <c r="H15" s="81"/>
      <c r="I15" s="81"/>
      <c r="J15" s="82">
        <f t="shared" ref="J15:J59" si="2">+J14</f>
        <v>0.1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86289.35</v>
      </c>
      <c r="Q15" s="81"/>
      <c r="R15" s="81"/>
      <c r="S15" s="81"/>
      <c r="T15" s="82">
        <f t="shared" ref="T15:T59" si="5">+T14</f>
        <v>0.01</v>
      </c>
      <c r="U15" s="230"/>
      <c r="V15" s="1"/>
      <c r="X15" s="236"/>
      <c r="Y15" s="237" t="s">
        <v>63</v>
      </c>
      <c r="Z15" s="238"/>
      <c r="AA15" s="237" t="s">
        <v>64</v>
      </c>
      <c r="AB15" s="239"/>
      <c r="AC15" s="240" t="s">
        <v>10</v>
      </c>
      <c r="AD15" s="241"/>
      <c r="AE15" s="1"/>
    </row>
    <row r="16" spans="2:31" x14ac:dyDescent="0.3">
      <c r="D16" s="79">
        <f t="shared" si="0"/>
        <v>43918</v>
      </c>
      <c r="E16" s="80"/>
      <c r="F16" s="81">
        <f t="shared" si="1"/>
        <v>103376.35000000002</v>
      </c>
      <c r="G16" s="81"/>
      <c r="H16" s="81"/>
      <c r="I16" s="81"/>
      <c r="J16" s="82">
        <f t="shared" si="2"/>
        <v>0.1</v>
      </c>
      <c r="K16" s="81"/>
      <c r="L16" s="81">
        <f t="shared" si="3"/>
        <v>2</v>
      </c>
      <c r="M16" s="81"/>
      <c r="N16" s="81"/>
      <c r="O16" s="81"/>
      <c r="P16" s="81">
        <f t="shared" si="4"/>
        <v>87152.243500000011</v>
      </c>
      <c r="Q16" s="81"/>
      <c r="R16" s="81"/>
      <c r="S16" s="81"/>
      <c r="T16" s="82">
        <f t="shared" si="5"/>
        <v>0.01</v>
      </c>
      <c r="U16" s="230"/>
      <c r="V16" s="1"/>
      <c r="X16" s="236"/>
      <c r="Y16" s="242" t="s">
        <v>59</v>
      </c>
      <c r="Z16" s="242"/>
      <c r="AA16" s="243">
        <v>330</v>
      </c>
      <c r="AB16" s="242"/>
      <c r="AC16" s="244">
        <f>+AA16/AA16</f>
        <v>1</v>
      </c>
      <c r="AD16" s="241"/>
      <c r="AE16" s="1"/>
    </row>
    <row r="17" spans="4:33" x14ac:dyDescent="0.3">
      <c r="D17" s="79">
        <f t="shared" si="0"/>
        <v>43919</v>
      </c>
      <c r="E17" s="80"/>
      <c r="F17" s="81">
        <f t="shared" si="1"/>
        <v>113713.98500000003</v>
      </c>
      <c r="G17" s="81"/>
      <c r="H17" s="81"/>
      <c r="I17" s="81"/>
      <c r="J17" s="82">
        <f t="shared" si="2"/>
        <v>0.1</v>
      </c>
      <c r="K17" s="81"/>
      <c r="L17" s="81">
        <f t="shared" si="3"/>
        <v>3</v>
      </c>
      <c r="M17" s="81"/>
      <c r="N17" s="81"/>
      <c r="O17" s="81"/>
      <c r="P17" s="81">
        <f t="shared" si="4"/>
        <v>88023.765935000018</v>
      </c>
      <c r="Q17" s="81"/>
      <c r="R17" s="81"/>
      <c r="S17" s="81"/>
      <c r="T17" s="82">
        <f t="shared" si="5"/>
        <v>0.01</v>
      </c>
      <c r="U17" s="230"/>
      <c r="V17" s="1"/>
      <c r="X17" s="236"/>
      <c r="Y17" s="245" t="s">
        <v>61</v>
      </c>
      <c r="Z17" s="242"/>
      <c r="AA17" s="246">
        <v>53.42</v>
      </c>
      <c r="AB17" s="242"/>
      <c r="AC17" s="244">
        <f>+AA17/AA16</f>
        <v>0.16187878787878787</v>
      </c>
      <c r="AD17" s="241"/>
      <c r="AE17" s="1"/>
    </row>
    <row r="18" spans="4:33" x14ac:dyDescent="0.3">
      <c r="D18" s="79">
        <f t="shared" si="0"/>
        <v>43920</v>
      </c>
      <c r="E18" s="80"/>
      <c r="F18" s="81">
        <f t="shared" si="1"/>
        <v>125085.38350000004</v>
      </c>
      <c r="G18" s="81"/>
      <c r="H18" s="81"/>
      <c r="I18" s="81"/>
      <c r="J18" s="82">
        <f t="shared" si="2"/>
        <v>0.1</v>
      </c>
      <c r="K18" s="81"/>
      <c r="L18" s="81">
        <f t="shared" si="3"/>
        <v>4</v>
      </c>
      <c r="M18" s="81"/>
      <c r="N18" s="81"/>
      <c r="O18" s="81"/>
      <c r="P18" s="81">
        <f t="shared" si="4"/>
        <v>88904.003594350012</v>
      </c>
      <c r="Q18" s="81"/>
      <c r="R18" s="81"/>
      <c r="S18" s="81"/>
      <c r="T18" s="82">
        <f t="shared" si="5"/>
        <v>0.01</v>
      </c>
      <c r="U18" s="230"/>
      <c r="V18" s="1"/>
      <c r="X18" s="236"/>
      <c r="Y18" s="247" t="s">
        <v>65</v>
      </c>
      <c r="Z18" s="247"/>
      <c r="AA18" s="243">
        <f>+AC18*AA17</f>
        <v>11.37846</v>
      </c>
      <c r="AB18" s="242"/>
      <c r="AC18" s="244">
        <v>0.21299999999999999</v>
      </c>
      <c r="AD18" s="241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137593.92185000004</v>
      </c>
      <c r="G19" s="81"/>
      <c r="H19" s="81"/>
      <c r="I19" s="81"/>
      <c r="J19" s="82">
        <f t="shared" si="2"/>
        <v>0.1</v>
      </c>
      <c r="K19" s="81"/>
      <c r="L19" s="81">
        <f t="shared" si="3"/>
        <v>5</v>
      </c>
      <c r="M19" s="81"/>
      <c r="N19" s="81"/>
      <c r="O19" s="81"/>
      <c r="P19" s="81">
        <f t="shared" si="4"/>
        <v>89793.043630293512</v>
      </c>
      <c r="Q19" s="81"/>
      <c r="R19" s="81"/>
      <c r="S19" s="81"/>
      <c r="T19" s="82">
        <f t="shared" si="5"/>
        <v>0.01</v>
      </c>
      <c r="U19" s="230"/>
      <c r="V19" s="1"/>
      <c r="X19" s="248"/>
      <c r="Y19" s="249" t="s">
        <v>66</v>
      </c>
      <c r="Z19" s="249"/>
      <c r="AA19" s="250"/>
      <c r="AB19" s="251"/>
      <c r="AC19" s="250">
        <f>+AA18/AA16</f>
        <v>3.448018181818182E-2</v>
      </c>
      <c r="AD19" s="252"/>
      <c r="AE19" s="1"/>
    </row>
    <row r="20" spans="4:33" x14ac:dyDescent="0.3">
      <c r="D20" s="79">
        <f t="shared" si="0"/>
        <v>43922</v>
      </c>
      <c r="E20" s="80"/>
      <c r="F20" s="81">
        <f t="shared" si="1"/>
        <v>151353.31403500005</v>
      </c>
      <c r="G20" s="81"/>
      <c r="H20" s="81"/>
      <c r="I20" s="81"/>
      <c r="J20" s="82">
        <f t="shared" si="2"/>
        <v>0.1</v>
      </c>
      <c r="K20" s="81"/>
      <c r="L20" s="81">
        <f t="shared" si="3"/>
        <v>6</v>
      </c>
      <c r="M20" s="81"/>
      <c r="N20" s="81"/>
      <c r="O20" s="81"/>
      <c r="P20" s="81">
        <f t="shared" si="4"/>
        <v>90690.974066596449</v>
      </c>
      <c r="Q20" s="81"/>
      <c r="R20" s="81"/>
      <c r="S20" s="81"/>
      <c r="T20" s="82">
        <f t="shared" si="5"/>
        <v>0.01</v>
      </c>
      <c r="U20" s="230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166488.64543850007</v>
      </c>
      <c r="G21" s="81"/>
      <c r="H21" s="81"/>
      <c r="I21" s="81"/>
      <c r="J21" s="82">
        <f t="shared" si="2"/>
        <v>0.1</v>
      </c>
      <c r="K21" s="81"/>
      <c r="L21" s="81">
        <f t="shared" si="3"/>
        <v>7</v>
      </c>
      <c r="M21" s="81"/>
      <c r="N21" s="81"/>
      <c r="O21" s="81"/>
      <c r="P21" s="81">
        <f t="shared" si="4"/>
        <v>91597.88380726242</v>
      </c>
      <c r="Q21" s="81"/>
      <c r="R21" s="81"/>
      <c r="S21" s="81"/>
      <c r="T21" s="82">
        <f t="shared" si="5"/>
        <v>0.01</v>
      </c>
      <c r="U21" s="230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183137.50998235008</v>
      </c>
      <c r="G22" s="81"/>
      <c r="H22" s="81"/>
      <c r="I22" s="81"/>
      <c r="J22" s="82">
        <f t="shared" si="2"/>
        <v>0.1</v>
      </c>
      <c r="K22" s="81"/>
      <c r="L22" s="81">
        <f t="shared" si="3"/>
        <v>8</v>
      </c>
      <c r="M22" s="81"/>
      <c r="N22" s="81"/>
      <c r="O22" s="81"/>
      <c r="P22" s="81">
        <f t="shared" si="4"/>
        <v>92513.862645335044</v>
      </c>
      <c r="Q22" s="81"/>
      <c r="R22" s="81"/>
      <c r="S22" s="81"/>
      <c r="T22" s="82">
        <f t="shared" si="5"/>
        <v>0.01</v>
      </c>
      <c r="U22" s="230"/>
      <c r="V22" s="1"/>
    </row>
    <row r="23" spans="4:33" x14ac:dyDescent="0.3">
      <c r="D23" s="79">
        <f t="shared" si="0"/>
        <v>43925</v>
      </c>
      <c r="E23" s="80"/>
      <c r="F23" s="81">
        <f t="shared" si="1"/>
        <v>201451.2609805851</v>
      </c>
      <c r="G23" s="81"/>
      <c r="H23" s="81"/>
      <c r="I23" s="81"/>
      <c r="J23" s="82">
        <f t="shared" si="2"/>
        <v>0.1</v>
      </c>
      <c r="K23" s="81"/>
      <c r="L23" s="81">
        <f t="shared" si="3"/>
        <v>9</v>
      </c>
      <c r="M23" s="81"/>
      <c r="N23" s="81"/>
      <c r="O23" s="81"/>
      <c r="P23" s="81">
        <f t="shared" si="4"/>
        <v>93439.001271788395</v>
      </c>
      <c r="Q23" s="81"/>
      <c r="R23" s="81"/>
      <c r="S23" s="81"/>
      <c r="T23" s="82">
        <f t="shared" si="5"/>
        <v>0.01</v>
      </c>
      <c r="U23" s="230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221596.38707864363</v>
      </c>
      <c r="G24" s="81"/>
      <c r="H24" s="81"/>
      <c r="I24" s="81"/>
      <c r="J24" s="82">
        <f t="shared" si="2"/>
        <v>0.1</v>
      </c>
      <c r="K24" s="81"/>
      <c r="L24" s="81">
        <f t="shared" si="3"/>
        <v>10</v>
      </c>
      <c r="M24" s="81"/>
      <c r="N24" s="81"/>
      <c r="O24" s="81"/>
      <c r="P24" s="81">
        <f t="shared" si="4"/>
        <v>94373.391284506273</v>
      </c>
      <c r="Q24" s="81"/>
      <c r="R24" s="81"/>
      <c r="S24" s="81"/>
      <c r="T24" s="82">
        <f t="shared" si="5"/>
        <v>0.01</v>
      </c>
      <c r="U24" s="230"/>
      <c r="V24" s="1"/>
      <c r="X24" s="110"/>
      <c r="Y24" s="114"/>
      <c r="Z24" s="256"/>
      <c r="AA24" s="256"/>
      <c r="AB24" s="256"/>
      <c r="AC24" s="256"/>
      <c r="AD24" s="256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243756.02578650802</v>
      </c>
      <c r="G25" s="81"/>
      <c r="H25" s="81"/>
      <c r="I25" s="81"/>
      <c r="J25" s="82">
        <f t="shared" si="2"/>
        <v>0.1</v>
      </c>
      <c r="K25" s="81"/>
      <c r="L25" s="81">
        <f t="shared" si="3"/>
        <v>11</v>
      </c>
      <c r="M25" s="81"/>
      <c r="N25" s="81"/>
      <c r="O25" s="81"/>
      <c r="P25" s="81">
        <f t="shared" si="4"/>
        <v>95317.125197351343</v>
      </c>
      <c r="Q25" s="81"/>
      <c r="R25" s="81"/>
      <c r="S25" s="81"/>
      <c r="T25" s="82">
        <f t="shared" si="5"/>
        <v>0.01</v>
      </c>
      <c r="U25" s="230"/>
      <c r="V25" s="1"/>
      <c r="X25" s="110"/>
      <c r="Y25" s="255"/>
      <c r="Z25" s="255"/>
      <c r="AA25" s="255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268131.62836515886</v>
      </c>
      <c r="G26" s="81"/>
      <c r="H26" s="81"/>
      <c r="I26" s="81"/>
      <c r="J26" s="82">
        <f t="shared" si="2"/>
        <v>0.1</v>
      </c>
      <c r="K26" s="81"/>
      <c r="L26" s="81">
        <f t="shared" si="3"/>
        <v>12</v>
      </c>
      <c r="M26" s="81"/>
      <c r="N26" s="81"/>
      <c r="O26" s="81"/>
      <c r="P26" s="81">
        <f t="shared" si="4"/>
        <v>96270.296449324858</v>
      </c>
      <c r="Q26" s="81"/>
      <c r="R26" s="81"/>
      <c r="S26" s="81"/>
      <c r="T26" s="82">
        <f t="shared" si="5"/>
        <v>0.01</v>
      </c>
      <c r="U26" s="230"/>
      <c r="V26" s="1"/>
      <c r="X26" s="110"/>
      <c r="Y26" s="114"/>
      <c r="Z26" s="114"/>
      <c r="AA26" s="114"/>
      <c r="AB26" s="110"/>
      <c r="AC26" s="253"/>
      <c r="AD26" s="110"/>
      <c r="AE26" s="254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294944.79120167479</v>
      </c>
      <c r="G27" s="81"/>
      <c r="H27" s="81"/>
      <c r="I27" s="81"/>
      <c r="J27" s="82">
        <f t="shared" si="2"/>
        <v>0.1</v>
      </c>
      <c r="K27" s="81"/>
      <c r="L27" s="81">
        <f t="shared" si="3"/>
        <v>13</v>
      </c>
      <c r="M27" s="81"/>
      <c r="N27" s="81"/>
      <c r="O27" s="81"/>
      <c r="P27" s="81">
        <f t="shared" si="4"/>
        <v>97232.999413818106</v>
      </c>
      <c r="Q27" s="81"/>
      <c r="R27" s="81"/>
      <c r="S27" s="81"/>
      <c r="T27" s="82">
        <f t="shared" si="5"/>
        <v>0.01</v>
      </c>
      <c r="U27" s="230"/>
      <c r="V27" s="1"/>
      <c r="X27" s="110"/>
      <c r="Y27" s="114"/>
      <c r="Z27" s="114"/>
      <c r="AA27" s="114"/>
      <c r="AB27" s="110"/>
      <c r="AC27" s="253"/>
      <c r="AD27" s="110"/>
      <c r="AE27" s="254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324439.27032184228</v>
      </c>
      <c r="G28" s="81"/>
      <c r="H28" s="81"/>
      <c r="I28" s="81"/>
      <c r="J28" s="82">
        <f t="shared" si="2"/>
        <v>0.1</v>
      </c>
      <c r="K28" s="81"/>
      <c r="L28" s="81">
        <f t="shared" si="3"/>
        <v>14</v>
      </c>
      <c r="M28" s="81"/>
      <c r="N28" s="81"/>
      <c r="O28" s="81"/>
      <c r="P28" s="81">
        <f t="shared" si="4"/>
        <v>98205.329407956291</v>
      </c>
      <c r="Q28" s="81"/>
      <c r="R28" s="81"/>
      <c r="S28" s="81"/>
      <c r="T28" s="82">
        <f t="shared" si="5"/>
        <v>0.01</v>
      </c>
      <c r="U28" s="230"/>
      <c r="V28" s="1"/>
      <c r="X28" s="110"/>
      <c r="Y28" s="256"/>
      <c r="Z28" s="256"/>
      <c r="AA28" s="256"/>
      <c r="AB28" s="110"/>
      <c r="AC28" s="253"/>
      <c r="AD28" s="110"/>
      <c r="AE28" s="254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356883.19735402655</v>
      </c>
      <c r="G29" s="81"/>
      <c r="H29" s="81"/>
      <c r="I29" s="81"/>
      <c r="J29" s="82">
        <f t="shared" si="2"/>
        <v>0.1</v>
      </c>
      <c r="K29" s="81"/>
      <c r="L29" s="81">
        <f t="shared" si="3"/>
        <v>15</v>
      </c>
      <c r="M29" s="81"/>
      <c r="N29" s="81"/>
      <c r="O29" s="81"/>
      <c r="P29" s="81">
        <f t="shared" si="4"/>
        <v>99187.382702035859</v>
      </c>
      <c r="Q29" s="81"/>
      <c r="R29" s="81"/>
      <c r="S29" s="81"/>
      <c r="T29" s="82">
        <f t="shared" si="5"/>
        <v>0.01</v>
      </c>
      <c r="U29" s="230"/>
      <c r="V29" s="88"/>
      <c r="X29" s="110"/>
      <c r="Y29" s="256"/>
      <c r="Z29" s="256"/>
      <c r="AA29" s="256"/>
      <c r="AB29" s="110"/>
      <c r="AC29" s="254"/>
      <c r="AD29" s="110"/>
      <c r="AE29" s="254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392571.51708942925</v>
      </c>
      <c r="G30" s="81"/>
      <c r="H30" s="81"/>
      <c r="I30" s="81"/>
      <c r="J30" s="82">
        <f t="shared" si="2"/>
        <v>0.1</v>
      </c>
      <c r="K30" s="81"/>
      <c r="L30" s="81">
        <f t="shared" si="3"/>
        <v>16</v>
      </c>
      <c r="M30" s="81"/>
      <c r="N30" s="81"/>
      <c r="O30" s="81"/>
      <c r="P30" s="81">
        <f t="shared" si="4"/>
        <v>100179.25652905622</v>
      </c>
      <c r="Q30" s="81"/>
      <c r="R30" s="81"/>
      <c r="S30" s="81"/>
      <c r="T30" s="82">
        <f t="shared" si="5"/>
        <v>0.01</v>
      </c>
      <c r="U30" s="230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431828.66879837221</v>
      </c>
      <c r="G31" s="81"/>
      <c r="H31" s="81"/>
      <c r="I31" s="81"/>
      <c r="J31" s="82">
        <f t="shared" si="2"/>
        <v>0.1</v>
      </c>
      <c r="K31" s="81"/>
      <c r="L31" s="81">
        <f t="shared" si="3"/>
        <v>17</v>
      </c>
      <c r="M31" s="81"/>
      <c r="N31" s="81"/>
      <c r="O31" s="81"/>
      <c r="P31" s="81">
        <f t="shared" si="4"/>
        <v>101181.04909434679</v>
      </c>
      <c r="Q31" s="81"/>
      <c r="R31" s="81"/>
      <c r="S31" s="81"/>
      <c r="T31" s="82">
        <f t="shared" si="5"/>
        <v>0.01</v>
      </c>
      <c r="U31" s="230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475011.53567820945</v>
      </c>
      <c r="G32" s="81"/>
      <c r="H32" s="81"/>
      <c r="I32" s="81"/>
      <c r="J32" s="82">
        <f t="shared" si="2"/>
        <v>0.1</v>
      </c>
      <c r="K32" s="81"/>
      <c r="L32" s="81">
        <f t="shared" si="3"/>
        <v>18</v>
      </c>
      <c r="M32" s="81"/>
      <c r="N32" s="81"/>
      <c r="O32" s="81"/>
      <c r="P32" s="81">
        <f t="shared" si="4"/>
        <v>102192.85958529025</v>
      </c>
      <c r="Q32" s="81"/>
      <c r="R32" s="81"/>
      <c r="S32" s="81"/>
      <c r="T32" s="82">
        <f t="shared" si="5"/>
        <v>0.01</v>
      </c>
      <c r="U32" s="230"/>
      <c r="V32" s="1"/>
    </row>
    <row r="33" spans="4:22" x14ac:dyDescent="0.3">
      <c r="D33" s="79">
        <f t="shared" si="0"/>
        <v>43935</v>
      </c>
      <c r="E33" s="80"/>
      <c r="F33" s="81">
        <f t="shared" si="1"/>
        <v>522512.68924603041</v>
      </c>
      <c r="G33" s="81"/>
      <c r="H33" s="81"/>
      <c r="I33" s="81"/>
      <c r="J33" s="82">
        <f t="shared" si="2"/>
        <v>0.1</v>
      </c>
      <c r="K33" s="81"/>
      <c r="L33" s="81">
        <f t="shared" si="3"/>
        <v>19</v>
      </c>
      <c r="M33" s="81"/>
      <c r="N33" s="81"/>
      <c r="O33" s="81"/>
      <c r="P33" s="81">
        <f t="shared" si="4"/>
        <v>103214.78818114316</v>
      </c>
      <c r="Q33" s="81"/>
      <c r="R33" s="81"/>
      <c r="S33" s="81"/>
      <c r="T33" s="82">
        <f t="shared" si="5"/>
        <v>0.01</v>
      </c>
      <c r="U33" s="230"/>
      <c r="V33" s="1"/>
    </row>
    <row r="34" spans="4:22" x14ac:dyDescent="0.3">
      <c r="D34" s="79">
        <f t="shared" si="0"/>
        <v>43936</v>
      </c>
      <c r="E34" s="80"/>
      <c r="F34" s="81">
        <f t="shared" si="1"/>
        <v>574763.95817063353</v>
      </c>
      <c r="G34" s="81"/>
      <c r="H34" s="81"/>
      <c r="I34" s="81"/>
      <c r="J34" s="82">
        <f t="shared" si="2"/>
        <v>0.1</v>
      </c>
      <c r="K34" s="81"/>
      <c r="L34" s="81">
        <f t="shared" si="3"/>
        <v>20</v>
      </c>
      <c r="M34" s="81"/>
      <c r="N34" s="81"/>
      <c r="O34" s="81"/>
      <c r="P34" s="81">
        <f t="shared" si="4"/>
        <v>104246.93606295458</v>
      </c>
      <c r="Q34" s="81"/>
      <c r="R34" s="81"/>
      <c r="S34" s="81"/>
      <c r="T34" s="82">
        <f t="shared" si="5"/>
        <v>0.01</v>
      </c>
      <c r="U34" s="230"/>
      <c r="V34" s="1"/>
    </row>
    <row r="35" spans="4:22" x14ac:dyDescent="0.3">
      <c r="D35" s="79">
        <f t="shared" si="0"/>
        <v>43937</v>
      </c>
      <c r="E35" s="80"/>
      <c r="F35" s="81">
        <f t="shared" si="1"/>
        <v>632240.35398769693</v>
      </c>
      <c r="G35" s="81"/>
      <c r="H35" s="81"/>
      <c r="I35" s="81"/>
      <c r="J35" s="82">
        <f t="shared" si="2"/>
        <v>0.1</v>
      </c>
      <c r="K35" s="81"/>
      <c r="L35" s="81">
        <f t="shared" si="3"/>
        <v>21</v>
      </c>
      <c r="M35" s="81"/>
      <c r="N35" s="81"/>
      <c r="O35" s="81"/>
      <c r="P35" s="81">
        <f t="shared" si="4"/>
        <v>105289.40542358413</v>
      </c>
      <c r="Q35" s="81"/>
      <c r="R35" s="81"/>
      <c r="S35" s="81"/>
      <c r="T35" s="82">
        <f t="shared" si="5"/>
        <v>0.01</v>
      </c>
      <c r="U35" s="230"/>
      <c r="V35" s="1"/>
    </row>
    <row r="36" spans="4:22" x14ac:dyDescent="0.3">
      <c r="D36" s="79">
        <f t="shared" si="0"/>
        <v>43938</v>
      </c>
      <c r="E36" s="80"/>
      <c r="F36" s="81">
        <f t="shared" si="1"/>
        <v>695464.3893864667</v>
      </c>
      <c r="G36" s="81"/>
      <c r="H36" s="81"/>
      <c r="I36" s="81"/>
      <c r="J36" s="82">
        <f t="shared" si="2"/>
        <v>0.1</v>
      </c>
      <c r="K36" s="81"/>
      <c r="L36" s="81">
        <f t="shared" si="3"/>
        <v>22</v>
      </c>
      <c r="M36" s="81"/>
      <c r="N36" s="81"/>
      <c r="O36" s="81"/>
      <c r="P36" s="81">
        <f t="shared" si="4"/>
        <v>106342.29947781998</v>
      </c>
      <c r="Q36" s="81"/>
      <c r="R36" s="81"/>
      <c r="S36" s="81"/>
      <c r="T36" s="82">
        <f t="shared" si="5"/>
        <v>0.01</v>
      </c>
      <c r="U36" s="230"/>
      <c r="V36" s="10"/>
    </row>
    <row r="37" spans="4:22" x14ac:dyDescent="0.3">
      <c r="D37" s="79">
        <f t="shared" si="0"/>
        <v>43939</v>
      </c>
      <c r="E37" s="80"/>
      <c r="F37" s="81">
        <f t="shared" si="1"/>
        <v>765010.8283251134</v>
      </c>
      <c r="G37" s="81"/>
      <c r="H37" s="81"/>
      <c r="I37" s="81"/>
      <c r="J37" s="82">
        <f t="shared" si="2"/>
        <v>0.1</v>
      </c>
      <c r="K37" s="81"/>
      <c r="L37" s="81">
        <f t="shared" si="3"/>
        <v>23</v>
      </c>
      <c r="M37" s="81"/>
      <c r="N37" s="81"/>
      <c r="O37" s="81"/>
      <c r="P37" s="81">
        <f t="shared" si="4"/>
        <v>107405.72247259818</v>
      </c>
      <c r="Q37" s="81"/>
      <c r="R37" s="81"/>
      <c r="S37" s="81"/>
      <c r="T37" s="82">
        <f t="shared" si="5"/>
        <v>0.01</v>
      </c>
      <c r="U37" s="230"/>
      <c r="V37" s="10"/>
    </row>
    <row r="38" spans="4:22" x14ac:dyDescent="0.3">
      <c r="D38" s="79">
        <f t="shared" si="0"/>
        <v>43940</v>
      </c>
      <c r="E38" s="80"/>
      <c r="F38" s="81">
        <f t="shared" si="1"/>
        <v>841511.9111576248</v>
      </c>
      <c r="G38" s="81"/>
      <c r="H38" s="81"/>
      <c r="I38" s="81"/>
      <c r="J38" s="82">
        <f t="shared" si="2"/>
        <v>0.1</v>
      </c>
      <c r="K38" s="81"/>
      <c r="L38" s="81">
        <f t="shared" si="3"/>
        <v>24</v>
      </c>
      <c r="M38" s="81"/>
      <c r="N38" s="81"/>
      <c r="O38" s="81"/>
      <c r="P38" s="81">
        <f t="shared" si="4"/>
        <v>108479.77969732416</v>
      </c>
      <c r="Q38" s="81"/>
      <c r="R38" s="81"/>
      <c r="S38" s="81"/>
      <c r="T38" s="82">
        <f t="shared" si="5"/>
        <v>0.01</v>
      </c>
      <c r="U38" s="230"/>
      <c r="V38" s="10"/>
    </row>
    <row r="39" spans="4:22" x14ac:dyDescent="0.3">
      <c r="D39" s="79">
        <f t="shared" si="0"/>
        <v>43941</v>
      </c>
      <c r="E39" s="80"/>
      <c r="F39" s="81">
        <f t="shared" si="1"/>
        <v>925663.10227338737</v>
      </c>
      <c r="G39" s="81"/>
      <c r="H39" s="81"/>
      <c r="I39" s="81"/>
      <c r="J39" s="82">
        <f t="shared" si="2"/>
        <v>0.1</v>
      </c>
      <c r="K39" s="81"/>
      <c r="L39" s="81">
        <f t="shared" si="3"/>
        <v>25</v>
      </c>
      <c r="M39" s="81"/>
      <c r="N39" s="81"/>
      <c r="O39" s="81"/>
      <c r="P39" s="81">
        <f t="shared" si="4"/>
        <v>109564.57749429741</v>
      </c>
      <c r="Q39" s="81"/>
      <c r="R39" s="81"/>
      <c r="S39" s="81"/>
      <c r="T39" s="82">
        <f t="shared" si="5"/>
        <v>0.01</v>
      </c>
      <c r="U39" s="230"/>
      <c r="V39" s="10"/>
    </row>
    <row r="40" spans="4:22" x14ac:dyDescent="0.3">
      <c r="D40" s="79">
        <f t="shared" si="0"/>
        <v>43942</v>
      </c>
      <c r="E40" s="80"/>
      <c r="F40" s="81">
        <f t="shared" si="1"/>
        <v>1018229.4125007262</v>
      </c>
      <c r="G40" s="81"/>
      <c r="H40" s="81"/>
      <c r="I40" s="81"/>
      <c r="J40" s="82">
        <f t="shared" si="2"/>
        <v>0.1</v>
      </c>
      <c r="K40" s="81"/>
      <c r="L40" s="81">
        <f t="shared" si="3"/>
        <v>26</v>
      </c>
      <c r="M40" s="81"/>
      <c r="N40" s="81"/>
      <c r="O40" s="81"/>
      <c r="P40" s="81">
        <f t="shared" si="4"/>
        <v>110660.22326924038</v>
      </c>
      <c r="Q40" s="81"/>
      <c r="R40" s="81"/>
      <c r="S40" s="81"/>
      <c r="T40" s="82">
        <f t="shared" si="5"/>
        <v>0.01</v>
      </c>
      <c r="U40" s="230"/>
      <c r="V40" s="10"/>
    </row>
    <row r="41" spans="4:22" x14ac:dyDescent="0.3">
      <c r="D41" s="79">
        <f t="shared" si="0"/>
        <v>43943</v>
      </c>
      <c r="E41" s="80"/>
      <c r="F41" s="81">
        <f t="shared" si="1"/>
        <v>1120052.3537507989</v>
      </c>
      <c r="G41" s="81"/>
      <c r="H41" s="81"/>
      <c r="I41" s="81"/>
      <c r="J41" s="82">
        <f t="shared" si="2"/>
        <v>0.1</v>
      </c>
      <c r="K41" s="81"/>
      <c r="L41" s="81">
        <f t="shared" si="3"/>
        <v>27</v>
      </c>
      <c r="M41" s="81"/>
      <c r="N41" s="81"/>
      <c r="O41" s="81"/>
      <c r="P41" s="81">
        <f t="shared" si="4"/>
        <v>111766.82550193278</v>
      </c>
      <c r="Q41" s="81"/>
      <c r="R41" s="81"/>
      <c r="S41" s="81"/>
      <c r="T41" s="82">
        <f t="shared" si="5"/>
        <v>0.01</v>
      </c>
      <c r="U41" s="230"/>
      <c r="V41" s="10"/>
    </row>
    <row r="42" spans="4:22" x14ac:dyDescent="0.3">
      <c r="D42" s="79">
        <f t="shared" si="0"/>
        <v>43944</v>
      </c>
      <c r="E42" s="80"/>
      <c r="F42" s="81">
        <f t="shared" si="1"/>
        <v>1232057.5891258789</v>
      </c>
      <c r="G42" s="81"/>
      <c r="H42" s="81"/>
      <c r="I42" s="81"/>
      <c r="J42" s="82">
        <f t="shared" si="2"/>
        <v>0.1</v>
      </c>
      <c r="K42" s="81"/>
      <c r="L42" s="81">
        <f t="shared" si="3"/>
        <v>28</v>
      </c>
      <c r="M42" s="81"/>
      <c r="N42" s="81"/>
      <c r="O42" s="81"/>
      <c r="P42" s="81">
        <f t="shared" si="4"/>
        <v>112884.4937569521</v>
      </c>
      <c r="Q42" s="81"/>
      <c r="R42" s="81"/>
      <c r="S42" s="81"/>
      <c r="T42" s="82">
        <f t="shared" si="5"/>
        <v>0.01</v>
      </c>
      <c r="U42" s="230"/>
      <c r="V42" s="10"/>
    </row>
    <row r="43" spans="4:22" x14ac:dyDescent="0.3">
      <c r="D43" s="79">
        <f t="shared" si="0"/>
        <v>43945</v>
      </c>
      <c r="E43" s="80"/>
      <c r="F43" s="81">
        <f t="shared" si="1"/>
        <v>1355263.3480384669</v>
      </c>
      <c r="G43" s="81"/>
      <c r="H43" s="81"/>
      <c r="I43" s="81"/>
      <c r="J43" s="82">
        <f t="shared" si="2"/>
        <v>0.1</v>
      </c>
      <c r="K43" s="81"/>
      <c r="L43" s="81">
        <f t="shared" si="3"/>
        <v>29</v>
      </c>
      <c r="M43" s="81"/>
      <c r="N43" s="81"/>
      <c r="O43" s="81"/>
      <c r="P43" s="81">
        <f t="shared" si="4"/>
        <v>114013.33869452162</v>
      </c>
      <c r="Q43" s="81"/>
      <c r="R43" s="81"/>
      <c r="S43" s="81"/>
      <c r="T43" s="82">
        <f t="shared" si="5"/>
        <v>0.01</v>
      </c>
      <c r="U43" s="230"/>
      <c r="V43" s="10"/>
    </row>
    <row r="44" spans="4:22" x14ac:dyDescent="0.3">
      <c r="D44" s="79">
        <f t="shared" si="0"/>
        <v>43946</v>
      </c>
      <c r="E44" s="80"/>
      <c r="F44" s="81">
        <f t="shared" si="1"/>
        <v>1490789.6828423138</v>
      </c>
      <c r="G44" s="81"/>
      <c r="H44" s="81"/>
      <c r="I44" s="81"/>
      <c r="J44" s="82">
        <f t="shared" si="2"/>
        <v>0.1</v>
      </c>
      <c r="K44" s="81"/>
      <c r="L44" s="81">
        <f t="shared" si="3"/>
        <v>30</v>
      </c>
      <c r="M44" s="81"/>
      <c r="N44" s="81"/>
      <c r="O44" s="81"/>
      <c r="P44" s="81">
        <f t="shared" si="4"/>
        <v>115153.47208146684</v>
      </c>
      <c r="Q44" s="81"/>
      <c r="R44" s="81"/>
      <c r="S44" s="81"/>
      <c r="T44" s="82">
        <f t="shared" si="5"/>
        <v>0.01</v>
      </c>
      <c r="U44" s="230"/>
      <c r="V44" s="10"/>
    </row>
    <row r="45" spans="4:22" x14ac:dyDescent="0.3">
      <c r="D45" s="79">
        <f t="shared" si="0"/>
        <v>43947</v>
      </c>
      <c r="E45" s="80"/>
      <c r="F45" s="81">
        <f t="shared" si="1"/>
        <v>1639868.6511265454</v>
      </c>
      <c r="G45" s="81"/>
      <c r="H45" s="81"/>
      <c r="I45" s="81"/>
      <c r="J45" s="82">
        <f t="shared" si="2"/>
        <v>0.1</v>
      </c>
      <c r="K45" s="81"/>
      <c r="L45" s="81">
        <f t="shared" si="3"/>
        <v>31</v>
      </c>
      <c r="M45" s="81"/>
      <c r="N45" s="81"/>
      <c r="O45" s="81"/>
      <c r="P45" s="81">
        <f t="shared" si="4"/>
        <v>116305.00680228151</v>
      </c>
      <c r="Q45" s="81"/>
      <c r="R45" s="81"/>
      <c r="S45" s="81"/>
      <c r="T45" s="82">
        <f t="shared" si="5"/>
        <v>0.01</v>
      </c>
      <c r="U45" s="230"/>
      <c r="V45" s="10"/>
    </row>
    <row r="46" spans="4:22" x14ac:dyDescent="0.3">
      <c r="D46" s="79">
        <f t="shared" si="0"/>
        <v>43948</v>
      </c>
      <c r="E46" s="80"/>
      <c r="F46" s="81">
        <f t="shared" si="1"/>
        <v>1803855.5162392</v>
      </c>
      <c r="G46" s="81"/>
      <c r="H46" s="81"/>
      <c r="I46" s="81"/>
      <c r="J46" s="82">
        <f t="shared" si="2"/>
        <v>0.1</v>
      </c>
      <c r="K46" s="81"/>
      <c r="L46" s="81">
        <f t="shared" si="3"/>
        <v>32</v>
      </c>
      <c r="M46" s="81"/>
      <c r="N46" s="81"/>
      <c r="O46" s="81"/>
      <c r="P46" s="81">
        <f t="shared" si="4"/>
        <v>117468.05687030432</v>
      </c>
      <c r="Q46" s="81"/>
      <c r="R46" s="81"/>
      <c r="S46" s="81"/>
      <c r="T46" s="82">
        <f t="shared" si="5"/>
        <v>0.01</v>
      </c>
      <c r="U46" s="230"/>
      <c r="V46" s="10"/>
    </row>
    <row r="47" spans="4:22" x14ac:dyDescent="0.3">
      <c r="D47" s="79">
        <f t="shared" si="0"/>
        <v>43949</v>
      </c>
      <c r="E47" s="80"/>
      <c r="F47" s="81">
        <f t="shared" si="1"/>
        <v>1984241.0678631202</v>
      </c>
      <c r="G47" s="81"/>
      <c r="H47" s="81"/>
      <c r="I47" s="81"/>
      <c r="J47" s="82">
        <f t="shared" si="2"/>
        <v>0.1</v>
      </c>
      <c r="K47" s="81"/>
      <c r="L47" s="81">
        <f t="shared" si="3"/>
        <v>33</v>
      </c>
      <c r="M47" s="81"/>
      <c r="N47" s="81"/>
      <c r="O47" s="81"/>
      <c r="P47" s="81">
        <f t="shared" si="4"/>
        <v>118642.73743900737</v>
      </c>
      <c r="Q47" s="81"/>
      <c r="R47" s="81"/>
      <c r="S47" s="81"/>
      <c r="T47" s="82">
        <f t="shared" si="5"/>
        <v>0.01</v>
      </c>
      <c r="U47" s="230"/>
      <c r="V47" s="10"/>
    </row>
    <row r="48" spans="4:22" x14ac:dyDescent="0.3">
      <c r="D48" s="79">
        <f t="shared" si="0"/>
        <v>43950</v>
      </c>
      <c r="E48" s="80"/>
      <c r="F48" s="81">
        <f t="shared" si="1"/>
        <v>2182665.1746494323</v>
      </c>
      <c r="G48" s="81"/>
      <c r="H48" s="81"/>
      <c r="I48" s="81"/>
      <c r="J48" s="82">
        <f t="shared" si="2"/>
        <v>0.1</v>
      </c>
      <c r="K48" s="81"/>
      <c r="L48" s="81">
        <f t="shared" si="3"/>
        <v>34</v>
      </c>
      <c r="M48" s="81"/>
      <c r="N48" s="81"/>
      <c r="O48" s="81"/>
      <c r="P48" s="81">
        <f t="shared" si="4"/>
        <v>119829.16481339744</v>
      </c>
      <c r="Q48" s="81"/>
      <c r="R48" s="81"/>
      <c r="S48" s="81"/>
      <c r="T48" s="82">
        <f t="shared" si="5"/>
        <v>0.01</v>
      </c>
      <c r="U48" s="230"/>
      <c r="V48" s="10"/>
    </row>
    <row r="49" spans="4:22" x14ac:dyDescent="0.3">
      <c r="D49" s="79">
        <f t="shared" si="0"/>
        <v>43951</v>
      </c>
      <c r="E49" s="80"/>
      <c r="F49" s="81">
        <f t="shared" si="1"/>
        <v>2400931.6921143755</v>
      </c>
      <c r="G49" s="81"/>
      <c r="H49" s="81"/>
      <c r="I49" s="81"/>
      <c r="J49" s="82">
        <f t="shared" si="2"/>
        <v>0.1</v>
      </c>
      <c r="K49" s="81"/>
      <c r="L49" s="81">
        <f t="shared" si="3"/>
        <v>35</v>
      </c>
      <c r="M49" s="81"/>
      <c r="N49" s="81"/>
      <c r="O49" s="81"/>
      <c r="P49" s="81">
        <f t="shared" si="4"/>
        <v>121027.45646153142</v>
      </c>
      <c r="Q49" s="81"/>
      <c r="R49" s="81"/>
      <c r="S49" s="81"/>
      <c r="T49" s="82">
        <f t="shared" si="5"/>
        <v>0.01</v>
      </c>
      <c r="U49" s="230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2641024.8613258135</v>
      </c>
      <c r="G50" s="81"/>
      <c r="H50" s="81"/>
      <c r="I50" s="81"/>
      <c r="J50" s="82">
        <f t="shared" si="2"/>
        <v>0.1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122237.73102614674</v>
      </c>
      <c r="Q50" s="81"/>
      <c r="R50" s="81"/>
      <c r="S50" s="81"/>
      <c r="T50" s="82">
        <f t="shared" si="5"/>
        <v>0.01</v>
      </c>
      <c r="U50" s="230"/>
      <c r="V50" s="10"/>
    </row>
    <row r="51" spans="4:22" x14ac:dyDescent="0.3">
      <c r="D51" s="79">
        <f t="shared" si="0"/>
        <v>43953</v>
      </c>
      <c r="E51" s="80"/>
      <c r="F51" s="81">
        <f t="shared" si="6"/>
        <v>2905127.3474583952</v>
      </c>
      <c r="G51" s="81"/>
      <c r="H51" s="81"/>
      <c r="I51" s="81"/>
      <c r="J51" s="82">
        <f t="shared" si="2"/>
        <v>0.1</v>
      </c>
      <c r="K51" s="81"/>
      <c r="L51" s="81">
        <f t="shared" si="3"/>
        <v>37</v>
      </c>
      <c r="M51" s="81"/>
      <c r="N51" s="81"/>
      <c r="O51" s="81"/>
      <c r="P51" s="81">
        <f t="shared" si="7"/>
        <v>123460.1083364082</v>
      </c>
      <c r="Q51" s="81"/>
      <c r="R51" s="81"/>
      <c r="S51" s="81"/>
      <c r="T51" s="82">
        <f t="shared" si="5"/>
        <v>0.01</v>
      </c>
      <c r="U51" s="230"/>
      <c r="V51" s="10"/>
    </row>
    <row r="52" spans="4:22" x14ac:dyDescent="0.3">
      <c r="D52" s="79">
        <f t="shared" si="0"/>
        <v>43954</v>
      </c>
      <c r="E52" s="80"/>
      <c r="F52" s="81">
        <f t="shared" si="6"/>
        <v>3195640.0822042348</v>
      </c>
      <c r="G52" s="81"/>
      <c r="H52" s="81"/>
      <c r="I52" s="81"/>
      <c r="J52" s="82">
        <f t="shared" si="2"/>
        <v>0.1</v>
      </c>
      <c r="K52" s="81"/>
      <c r="L52" s="81">
        <f t="shared" si="3"/>
        <v>38</v>
      </c>
      <c r="M52" s="81"/>
      <c r="N52" s="81"/>
      <c r="O52" s="81"/>
      <c r="P52" s="81">
        <f t="shared" si="7"/>
        <v>124694.70941977229</v>
      </c>
      <c r="Q52" s="81"/>
      <c r="R52" s="81"/>
      <c r="S52" s="81"/>
      <c r="T52" s="82">
        <f t="shared" si="5"/>
        <v>0.01</v>
      </c>
      <c r="U52" s="230"/>
      <c r="V52" s="10"/>
    </row>
    <row r="53" spans="4:22" x14ac:dyDescent="0.3">
      <c r="D53" s="79">
        <f t="shared" si="0"/>
        <v>43955</v>
      </c>
      <c r="E53" s="80"/>
      <c r="F53" s="81">
        <f t="shared" si="6"/>
        <v>3515204.0904246587</v>
      </c>
      <c r="G53" s="81"/>
      <c r="H53" s="81"/>
      <c r="I53" s="81"/>
      <c r="J53" s="82">
        <f t="shared" si="2"/>
        <v>0.1</v>
      </c>
      <c r="K53" s="81"/>
      <c r="L53" s="81">
        <f t="shared" si="3"/>
        <v>39</v>
      </c>
      <c r="M53" s="81"/>
      <c r="N53" s="81"/>
      <c r="O53" s="81"/>
      <c r="P53" s="81">
        <f t="shared" si="7"/>
        <v>125941.65651397001</v>
      </c>
      <c r="Q53" s="81"/>
      <c r="R53" s="81"/>
      <c r="S53" s="81"/>
      <c r="T53" s="82">
        <f t="shared" si="5"/>
        <v>0.01</v>
      </c>
      <c r="U53" s="230"/>
      <c r="V53" s="10"/>
    </row>
    <row r="54" spans="4:22" x14ac:dyDescent="0.3">
      <c r="D54" s="79">
        <f t="shared" si="0"/>
        <v>43956</v>
      </c>
      <c r="E54" s="80"/>
      <c r="F54" s="81">
        <f t="shared" si="6"/>
        <v>3866724.4994671247</v>
      </c>
      <c r="G54" s="81"/>
      <c r="H54" s="81"/>
      <c r="I54" s="81"/>
      <c r="J54" s="82">
        <f t="shared" si="2"/>
        <v>0.1</v>
      </c>
      <c r="K54" s="81"/>
      <c r="L54" s="81">
        <f t="shared" si="3"/>
        <v>40</v>
      </c>
      <c r="M54" s="81"/>
      <c r="N54" s="81"/>
      <c r="O54" s="81"/>
      <c r="P54" s="81">
        <f t="shared" si="7"/>
        <v>127201.07307910972</v>
      </c>
      <c r="Q54" s="81"/>
      <c r="R54" s="81"/>
      <c r="S54" s="81"/>
      <c r="T54" s="82">
        <f t="shared" si="5"/>
        <v>0.01</v>
      </c>
      <c r="U54" s="230"/>
      <c r="V54" s="10"/>
    </row>
    <row r="55" spans="4:22" x14ac:dyDescent="0.3">
      <c r="D55" s="79">
        <f t="shared" si="0"/>
        <v>43957</v>
      </c>
      <c r="E55" s="80"/>
      <c r="F55" s="81">
        <f t="shared" si="6"/>
        <v>4253396.9494138379</v>
      </c>
      <c r="G55" s="81"/>
      <c r="H55" s="81"/>
      <c r="I55" s="81"/>
      <c r="J55" s="82">
        <f t="shared" si="2"/>
        <v>0.1</v>
      </c>
      <c r="K55" s="81"/>
      <c r="L55" s="81">
        <f t="shared" si="3"/>
        <v>41</v>
      </c>
      <c r="M55" s="81"/>
      <c r="N55" s="81"/>
      <c r="O55" s="81"/>
      <c r="P55" s="81">
        <f t="shared" si="7"/>
        <v>128473.08380990081</v>
      </c>
      <c r="Q55" s="81"/>
      <c r="R55" s="81"/>
      <c r="S55" s="81"/>
      <c r="T55" s="82">
        <f t="shared" si="5"/>
        <v>0.01</v>
      </c>
      <c r="U55" s="230"/>
      <c r="V55" s="10"/>
    </row>
    <row r="56" spans="4:22" x14ac:dyDescent="0.3">
      <c r="D56" s="79">
        <f t="shared" si="0"/>
        <v>43958</v>
      </c>
      <c r="E56" s="80"/>
      <c r="F56" s="81">
        <f t="shared" si="6"/>
        <v>4678736.6443552217</v>
      </c>
      <c r="G56" s="81"/>
      <c r="H56" s="81"/>
      <c r="I56" s="81"/>
      <c r="J56" s="82">
        <f t="shared" si="2"/>
        <v>0.1</v>
      </c>
      <c r="K56" s="81"/>
      <c r="L56" s="81">
        <f t="shared" si="3"/>
        <v>42</v>
      </c>
      <c r="M56" s="81"/>
      <c r="N56" s="81"/>
      <c r="O56" s="81"/>
      <c r="P56" s="81">
        <f t="shared" si="7"/>
        <v>129757.81464799982</v>
      </c>
      <c r="Q56" s="81"/>
      <c r="R56" s="81"/>
      <c r="S56" s="81"/>
      <c r="T56" s="82">
        <f t="shared" si="5"/>
        <v>0.01</v>
      </c>
      <c r="U56" s="230"/>
      <c r="V56" s="10"/>
    </row>
    <row r="57" spans="4:22" x14ac:dyDescent="0.3">
      <c r="D57" s="79">
        <f t="shared" si="0"/>
        <v>43959</v>
      </c>
      <c r="E57" s="80"/>
      <c r="F57" s="81">
        <f t="shared" si="6"/>
        <v>5146610.3087907443</v>
      </c>
      <c r="G57" s="81"/>
      <c r="H57" s="81"/>
      <c r="I57" s="81"/>
      <c r="J57" s="82">
        <f t="shared" si="2"/>
        <v>0.1</v>
      </c>
      <c r="K57" s="81"/>
      <c r="L57" s="81">
        <f t="shared" si="3"/>
        <v>43</v>
      </c>
      <c r="M57" s="81"/>
      <c r="N57" s="81"/>
      <c r="O57" s="81"/>
      <c r="P57" s="81">
        <f t="shared" si="7"/>
        <v>131055.39279447982</v>
      </c>
      <c r="Q57" s="81"/>
      <c r="R57" s="81"/>
      <c r="S57" s="81"/>
      <c r="T57" s="82">
        <f t="shared" si="5"/>
        <v>0.01</v>
      </c>
      <c r="U57" s="230"/>
      <c r="V57" s="10"/>
    </row>
    <row r="58" spans="4:22" x14ac:dyDescent="0.3">
      <c r="D58" s="79">
        <f t="shared" si="0"/>
        <v>43960</v>
      </c>
      <c r="E58" s="80"/>
      <c r="F58" s="81">
        <f t="shared" si="6"/>
        <v>5661271.339669819</v>
      </c>
      <c r="G58" s="81"/>
      <c r="H58" s="81"/>
      <c r="I58" s="81"/>
      <c r="J58" s="82">
        <f t="shared" si="2"/>
        <v>0.1</v>
      </c>
      <c r="K58" s="81"/>
      <c r="L58" s="81">
        <f t="shared" si="3"/>
        <v>44</v>
      </c>
      <c r="M58" s="81"/>
      <c r="N58" s="81"/>
      <c r="O58" s="81"/>
      <c r="P58" s="81">
        <f t="shared" si="7"/>
        <v>132365.94672242462</v>
      </c>
      <c r="Q58" s="81"/>
      <c r="R58" s="81"/>
      <c r="S58" s="81"/>
      <c r="T58" s="82">
        <f t="shared" si="5"/>
        <v>0.01</v>
      </c>
      <c r="U58" s="230"/>
      <c r="V58" s="10"/>
    </row>
    <row r="59" spans="4:22" x14ac:dyDescent="0.3">
      <c r="D59" s="79">
        <f t="shared" si="0"/>
        <v>43961</v>
      </c>
      <c r="E59" s="80"/>
      <c r="F59" s="81">
        <f t="shared" si="6"/>
        <v>6227398.4736368014</v>
      </c>
      <c r="G59" s="81"/>
      <c r="H59" s="81"/>
      <c r="I59" s="81"/>
      <c r="J59" s="82">
        <f t="shared" si="2"/>
        <v>0.1</v>
      </c>
      <c r="K59" s="81"/>
      <c r="L59" s="81">
        <f t="shared" si="3"/>
        <v>45</v>
      </c>
      <c r="M59" s="81"/>
      <c r="N59" s="81"/>
      <c r="O59" s="81"/>
      <c r="P59" s="81">
        <f t="shared" si="7"/>
        <v>133689.60618964885</v>
      </c>
      <c r="Q59" s="81"/>
      <c r="R59" s="81"/>
      <c r="S59" s="81"/>
      <c r="T59" s="82">
        <f t="shared" si="5"/>
        <v>0.01</v>
      </c>
      <c r="U59" s="230"/>
      <c r="V59" s="10"/>
    </row>
    <row r="60" spans="4:22" ht="15" thickBot="1" x14ac:dyDescent="0.35">
      <c r="D60" s="280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1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8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2020-07-20T10:09:14Z</cp:lastPrinted>
  <dcterms:created xsi:type="dcterms:W3CDTF">2020-03-28T00:34:23Z</dcterms:created>
  <dcterms:modified xsi:type="dcterms:W3CDTF">2020-08-04T01:07:21Z</dcterms:modified>
</cp:coreProperties>
</file>