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1\"/>
    </mc:Choice>
  </mc:AlternateContent>
  <xr:revisionPtr revIDLastSave="0" documentId="8_{848EC194-AB4C-4706-9898-DBF27AF53860}" xr6:coauthVersionLast="47" xr6:coauthVersionMax="47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Table'!$A$1:$CJ$518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629" i="1" l="1"/>
  <c r="BC629" i="1"/>
  <c r="BG629" i="1"/>
  <c r="BA607" i="1"/>
  <c r="BS517" i="1"/>
  <c r="BF517" i="1"/>
  <c r="AU517" i="1"/>
  <c r="AM517" i="1"/>
  <c r="R517" i="1"/>
  <c r="BU516" i="1"/>
  <c r="BU517" i="1" s="1"/>
  <c r="BT516" i="1"/>
  <c r="BT517" i="1" s="1"/>
  <c r="BS516" i="1"/>
  <c r="BQ516" i="1"/>
  <c r="BQ517" i="1" s="1"/>
  <c r="BO516" i="1"/>
  <c r="BO517" i="1" s="1"/>
  <c r="BL516" i="1"/>
  <c r="BL517" i="1" s="1"/>
  <c r="BJ516" i="1"/>
  <c r="BJ517" i="1" s="1"/>
  <c r="BI516" i="1"/>
  <c r="BI517" i="1" s="1"/>
  <c r="BH516" i="1"/>
  <c r="BH517" i="1" s="1"/>
  <c r="BF516" i="1"/>
  <c r="BE516" i="1"/>
  <c r="BE517" i="1" s="1"/>
  <c r="BD516" i="1"/>
  <c r="BD517" i="1" s="1"/>
  <c r="BC516" i="1"/>
  <c r="BC517" i="1" s="1"/>
  <c r="BB516" i="1"/>
  <c r="BB517" i="1" s="1"/>
  <c r="AZ516" i="1"/>
  <c r="AZ517" i="1" s="1"/>
  <c r="AY516" i="1"/>
  <c r="AY517" i="1" s="1"/>
  <c r="AX516" i="1"/>
  <c r="AX517" i="1" s="1"/>
  <c r="AW516" i="1"/>
  <c r="AW517" i="1" s="1"/>
  <c r="AU516" i="1"/>
  <c r="AT516" i="1"/>
  <c r="AT517" i="1" s="1"/>
  <c r="AS516" i="1"/>
  <c r="AS517" i="1" s="1"/>
  <c r="AQ516" i="1"/>
  <c r="AQ517" i="1" s="1"/>
  <c r="AP516" i="1"/>
  <c r="AP517" i="1" s="1"/>
  <c r="AO516" i="1"/>
  <c r="AO517" i="1" s="1"/>
  <c r="AN516" i="1"/>
  <c r="AN517" i="1" s="1"/>
  <c r="AM516" i="1"/>
  <c r="AL516" i="1"/>
  <c r="AL517" i="1" s="1"/>
  <c r="AK516" i="1"/>
  <c r="AK517" i="1" s="1"/>
  <c r="AJ516" i="1"/>
  <c r="AJ517" i="1" s="1"/>
  <c r="AI516" i="1"/>
  <c r="AI517" i="1" s="1"/>
  <c r="AG516" i="1"/>
  <c r="AG517" i="1" s="1"/>
  <c r="AF516" i="1"/>
  <c r="AF517" i="1" s="1"/>
  <c r="AD516" i="1"/>
  <c r="AD517" i="1" s="1"/>
  <c r="AB516" i="1"/>
  <c r="AB517" i="1" s="1"/>
  <c r="AA516" i="1"/>
  <c r="AA517" i="1" s="1"/>
  <c r="Z516" i="1"/>
  <c r="Z517" i="1" s="1"/>
  <c r="Y516" i="1"/>
  <c r="Y517" i="1" s="1"/>
  <c r="X516" i="1"/>
  <c r="X517" i="1" s="1"/>
  <c r="W516" i="1"/>
  <c r="W517" i="1" s="1"/>
  <c r="V516" i="1"/>
  <c r="V517" i="1" s="1"/>
  <c r="U516" i="1"/>
  <c r="U517" i="1" s="1"/>
  <c r="T516" i="1"/>
  <c r="T517" i="1" s="1"/>
  <c r="R516" i="1"/>
  <c r="Q516" i="1"/>
  <c r="Q517" i="1" s="1"/>
  <c r="P516" i="1"/>
  <c r="P517" i="1" s="1"/>
  <c r="M516" i="1"/>
  <c r="M517" i="1" s="1"/>
  <c r="L516" i="1"/>
  <c r="L517" i="1" s="1"/>
  <c r="K516" i="1"/>
  <c r="K517" i="1" s="1"/>
  <c r="I516" i="1"/>
  <c r="I517" i="1" s="1"/>
  <c r="H516" i="1"/>
  <c r="H517" i="1" s="1"/>
  <c r="D516" i="1"/>
  <c r="D517" i="1" s="1"/>
  <c r="BW509" i="1"/>
  <c r="AX509" i="1" s="1"/>
  <c r="BE509" i="1"/>
  <c r="BP509" i="1" s="1"/>
  <c r="BR509" i="1" s="1"/>
  <c r="BR516" i="1" s="1"/>
  <c r="BR517" i="1" s="1"/>
  <c r="BA509" i="1"/>
  <c r="BK509" i="1" s="1"/>
  <c r="BK516" i="1" s="1"/>
  <c r="BK517" i="1" s="1"/>
  <c r="AL509" i="1"/>
  <c r="AR509" i="1" s="1"/>
  <c r="AR516" i="1" s="1"/>
  <c r="AR517" i="1" s="1"/>
  <c r="AG509" i="1"/>
  <c r="AI509" i="1" s="1"/>
  <c r="AA509" i="1"/>
  <c r="AC509" i="1" s="1"/>
  <c r="AC516" i="1" s="1"/>
  <c r="AC517" i="1" s="1"/>
  <c r="Z509" i="1"/>
  <c r="V509" i="1"/>
  <c r="Q509" i="1"/>
  <c r="N509" i="1"/>
  <c r="N516" i="1" s="1"/>
  <c r="N517" i="1" s="1"/>
  <c r="J509" i="1"/>
  <c r="J516" i="1" s="1"/>
  <c r="J517" i="1" s="1"/>
  <c r="H509" i="1"/>
  <c r="AV509" i="1" s="1"/>
  <c r="AV516" i="1" s="1"/>
  <c r="AV517" i="1" s="1"/>
  <c r="B509" i="1"/>
  <c r="B510" i="1" s="1"/>
  <c r="B511" i="1" s="1"/>
  <c r="B512" i="1" s="1"/>
  <c r="B513" i="1" s="1"/>
  <c r="U464" i="3"/>
  <c r="U465" i="3" s="1"/>
  <c r="U466" i="3" s="1"/>
  <c r="U467" i="3" s="1"/>
  <c r="U468" i="3" s="1"/>
  <c r="BE508" i="1"/>
  <c r="BA508" i="1"/>
  <c r="AL508" i="1"/>
  <c r="AR508" i="1" s="1"/>
  <c r="AG508" i="1"/>
  <c r="Z508" i="1"/>
  <c r="Q508" i="1"/>
  <c r="N508" i="1"/>
  <c r="BE507" i="1"/>
  <c r="BA507" i="1"/>
  <c r="AL507" i="1"/>
  <c r="AR507" i="1" s="1"/>
  <c r="AG507" i="1"/>
  <c r="Z507" i="1"/>
  <c r="Q507" i="1"/>
  <c r="N507" i="1"/>
  <c r="BE506" i="1"/>
  <c r="BA506" i="1"/>
  <c r="AL506" i="1"/>
  <c r="AR506" i="1" s="1"/>
  <c r="AG506" i="1"/>
  <c r="Z506" i="1"/>
  <c r="Q506" i="1"/>
  <c r="N506" i="1"/>
  <c r="BA505" i="1"/>
  <c r="BV516" i="1"/>
  <c r="BV517" i="1" s="1"/>
  <c r="BE505" i="1"/>
  <c r="AL505" i="1"/>
  <c r="AR505" i="1" s="1"/>
  <c r="AG505" i="1"/>
  <c r="Z505" i="1"/>
  <c r="Q505" i="1"/>
  <c r="N505" i="1"/>
  <c r="BE504" i="1"/>
  <c r="BA504" i="1"/>
  <c r="AL504" i="1"/>
  <c r="AR504" i="1" s="1"/>
  <c r="AG504" i="1"/>
  <c r="Z504" i="1"/>
  <c r="Q504" i="1"/>
  <c r="N504" i="1"/>
  <c r="BE503" i="1"/>
  <c r="BA503" i="1"/>
  <c r="AL503" i="1"/>
  <c r="AR503" i="1" s="1"/>
  <c r="AG503" i="1"/>
  <c r="Z503" i="1"/>
  <c r="Q503" i="1"/>
  <c r="N503" i="1"/>
  <c r="U516" i="2"/>
  <c r="T516" i="2"/>
  <c r="S516" i="2"/>
  <c r="R516" i="2"/>
  <c r="Q516" i="2"/>
  <c r="P516" i="2"/>
  <c r="O516" i="2"/>
  <c r="N516" i="2"/>
  <c r="M516" i="2"/>
  <c r="L516" i="2"/>
  <c r="K516" i="2"/>
  <c r="J516" i="2"/>
  <c r="I516" i="2"/>
  <c r="H516" i="2"/>
  <c r="G516" i="2"/>
  <c r="E516" i="2"/>
  <c r="S510" i="2"/>
  <c r="W510" i="2"/>
  <c r="K510" i="2"/>
  <c r="Q510" i="2" s="1"/>
  <c r="S509" i="2"/>
  <c r="C510" i="2"/>
  <c r="C511" i="2" s="1"/>
  <c r="C512" i="2" s="1"/>
  <c r="C513" i="2" s="1"/>
  <c r="K509" i="2"/>
  <c r="S508" i="2"/>
  <c r="K508" i="2"/>
  <c r="Q508" i="2" s="1"/>
  <c r="S507" i="2"/>
  <c r="U507" i="2" s="1"/>
  <c r="K507" i="2"/>
  <c r="S506" i="2"/>
  <c r="K506" i="2"/>
  <c r="S505" i="2"/>
  <c r="K505" i="2"/>
  <c r="S504" i="2"/>
  <c r="K504" i="2"/>
  <c r="BA516" i="1" l="1"/>
  <c r="BA517" i="1" s="1"/>
  <c r="BP516" i="1"/>
  <c r="BP517" i="1" s="1"/>
  <c r="BM509" i="1"/>
  <c r="BM516" i="1" s="1"/>
  <c r="BM517" i="1" s="1"/>
  <c r="O509" i="1"/>
  <c r="O516" i="1" s="1"/>
  <c r="O517" i="1" s="1"/>
  <c r="BG509" i="1"/>
  <c r="BG516" i="1" s="1"/>
  <c r="BG517" i="1" s="1"/>
  <c r="S509" i="1"/>
  <c r="S516" i="1" s="1"/>
  <c r="S517" i="1" s="1"/>
  <c r="AE509" i="1"/>
  <c r="AE516" i="1" s="1"/>
  <c r="AE517" i="1" s="1"/>
  <c r="BN509" i="1"/>
  <c r="BN516" i="1" s="1"/>
  <c r="BN517" i="1" s="1"/>
  <c r="BG508" i="1"/>
  <c r="BG507" i="1"/>
  <c r="BG506" i="1"/>
  <c r="BG505" i="1"/>
  <c r="BG504" i="1"/>
  <c r="BG503" i="1"/>
  <c r="U510" i="2"/>
  <c r="M510" i="2"/>
  <c r="Q506" i="2"/>
  <c r="U508" i="2"/>
  <c r="Q509" i="2"/>
  <c r="U506" i="2"/>
  <c r="U509" i="2"/>
  <c r="M507" i="2"/>
  <c r="M509" i="2"/>
  <c r="M508" i="2"/>
  <c r="Q507" i="2"/>
  <c r="M506" i="2"/>
  <c r="M505" i="2"/>
  <c r="Q505" i="2"/>
  <c r="U505" i="2"/>
  <c r="U504" i="2"/>
  <c r="BE502" i="1" l="1"/>
  <c r="BA502" i="1"/>
  <c r="BK508" i="1" s="1"/>
  <c r="AL502" i="1"/>
  <c r="AG502" i="1"/>
  <c r="Z502" i="1"/>
  <c r="Q502" i="1"/>
  <c r="N502" i="1"/>
  <c r="BE501" i="1"/>
  <c r="BA501" i="1"/>
  <c r="AL501" i="1"/>
  <c r="AR501" i="1" s="1"/>
  <c r="AG501" i="1"/>
  <c r="AI508" i="1" s="1"/>
  <c r="Z501" i="1"/>
  <c r="Q501" i="1"/>
  <c r="S508" i="1" s="1"/>
  <c r="N501" i="1"/>
  <c r="BE500" i="1"/>
  <c r="BA500" i="1"/>
  <c r="AL500" i="1"/>
  <c r="AR500" i="1" s="1"/>
  <c r="AG500" i="1"/>
  <c r="AI507" i="1" s="1"/>
  <c r="Z500" i="1"/>
  <c r="Q500" i="1"/>
  <c r="S507" i="1" s="1"/>
  <c r="N500" i="1"/>
  <c r="BE499" i="1"/>
  <c r="BA499" i="1"/>
  <c r="AL499" i="1"/>
  <c r="AR499" i="1" s="1"/>
  <c r="AG499" i="1"/>
  <c r="AI506" i="1" s="1"/>
  <c r="Z499" i="1"/>
  <c r="Q499" i="1"/>
  <c r="S506" i="1" s="1"/>
  <c r="N499" i="1"/>
  <c r="BE498" i="1"/>
  <c r="BA498" i="1"/>
  <c r="AL498" i="1"/>
  <c r="AG498" i="1"/>
  <c r="AI505" i="1" s="1"/>
  <c r="Z498" i="1"/>
  <c r="Q498" i="1"/>
  <c r="S505" i="1" s="1"/>
  <c r="N498" i="1"/>
  <c r="BE497" i="1"/>
  <c r="BA497" i="1"/>
  <c r="AL497" i="1"/>
  <c r="AR497" i="1" s="1"/>
  <c r="AG497" i="1"/>
  <c r="AI504" i="1" s="1"/>
  <c r="Z497" i="1"/>
  <c r="Q497" i="1"/>
  <c r="S504" i="1" s="1"/>
  <c r="N497" i="1"/>
  <c r="BE496" i="1"/>
  <c r="BA496" i="1"/>
  <c r="AL496" i="1"/>
  <c r="AR496" i="1" s="1"/>
  <c r="AG496" i="1"/>
  <c r="AI503" i="1" s="1"/>
  <c r="Z496" i="1"/>
  <c r="Q496" i="1"/>
  <c r="S503" i="1" s="1"/>
  <c r="N496" i="1"/>
  <c r="S503" i="2"/>
  <c r="K503" i="2"/>
  <c r="S502" i="2"/>
  <c r="K502" i="2"/>
  <c r="Q502" i="2" s="1"/>
  <c r="S501" i="2"/>
  <c r="U501" i="2"/>
  <c r="K501" i="2"/>
  <c r="S500" i="2"/>
  <c r="K500" i="2"/>
  <c r="U500" i="2" s="1"/>
  <c r="S499" i="2"/>
  <c r="K499" i="2"/>
  <c r="Q499" i="2" s="1"/>
  <c r="S498" i="2"/>
  <c r="K498" i="2"/>
  <c r="S497" i="2"/>
  <c r="K497" i="2"/>
  <c r="BK507" i="1" l="1"/>
  <c r="BM507" i="1" s="1"/>
  <c r="BK504" i="1"/>
  <c r="BM504" i="1" s="1"/>
  <c r="BM508" i="1"/>
  <c r="BK506" i="1"/>
  <c r="BM506" i="1" s="1"/>
  <c r="BK505" i="1"/>
  <c r="BM505" i="1" s="1"/>
  <c r="AR502" i="1"/>
  <c r="BK502" i="1"/>
  <c r="BK503" i="1"/>
  <c r="Q498" i="2"/>
  <c r="M503" i="2"/>
  <c r="Q504" i="2"/>
  <c r="M504" i="2"/>
  <c r="Q501" i="2"/>
  <c r="BM502" i="1"/>
  <c r="BG502" i="1"/>
  <c r="BG501" i="1"/>
  <c r="BG500" i="1"/>
  <c r="BG499" i="1"/>
  <c r="AR498" i="1"/>
  <c r="BG498" i="1"/>
  <c r="BG497" i="1"/>
  <c r="BG496" i="1"/>
  <c r="U503" i="2"/>
  <c r="Q503" i="2"/>
  <c r="U502" i="2"/>
  <c r="M502" i="2"/>
  <c r="M501" i="2"/>
  <c r="M500" i="2"/>
  <c r="Q500" i="2"/>
  <c r="U499" i="2"/>
  <c r="M499" i="2"/>
  <c r="U498" i="2"/>
  <c r="M498" i="2"/>
  <c r="U497" i="2"/>
  <c r="BM503" i="1" l="1"/>
  <c r="BE495" i="1" l="1"/>
  <c r="BA495" i="1"/>
  <c r="BK501" i="1" s="1"/>
  <c r="BM501" i="1" s="1"/>
  <c r="AL495" i="1"/>
  <c r="AG495" i="1"/>
  <c r="AI502" i="1" s="1"/>
  <c r="Z495" i="1"/>
  <c r="Q495" i="1"/>
  <c r="S502" i="1" s="1"/>
  <c r="N495" i="1"/>
  <c r="BE494" i="1"/>
  <c r="BA494" i="1"/>
  <c r="AL494" i="1"/>
  <c r="AR494" i="1" s="1"/>
  <c r="AG494" i="1"/>
  <c r="AI501" i="1" s="1"/>
  <c r="Z494" i="1"/>
  <c r="Q494" i="1"/>
  <c r="S501" i="1" s="1"/>
  <c r="N494" i="1"/>
  <c r="BE493" i="1"/>
  <c r="BA493" i="1"/>
  <c r="AL493" i="1"/>
  <c r="AR493" i="1" s="1"/>
  <c r="AG493" i="1"/>
  <c r="AI500" i="1" s="1"/>
  <c r="Z493" i="1"/>
  <c r="Q493" i="1"/>
  <c r="S500" i="1" s="1"/>
  <c r="N493" i="1"/>
  <c r="BE492" i="1"/>
  <c r="BA492" i="1"/>
  <c r="AL492" i="1"/>
  <c r="AR492" i="1" s="1"/>
  <c r="AG492" i="1"/>
  <c r="AI499" i="1" s="1"/>
  <c r="Z492" i="1"/>
  <c r="Q492" i="1"/>
  <c r="S499" i="1" s="1"/>
  <c r="N492" i="1"/>
  <c r="BE491" i="1"/>
  <c r="BA491" i="1"/>
  <c r="AL491" i="1"/>
  <c r="AR491" i="1" s="1"/>
  <c r="AG491" i="1"/>
  <c r="AI498" i="1" s="1"/>
  <c r="Z491" i="1"/>
  <c r="Q491" i="1"/>
  <c r="S498" i="1" s="1"/>
  <c r="N491" i="1"/>
  <c r="BE490" i="1"/>
  <c r="BA490" i="1"/>
  <c r="AL490" i="1"/>
  <c r="AR490" i="1" s="1"/>
  <c r="AG490" i="1"/>
  <c r="AI497" i="1" s="1"/>
  <c r="Z490" i="1"/>
  <c r="Q490" i="1"/>
  <c r="S497" i="1" s="1"/>
  <c r="N490" i="1"/>
  <c r="BE489" i="1"/>
  <c r="BA489" i="1"/>
  <c r="AL489" i="1"/>
  <c r="AR489" i="1" s="1"/>
  <c r="AG489" i="1"/>
  <c r="AI496" i="1" s="1"/>
  <c r="Z489" i="1"/>
  <c r="Q489" i="1"/>
  <c r="S496" i="1" s="1"/>
  <c r="N489" i="1"/>
  <c r="S496" i="2"/>
  <c r="K496" i="2"/>
  <c r="S495" i="2"/>
  <c r="K495" i="2"/>
  <c r="S494" i="2"/>
  <c r="K494" i="2"/>
  <c r="S493" i="2"/>
  <c r="K493" i="2"/>
  <c r="S492" i="2"/>
  <c r="K492" i="2"/>
  <c r="S491" i="2"/>
  <c r="K491" i="2"/>
  <c r="M491" i="2" s="1"/>
  <c r="S490" i="2"/>
  <c r="K490" i="2"/>
  <c r="BK500" i="1" l="1"/>
  <c r="BM500" i="1" s="1"/>
  <c r="BK499" i="1"/>
  <c r="BM499" i="1" s="1"/>
  <c r="BK498" i="1"/>
  <c r="M493" i="2"/>
  <c r="Q496" i="2"/>
  <c r="Q497" i="2"/>
  <c r="M497" i="2"/>
  <c r="BK497" i="1"/>
  <c r="BG491" i="1"/>
  <c r="BM498" i="1"/>
  <c r="BK495" i="1"/>
  <c r="BM495" i="1" s="1"/>
  <c r="BK496" i="1"/>
  <c r="U496" i="2"/>
  <c r="Q494" i="2"/>
  <c r="AR495" i="1"/>
  <c r="BG495" i="1"/>
  <c r="BG494" i="1"/>
  <c r="BG493" i="1"/>
  <c r="BG492" i="1"/>
  <c r="BG490" i="1"/>
  <c r="BG489" i="1"/>
  <c r="M496" i="2"/>
  <c r="Q492" i="2"/>
  <c r="Q495" i="2"/>
  <c r="U495" i="2"/>
  <c r="M495" i="2"/>
  <c r="U494" i="2"/>
  <c r="M494" i="2"/>
  <c r="U493" i="2"/>
  <c r="Q493" i="2"/>
  <c r="U492" i="2"/>
  <c r="M492" i="2"/>
  <c r="U491" i="2"/>
  <c r="Q491" i="2"/>
  <c r="U490" i="2"/>
  <c r="BM497" i="1" l="1"/>
  <c r="BM496" i="1"/>
  <c r="BE488" i="1"/>
  <c r="BA488" i="1"/>
  <c r="BK494" i="1" s="1"/>
  <c r="AL488" i="1"/>
  <c r="AR488" i="1" s="1"/>
  <c r="AG488" i="1"/>
  <c r="AI495" i="1" s="1"/>
  <c r="Z488" i="1"/>
  <c r="Q488" i="1"/>
  <c r="S495" i="1" s="1"/>
  <c r="N488" i="1"/>
  <c r="BE487" i="1"/>
  <c r="BA487" i="1"/>
  <c r="AL487" i="1"/>
  <c r="AR487" i="1" s="1"/>
  <c r="AG487" i="1"/>
  <c r="AI494" i="1" s="1"/>
  <c r="Z487" i="1"/>
  <c r="Q487" i="1"/>
  <c r="S494" i="1" s="1"/>
  <c r="N487" i="1"/>
  <c r="BE486" i="1"/>
  <c r="BA486" i="1"/>
  <c r="AL486" i="1"/>
  <c r="AR486" i="1" s="1"/>
  <c r="AG486" i="1"/>
  <c r="AI493" i="1" s="1"/>
  <c r="Z486" i="1"/>
  <c r="Q486" i="1"/>
  <c r="S493" i="1" s="1"/>
  <c r="N486" i="1"/>
  <c r="BE485" i="1"/>
  <c r="BA485" i="1"/>
  <c r="AL485" i="1"/>
  <c r="AR485" i="1" s="1"/>
  <c r="AG485" i="1"/>
  <c r="AI492" i="1" s="1"/>
  <c r="Z485" i="1"/>
  <c r="Q485" i="1"/>
  <c r="S492" i="1" s="1"/>
  <c r="N485" i="1"/>
  <c r="BE484" i="1"/>
  <c r="BA484" i="1"/>
  <c r="AL484" i="1"/>
  <c r="AR484" i="1" s="1"/>
  <c r="AG484" i="1"/>
  <c r="AI491" i="1" s="1"/>
  <c r="Z484" i="1"/>
  <c r="Q484" i="1"/>
  <c r="S491" i="1" s="1"/>
  <c r="N484" i="1"/>
  <c r="BE483" i="1"/>
  <c r="BA483" i="1"/>
  <c r="AL483" i="1"/>
  <c r="AR483" i="1" s="1"/>
  <c r="AG483" i="1"/>
  <c r="AI490" i="1" s="1"/>
  <c r="Z483" i="1"/>
  <c r="Q483" i="1"/>
  <c r="S490" i="1" s="1"/>
  <c r="N483" i="1"/>
  <c r="BE482" i="1"/>
  <c r="BA482" i="1"/>
  <c r="AL482" i="1"/>
  <c r="AR482" i="1" s="1"/>
  <c r="AG482" i="1"/>
  <c r="AI489" i="1" s="1"/>
  <c r="Z482" i="1"/>
  <c r="Q482" i="1"/>
  <c r="S489" i="1" s="1"/>
  <c r="N482" i="1"/>
  <c r="S489" i="2"/>
  <c r="K489" i="2"/>
  <c r="S488" i="2"/>
  <c r="K488" i="2"/>
  <c r="S487" i="2"/>
  <c r="K487" i="2"/>
  <c r="S486" i="2"/>
  <c r="K486" i="2"/>
  <c r="S485" i="2"/>
  <c r="K485" i="2"/>
  <c r="S484" i="2"/>
  <c r="K484" i="2"/>
  <c r="S483" i="2"/>
  <c r="K483" i="2"/>
  <c r="BE481" i="1"/>
  <c r="BA481" i="1"/>
  <c r="AL481" i="1"/>
  <c r="AR481" i="1" s="1"/>
  <c r="AG481" i="1"/>
  <c r="Z481" i="1"/>
  <c r="Q481" i="1"/>
  <c r="N481" i="1"/>
  <c r="BE480" i="1"/>
  <c r="BA480" i="1"/>
  <c r="AL480" i="1"/>
  <c r="AR480" i="1" s="1"/>
  <c r="AG480" i="1"/>
  <c r="Z480" i="1"/>
  <c r="Q480" i="1"/>
  <c r="N480" i="1"/>
  <c r="BE479" i="1"/>
  <c r="BA479" i="1"/>
  <c r="AL479" i="1"/>
  <c r="AR479" i="1" s="1"/>
  <c r="AG479" i="1"/>
  <c r="Z479" i="1"/>
  <c r="Q479" i="1"/>
  <c r="N479" i="1"/>
  <c r="BE478" i="1"/>
  <c r="BA478" i="1"/>
  <c r="AL478" i="1"/>
  <c r="AR478" i="1" s="1"/>
  <c r="AG478" i="1"/>
  <c r="Z478" i="1"/>
  <c r="Q478" i="1"/>
  <c r="N478" i="1"/>
  <c r="BE477" i="1"/>
  <c r="BA477" i="1"/>
  <c r="AL477" i="1"/>
  <c r="AR477" i="1" s="1"/>
  <c r="AG477" i="1"/>
  <c r="Z477" i="1"/>
  <c r="Q477" i="1"/>
  <c r="N477" i="1"/>
  <c r="BE476" i="1"/>
  <c r="BA476" i="1"/>
  <c r="AL476" i="1"/>
  <c r="AR476" i="1" s="1"/>
  <c r="AG476" i="1"/>
  <c r="Z476" i="1"/>
  <c r="Q476" i="1"/>
  <c r="N476" i="1"/>
  <c r="BE475" i="1"/>
  <c r="BA475" i="1"/>
  <c r="AL475" i="1"/>
  <c r="AR475" i="1" s="1"/>
  <c r="AG475" i="1"/>
  <c r="Z475" i="1"/>
  <c r="Q475" i="1"/>
  <c r="N475" i="1"/>
  <c r="S482" i="2"/>
  <c r="K482" i="2"/>
  <c r="S481" i="2"/>
  <c r="K481" i="2"/>
  <c r="S480" i="2"/>
  <c r="K480" i="2"/>
  <c r="S479" i="2"/>
  <c r="K479" i="2"/>
  <c r="S478" i="2"/>
  <c r="K478" i="2"/>
  <c r="S477" i="2"/>
  <c r="K477" i="2"/>
  <c r="S476" i="2"/>
  <c r="K476" i="2"/>
  <c r="BK484" i="1" l="1"/>
  <c r="BM484" i="1" s="1"/>
  <c r="BK490" i="1"/>
  <c r="BM490" i="1" s="1"/>
  <c r="Q485" i="2"/>
  <c r="BK482" i="1"/>
  <c r="BM494" i="1"/>
  <c r="BK492" i="1"/>
  <c r="BM492" i="1" s="1"/>
  <c r="BK489" i="1"/>
  <c r="BM489" i="1" s="1"/>
  <c r="BK493" i="1"/>
  <c r="BM493" i="1" s="1"/>
  <c r="BK491" i="1"/>
  <c r="BM491" i="1" s="1"/>
  <c r="BK485" i="1"/>
  <c r="AI483" i="1"/>
  <c r="AI487" i="1"/>
  <c r="BK488" i="1"/>
  <c r="BK483" i="1"/>
  <c r="BM483" i="1" s="1"/>
  <c r="BK487" i="1"/>
  <c r="BM487" i="1" s="1"/>
  <c r="S483" i="1"/>
  <c r="AI484" i="1"/>
  <c r="BK486" i="1"/>
  <c r="BM486" i="1" s="1"/>
  <c r="S487" i="1"/>
  <c r="AI488" i="1"/>
  <c r="U487" i="2"/>
  <c r="Q480" i="2"/>
  <c r="Q488" i="2"/>
  <c r="U484" i="2"/>
  <c r="U483" i="2"/>
  <c r="Q490" i="2"/>
  <c r="M490" i="2"/>
  <c r="U485" i="2"/>
  <c r="U486" i="2"/>
  <c r="M489" i="2"/>
  <c r="Q483" i="2"/>
  <c r="S488" i="1"/>
  <c r="BG488" i="1"/>
  <c r="BG487" i="1"/>
  <c r="AI486" i="1"/>
  <c r="S486" i="1"/>
  <c r="BG486" i="1"/>
  <c r="BG485" i="1"/>
  <c r="BM485" i="1"/>
  <c r="AI485" i="1"/>
  <c r="S485" i="1"/>
  <c r="BG484" i="1"/>
  <c r="S484" i="1"/>
  <c r="BG483" i="1"/>
  <c r="AI482" i="1"/>
  <c r="BM482" i="1"/>
  <c r="S482" i="1"/>
  <c r="BG482" i="1"/>
  <c r="BK481" i="1"/>
  <c r="U489" i="2"/>
  <c r="Q489" i="2"/>
  <c r="U488" i="2"/>
  <c r="M488" i="2"/>
  <c r="M484" i="2"/>
  <c r="Q481" i="2"/>
  <c r="U478" i="2"/>
  <c r="U482" i="2"/>
  <c r="M479" i="2"/>
  <c r="Q487" i="2"/>
  <c r="M487" i="2"/>
  <c r="M486" i="2"/>
  <c r="Q486" i="2"/>
  <c r="M485" i="2"/>
  <c r="Q484" i="2"/>
  <c r="M483" i="2"/>
  <c r="U481" i="2"/>
  <c r="M482" i="2"/>
  <c r="U480" i="2"/>
  <c r="Q478" i="2"/>
  <c r="BG481" i="1"/>
  <c r="BG480" i="1"/>
  <c r="BG479" i="1"/>
  <c r="BG478" i="1"/>
  <c r="BG477" i="1"/>
  <c r="BG476" i="1"/>
  <c r="BG475" i="1"/>
  <c r="Q482" i="2"/>
  <c r="M481" i="2"/>
  <c r="M480" i="2"/>
  <c r="U479" i="2"/>
  <c r="Q479" i="2"/>
  <c r="M478" i="2"/>
  <c r="M477" i="2"/>
  <c r="U476" i="2"/>
  <c r="U477" i="2"/>
  <c r="Q477" i="2"/>
  <c r="BM488" i="1" l="1"/>
  <c r="BM481" i="1"/>
  <c r="BE474" i="1" l="1"/>
  <c r="BA474" i="1"/>
  <c r="BK480" i="1" s="1"/>
  <c r="AL474" i="1"/>
  <c r="AR474" i="1" s="1"/>
  <c r="AG474" i="1"/>
  <c r="AI481" i="1" s="1"/>
  <c r="Z474" i="1"/>
  <c r="Q474" i="1"/>
  <c r="S481" i="1" s="1"/>
  <c r="N474" i="1"/>
  <c r="BE473" i="1"/>
  <c r="BA473" i="1"/>
  <c r="AL473" i="1"/>
  <c r="AR473" i="1" s="1"/>
  <c r="AG473" i="1"/>
  <c r="AI480" i="1" s="1"/>
  <c r="Z473" i="1"/>
  <c r="Q473" i="1"/>
  <c r="S480" i="1" s="1"/>
  <c r="N473" i="1"/>
  <c r="BE472" i="1"/>
  <c r="BA472" i="1"/>
  <c r="AL472" i="1"/>
  <c r="AR472" i="1" s="1"/>
  <c r="AG472" i="1"/>
  <c r="AI479" i="1" s="1"/>
  <c r="Z472" i="1"/>
  <c r="Q472" i="1"/>
  <c r="S479" i="1" s="1"/>
  <c r="N472" i="1"/>
  <c r="BE471" i="1"/>
  <c r="AL471" i="1"/>
  <c r="AR471" i="1" s="1"/>
  <c r="AG471" i="1"/>
  <c r="AI478" i="1" s="1"/>
  <c r="Z471" i="1"/>
  <c r="Q471" i="1"/>
  <c r="S478" i="1" s="1"/>
  <c r="N471" i="1"/>
  <c r="BK479" i="1" l="1"/>
  <c r="BM479" i="1" s="1"/>
  <c r="BK478" i="1"/>
  <c r="BM478" i="1" s="1"/>
  <c r="BM480" i="1"/>
  <c r="BG474" i="1"/>
  <c r="BG473" i="1"/>
  <c r="BG472" i="1"/>
  <c r="BC470" i="1"/>
  <c r="BE470" i="1"/>
  <c r="AL470" i="1"/>
  <c r="AR470" i="1" s="1"/>
  <c r="AG470" i="1"/>
  <c r="AI477" i="1" s="1"/>
  <c r="Z470" i="1"/>
  <c r="Q470" i="1"/>
  <c r="S477" i="1" s="1"/>
  <c r="N470" i="1"/>
  <c r="BE469" i="1"/>
  <c r="BA469" i="1"/>
  <c r="AL469" i="1"/>
  <c r="AR469" i="1" s="1"/>
  <c r="AG469" i="1"/>
  <c r="AI476" i="1" s="1"/>
  <c r="Z469" i="1"/>
  <c r="Q469" i="1"/>
  <c r="S476" i="1" s="1"/>
  <c r="N469" i="1"/>
  <c r="BE468" i="1"/>
  <c r="BA468" i="1"/>
  <c r="AL468" i="1"/>
  <c r="AR468" i="1" s="1"/>
  <c r="AG468" i="1"/>
  <c r="AI475" i="1" s="1"/>
  <c r="Z468" i="1"/>
  <c r="Q468" i="1"/>
  <c r="S475" i="1" s="1"/>
  <c r="N468" i="1"/>
  <c r="S475" i="2"/>
  <c r="K475" i="2"/>
  <c r="S474" i="2"/>
  <c r="K474" i="2"/>
  <c r="S473" i="2"/>
  <c r="K473" i="2"/>
  <c r="S472" i="2"/>
  <c r="K472" i="2"/>
  <c r="S471" i="2"/>
  <c r="K471" i="2"/>
  <c r="S470" i="2"/>
  <c r="K470" i="2"/>
  <c r="S469" i="2"/>
  <c r="K469" i="2"/>
  <c r="M472" i="2" l="1"/>
  <c r="Q476" i="2"/>
  <c r="M476" i="2"/>
  <c r="U475" i="2"/>
  <c r="BA471" i="1"/>
  <c r="BK477" i="1" s="1"/>
  <c r="BM477" i="1" s="1"/>
  <c r="Q474" i="2"/>
  <c r="U471" i="2"/>
  <c r="BA470" i="1"/>
  <c r="BK475" i="1" s="1"/>
  <c r="BM475" i="1" s="1"/>
  <c r="BG469" i="1"/>
  <c r="BG468" i="1"/>
  <c r="M475" i="2"/>
  <c r="Q475" i="2"/>
  <c r="U474" i="2"/>
  <c r="M474" i="2"/>
  <c r="M473" i="2"/>
  <c r="U473" i="2"/>
  <c r="Q473" i="2"/>
  <c r="U470" i="2"/>
  <c r="Q471" i="2"/>
  <c r="U469" i="2"/>
  <c r="M470" i="2"/>
  <c r="Q470" i="2"/>
  <c r="Q472" i="2"/>
  <c r="U472" i="2"/>
  <c r="M471" i="2"/>
  <c r="BG470" i="1" l="1"/>
  <c r="BK474" i="1"/>
  <c r="BM474" i="1" s="1"/>
  <c r="BK476" i="1"/>
  <c r="BM476" i="1" s="1"/>
  <c r="BG471" i="1"/>
  <c r="CL641" i="1" l="1"/>
  <c r="BE467" i="1" l="1"/>
  <c r="BA467" i="1"/>
  <c r="BK473" i="1" s="1"/>
  <c r="AL467" i="1"/>
  <c r="AR467" i="1" s="1"/>
  <c r="AG467" i="1"/>
  <c r="AI474" i="1" s="1"/>
  <c r="Z467" i="1"/>
  <c r="Q467" i="1"/>
  <c r="S474" i="1" s="1"/>
  <c r="N467" i="1"/>
  <c r="BM473" i="1" l="1"/>
  <c r="BG467" i="1"/>
  <c r="BE466" i="1"/>
  <c r="BA466" i="1"/>
  <c r="BK472" i="1" s="1"/>
  <c r="BM472" i="1" s="1"/>
  <c r="AL466" i="1"/>
  <c r="AR466" i="1" s="1"/>
  <c r="AG466" i="1"/>
  <c r="AI473" i="1" s="1"/>
  <c r="Z466" i="1"/>
  <c r="Q466" i="1"/>
  <c r="S473" i="1" s="1"/>
  <c r="N466" i="1"/>
  <c r="BE465" i="1"/>
  <c r="BA465" i="1"/>
  <c r="AL465" i="1"/>
  <c r="AR465" i="1" s="1"/>
  <c r="AG465" i="1"/>
  <c r="AI472" i="1" s="1"/>
  <c r="Z465" i="1"/>
  <c r="Q465" i="1"/>
  <c r="S472" i="1" s="1"/>
  <c r="N465" i="1"/>
  <c r="BE464" i="1"/>
  <c r="BA464" i="1"/>
  <c r="AL464" i="1"/>
  <c r="AR464" i="1" s="1"/>
  <c r="AG464" i="1"/>
  <c r="AI471" i="1" s="1"/>
  <c r="Z464" i="1"/>
  <c r="Q464" i="1"/>
  <c r="S471" i="1" s="1"/>
  <c r="N464" i="1"/>
  <c r="BE463" i="1"/>
  <c r="BA463" i="1"/>
  <c r="AL463" i="1"/>
  <c r="AR463" i="1" s="1"/>
  <c r="AG463" i="1"/>
  <c r="AI470" i="1" s="1"/>
  <c r="Z463" i="1"/>
  <c r="Q463" i="1"/>
  <c r="S470" i="1" s="1"/>
  <c r="N463" i="1"/>
  <c r="BE462" i="1"/>
  <c r="BA462" i="1"/>
  <c r="AL462" i="1"/>
  <c r="AR462" i="1" s="1"/>
  <c r="AG462" i="1"/>
  <c r="AI469" i="1" s="1"/>
  <c r="Z462" i="1"/>
  <c r="Q462" i="1"/>
  <c r="S469" i="1" s="1"/>
  <c r="N462" i="1"/>
  <c r="BE461" i="1"/>
  <c r="BA461" i="1"/>
  <c r="AL461" i="1"/>
  <c r="AG461" i="1"/>
  <c r="AI468" i="1" s="1"/>
  <c r="Z461" i="1"/>
  <c r="Q461" i="1"/>
  <c r="S468" i="1" s="1"/>
  <c r="N461" i="1"/>
  <c r="S468" i="2"/>
  <c r="K468" i="2"/>
  <c r="S467" i="2"/>
  <c r="K467" i="2"/>
  <c r="S466" i="2"/>
  <c r="K466" i="2"/>
  <c r="S465" i="2"/>
  <c r="K465" i="2"/>
  <c r="S464" i="2"/>
  <c r="K464" i="2"/>
  <c r="S463" i="2"/>
  <c r="K463" i="2"/>
  <c r="S462" i="2"/>
  <c r="K462" i="2"/>
  <c r="BK470" i="1" l="1"/>
  <c r="BM470" i="1" s="1"/>
  <c r="BK469" i="1"/>
  <c r="BM469" i="1" s="1"/>
  <c r="BK468" i="1"/>
  <c r="BM468" i="1" s="1"/>
  <c r="BK471" i="1"/>
  <c r="BM471" i="1" s="1"/>
  <c r="BK467" i="1"/>
  <c r="BM467" i="1"/>
  <c r="M465" i="2"/>
  <c r="U468" i="2"/>
  <c r="Q469" i="2"/>
  <c r="M469" i="2"/>
  <c r="U463" i="2"/>
  <c r="BG466" i="1"/>
  <c r="BG465" i="1"/>
  <c r="BG464" i="1"/>
  <c r="BG463" i="1"/>
  <c r="BG462" i="1"/>
  <c r="AR461" i="1"/>
  <c r="BG461" i="1"/>
  <c r="Q468" i="2"/>
  <c r="M468" i="2"/>
  <c r="U467" i="2"/>
  <c r="Q464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BK466" i="1" s="1"/>
  <c r="BM466" i="1" s="1"/>
  <c r="AL460" i="1"/>
  <c r="AR460" i="1" s="1"/>
  <c r="AG460" i="1"/>
  <c r="AI467" i="1" s="1"/>
  <c r="Z460" i="1"/>
  <c r="Q460" i="1"/>
  <c r="S467" i="1" s="1"/>
  <c r="N460" i="1"/>
  <c r="BE459" i="1"/>
  <c r="BA459" i="1"/>
  <c r="AL459" i="1"/>
  <c r="AR459" i="1" s="1"/>
  <c r="AG459" i="1"/>
  <c r="AI466" i="1" s="1"/>
  <c r="Z459" i="1"/>
  <c r="Q459" i="1"/>
  <c r="S466" i="1" s="1"/>
  <c r="N459" i="1"/>
  <c r="BE458" i="1"/>
  <c r="BA458" i="1"/>
  <c r="AL458" i="1"/>
  <c r="AR458" i="1" s="1"/>
  <c r="AG458" i="1"/>
  <c r="AI465" i="1" s="1"/>
  <c r="Z458" i="1"/>
  <c r="Q458" i="1"/>
  <c r="S465" i="1" s="1"/>
  <c r="N458" i="1"/>
  <c r="BE457" i="1"/>
  <c r="BA457" i="1"/>
  <c r="AL457" i="1"/>
  <c r="AR457" i="1" s="1"/>
  <c r="AG457" i="1"/>
  <c r="AI464" i="1" s="1"/>
  <c r="Z457" i="1"/>
  <c r="Q457" i="1"/>
  <c r="S464" i="1" s="1"/>
  <c r="N457" i="1"/>
  <c r="S461" i="2"/>
  <c r="K461" i="2"/>
  <c r="Q462" i="2" s="1"/>
  <c r="S460" i="2"/>
  <c r="K460" i="2"/>
  <c r="S459" i="2"/>
  <c r="K459" i="2"/>
  <c r="S458" i="2"/>
  <c r="K458" i="2"/>
  <c r="BK465" i="1" l="1"/>
  <c r="BM465" i="1" s="1"/>
  <c r="BK464" i="1"/>
  <c r="BM464" i="1" s="1"/>
  <c r="BK463" i="1"/>
  <c r="BM463" i="1" s="1"/>
  <c r="U460" i="2"/>
  <c r="Q461" i="2"/>
  <c r="M462" i="2"/>
  <c r="Q460" i="2"/>
  <c r="BG460" i="1"/>
  <c r="BG459" i="1"/>
  <c r="BG458" i="1"/>
  <c r="BG457" i="1"/>
  <c r="U461" i="2"/>
  <c r="M461" i="2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489" i="3"/>
  <c r="AJ487" i="3"/>
  <c r="AJ490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BK451" i="1" l="1"/>
  <c r="BM451" i="1" s="1"/>
  <c r="M442" i="2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606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D528" i="1"/>
  <c r="D527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607" i="1"/>
  <c r="BG627" i="1"/>
  <c r="BG628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627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V516" i="2"/>
  <c r="S357" i="2"/>
  <c r="AP641" i="1"/>
  <c r="BP628" i="1"/>
  <c r="BN625" i="1"/>
  <c r="BP625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606" i="1"/>
  <c r="BP606" i="1" s="1"/>
  <c r="BP608" i="1"/>
  <c r="BP609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629" i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626" i="1"/>
  <c r="BP626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BY629" i="1" l="1"/>
  <c r="BP633" i="1"/>
  <c r="Q358" i="2"/>
  <c r="M357" i="2"/>
  <c r="U357" i="2"/>
  <c r="M358" i="2"/>
  <c r="CL635" i="1"/>
  <c r="BA610" i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AI338" i="1" l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39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Q340" i="2" l="1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601" i="1"/>
  <c r="N603" i="1" s="1"/>
  <c r="N604" i="1" l="1"/>
  <c r="D604" i="1" s="1"/>
  <c r="N605" i="1"/>
  <c r="N606" i="1"/>
  <c r="D605" i="1" l="1"/>
  <c r="D606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592" i="1"/>
  <c r="BG592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s="1"/>
  <c r="Q247" i="2" l="1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537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522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516" i="1"/>
  <c r="G517" i="1" s="1"/>
  <c r="F516" i="1"/>
  <c r="F517" i="1" s="1"/>
  <c r="E516" i="1"/>
  <c r="E517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540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197" i="1" l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537" i="1" l="1"/>
  <c r="AR536" i="1"/>
  <c r="AP536" i="1"/>
  <c r="AR535" i="1"/>
  <c r="AP535" i="1"/>
  <c r="AV535" i="1" l="1"/>
  <c r="AV536" i="1"/>
  <c r="AV537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581" i="1"/>
  <c r="N214" i="1"/>
  <c r="N204" i="1"/>
  <c r="BA580" i="1" s="1"/>
  <c r="N174" i="1"/>
  <c r="BA579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580" i="1" l="1"/>
  <c r="BE580" i="1" s="1"/>
  <c r="Q218" i="2"/>
  <c r="BC581" i="1"/>
  <c r="BE581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549" i="1"/>
  <c r="H549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568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521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519" i="1"/>
  <c r="BK522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569" i="1"/>
  <c r="AP570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564" i="1"/>
  <c r="H565" i="1"/>
  <c r="J565" i="1" s="1"/>
  <c r="H566" i="1"/>
  <c r="J566" i="1" s="1"/>
  <c r="S154" i="2"/>
  <c r="M156" i="2" l="1"/>
  <c r="Q156" i="2"/>
  <c r="O566" i="1"/>
  <c r="AI154" i="1"/>
  <c r="AI161" i="1"/>
  <c r="BK160" i="1"/>
  <c r="BM160" i="1" s="1"/>
  <c r="AR154" i="1"/>
  <c r="BG154" i="1"/>
  <c r="U155" i="2"/>
  <c r="J564" i="1"/>
  <c r="J571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567" i="1"/>
  <c r="AA566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504" i="3"/>
  <c r="F505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Q146" i="2" l="1"/>
  <c r="M145" i="2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542" i="1" l="1"/>
  <c r="AR534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541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546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533" i="1" s="1"/>
  <c r="AH113" i="1"/>
  <c r="AP533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533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553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V464" i="1" s="1"/>
  <c r="V465" i="1" s="1"/>
  <c r="V466" i="1" s="1"/>
  <c r="BE120" i="1"/>
  <c r="BA120" i="1"/>
  <c r="AL120" i="1"/>
  <c r="AR120" i="1" s="1"/>
  <c r="K121" i="2"/>
  <c r="V467" i="1" l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M122" i="2"/>
  <c r="Q122" i="2"/>
  <c r="BG120" i="1"/>
  <c r="U121" i="2"/>
  <c r="V488" i="1" l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D118" i="1"/>
  <c r="N124" i="1" s="1"/>
  <c r="D116" i="1"/>
  <c r="D115" i="1"/>
  <c r="D114" i="1"/>
  <c r="V508" i="1" l="1"/>
  <c r="AH145" i="1"/>
  <c r="N143" i="1"/>
  <c r="AG540" i="1"/>
  <c r="AP534" i="1" s="1"/>
  <c r="AV534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BA578" i="1" l="1"/>
  <c r="BC579" i="1" s="1"/>
  <c r="BE579" i="1" s="1"/>
  <c r="BE590" i="1"/>
  <c r="BE594" i="1" s="1"/>
  <c r="S127" i="1"/>
  <c r="S128" i="1"/>
  <c r="BE119" i="1"/>
  <c r="BA119" i="1"/>
  <c r="AL119" i="1"/>
  <c r="AR119" i="1" s="1"/>
  <c r="Q119" i="1"/>
  <c r="S126" i="1" s="1"/>
  <c r="K120" i="2"/>
  <c r="BG581" i="1" l="1"/>
  <c r="Q121" i="2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BA590" i="1" s="1"/>
  <c r="AL113" i="1"/>
  <c r="K114" i="2"/>
  <c r="BA594" i="1" l="1"/>
  <c r="BC592" i="1"/>
  <c r="BG590" i="1"/>
  <c r="M115" i="2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486" i="3"/>
  <c r="AA485" i="3"/>
  <c r="AA484" i="3"/>
  <c r="AA483" i="3"/>
  <c r="AA482" i="3"/>
  <c r="AA481" i="3"/>
  <c r="AA480" i="3"/>
  <c r="AA479" i="3"/>
  <c r="AA478" i="3"/>
  <c r="AA477" i="3"/>
  <c r="Y487" i="3"/>
  <c r="W487" i="3"/>
  <c r="S107" i="2"/>
  <c r="AA487" i="3" l="1"/>
  <c r="AA490" i="3" s="1"/>
  <c r="Q109" i="2"/>
  <c r="M109" i="2"/>
  <c r="BG107" i="1"/>
  <c r="U108" i="2"/>
  <c r="M108" i="2"/>
  <c r="BE106" i="1"/>
  <c r="BA106" i="1"/>
  <c r="AL106" i="1"/>
  <c r="AR106" i="1" s="1"/>
  <c r="K107" i="2"/>
  <c r="Q108" i="2" s="1"/>
  <c r="U487" i="3" l="1"/>
  <c r="BG106" i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498" i="3"/>
  <c r="F501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532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532" i="1"/>
  <c r="AV532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488" i="3" l="1"/>
  <c r="I485" i="3"/>
  <c r="L485" i="3" s="1"/>
  <c r="I78" i="3"/>
  <c r="I80" i="3" s="1"/>
  <c r="I77" i="3"/>
  <c r="BE64" i="1"/>
  <c r="BA64" i="1"/>
  <c r="AL64" i="1"/>
  <c r="AR64" i="1" s="1"/>
  <c r="K65" i="2"/>
  <c r="Y19" i="3"/>
  <c r="Q66" i="2" l="1"/>
  <c r="M66" i="2"/>
  <c r="L488" i="3"/>
  <c r="I79" i="3"/>
  <c r="I81" i="3" s="1"/>
  <c r="I82" i="3" s="1"/>
  <c r="BG64" i="1"/>
  <c r="U65" i="2"/>
  <c r="S64" i="2"/>
  <c r="N81" i="3" l="1"/>
  <c r="N82" i="3" s="1"/>
  <c r="I487" i="3"/>
  <c r="L487" i="3" s="1"/>
  <c r="K64" i="2"/>
  <c r="BE63" i="1"/>
  <c r="BA63" i="1"/>
  <c r="AL63" i="1"/>
  <c r="AR63" i="1" s="1"/>
  <c r="Y18" i="3"/>
  <c r="Q65" i="2" l="1"/>
  <c r="M65" i="2"/>
  <c r="I489" i="3"/>
  <c r="U64" i="2"/>
  <c r="BG63" i="1"/>
  <c r="L478" i="3" l="1"/>
  <c r="L489" i="3"/>
  <c r="L477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528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K34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577" i="1"/>
  <c r="B580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U362" i="3" l="1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531" i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539" i="1"/>
  <c r="AR541" i="1" s="1"/>
  <c r="AV541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531" i="1"/>
  <c r="AV531" i="1" s="1"/>
  <c r="BA537" i="1" s="1"/>
  <c r="BA538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514" i="2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W474" i="2" s="1"/>
  <c r="W475" i="2" s="1"/>
  <c r="W476" i="2" s="1"/>
  <c r="W477" i="2" s="1"/>
  <c r="W478" i="2" s="1"/>
  <c r="W479" i="2" s="1"/>
  <c r="W480" i="2" s="1"/>
  <c r="W481" i="2" s="1"/>
  <c r="W482" i="2" s="1"/>
  <c r="W483" i="2" s="1"/>
  <c r="W484" i="2" s="1"/>
  <c r="W485" i="2" s="1"/>
  <c r="W486" i="2" s="1"/>
  <c r="W487" i="2" s="1"/>
  <c r="W488" i="2" s="1"/>
  <c r="W489" i="2" s="1"/>
  <c r="W490" i="2" s="1"/>
  <c r="W491" i="2" s="1"/>
  <c r="W492" i="2" s="1"/>
  <c r="W493" i="2" s="1"/>
  <c r="W494" i="2" s="1"/>
  <c r="W495" i="2" s="1"/>
  <c r="W496" i="2" s="1"/>
  <c r="W497" i="2" s="1"/>
  <c r="W498" i="2" s="1"/>
  <c r="W499" i="2" s="1"/>
  <c r="W500" i="2" s="1"/>
  <c r="W501" i="2" s="1"/>
  <c r="W502" i="2" s="1"/>
  <c r="W503" i="2" s="1"/>
  <c r="W504" i="2" s="1"/>
  <c r="W505" i="2" s="1"/>
  <c r="W506" i="2" s="1"/>
  <c r="W507" i="2" s="1"/>
  <c r="W508" i="2" s="1"/>
  <c r="W509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62" i="2" l="1"/>
  <c r="C463" i="2" s="1"/>
  <c r="C464" i="2" s="1"/>
  <c r="C465" i="2" s="1"/>
  <c r="C466" i="2" s="1"/>
  <c r="C467" i="2" s="1"/>
  <c r="C468" i="2" s="1"/>
  <c r="C469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C470" i="2" l="1"/>
  <c r="C471" i="2" s="1"/>
  <c r="C472" i="2" s="1"/>
  <c r="C473" i="2" s="1"/>
  <c r="U403" i="3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C474" i="2" l="1"/>
  <c r="C475" i="2" s="1"/>
  <c r="U409" i="3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C476" i="2" l="1"/>
  <c r="C477" i="2" s="1"/>
  <c r="C478" i="2" s="1"/>
  <c r="C479" i="2" s="1"/>
  <c r="C480" i="2" s="1"/>
  <c r="C481" i="2" s="1"/>
  <c r="C482" i="2" s="1"/>
  <c r="U412" i="3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C483" i="2" l="1"/>
  <c r="C484" i="2" s="1"/>
  <c r="C485" i="2" s="1"/>
  <c r="C486" i="2" s="1"/>
  <c r="C487" i="2" s="1"/>
  <c r="U415" i="3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C488" i="2" l="1"/>
  <c r="C489" i="2" s="1"/>
  <c r="U418" i="3"/>
  <c r="U419" i="3" s="1"/>
  <c r="U420" i="3" s="1"/>
  <c r="U421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C490" i="2" l="1"/>
  <c r="C491" i="2" s="1"/>
  <c r="C492" i="2" s="1"/>
  <c r="C493" i="2" s="1"/>
  <c r="C494" i="2" s="1"/>
  <c r="C495" i="2" s="1"/>
  <c r="U422" i="3"/>
  <c r="U423" i="3" s="1"/>
  <c r="U424" i="3" s="1"/>
  <c r="U425" i="3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C496" i="2" l="1"/>
  <c r="U426" i="3"/>
  <c r="U427" i="3" s="1"/>
  <c r="U428" i="3" s="1"/>
  <c r="U429" i="3" s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C497" i="2" l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4" i="2" s="1"/>
  <c r="U430" i="3"/>
  <c r="U431" i="3" s="1"/>
  <c r="U432" i="3" s="1"/>
  <c r="U433" i="3" s="1"/>
  <c r="B234" i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U434" i="3" l="1"/>
  <c r="U435" i="3" s="1"/>
  <c r="U436" i="3" s="1"/>
  <c r="B243" i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U437" i="3" l="1"/>
  <c r="U438" i="3" s="1"/>
  <c r="U439" i="3" s="1"/>
  <c r="U440" i="3" s="1"/>
  <c r="U441" i="3" s="1"/>
  <c r="U442" i="3" s="1"/>
  <c r="B247" i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U443" i="3" l="1"/>
  <c r="U444" i="3" s="1"/>
  <c r="U445" i="3" s="1"/>
  <c r="U446" i="3" s="1"/>
  <c r="U447" i="3" s="1"/>
  <c r="B252" i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U448" i="3" l="1"/>
  <c r="U449" i="3" s="1"/>
  <c r="U450" i="3" s="1"/>
  <c r="U451" i="3" s="1"/>
  <c r="U452" i="3" s="1"/>
  <c r="U453" i="3" s="1"/>
  <c r="U454" i="3" s="1"/>
  <c r="U455" i="3" s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U456" i="3" l="1"/>
  <c r="U457" i="3" s="1"/>
  <c r="U458" i="3" s="1"/>
  <c r="AA24" i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U459" i="3" l="1"/>
  <c r="U460" i="3" s="1"/>
  <c r="U461" i="3" s="1"/>
  <c r="U462" i="3" s="1"/>
  <c r="U463" i="3" s="1"/>
  <c r="U469" i="3" s="1"/>
  <c r="AE24" i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283" i="1" l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292" i="1" l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297" i="1" l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B304" i="1" l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311" i="1" l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B318" i="1" l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B325" i="1" l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AE34" i="1" l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B340" i="1" l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B348" i="1" l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B353" i="1" l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359" i="1" l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369" i="1" l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372" i="1" l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B381" i="1" l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B391" i="1" l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H42" i="1"/>
  <c r="O42" i="1" s="1"/>
  <c r="J42" i="1" l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AC42" i="1"/>
  <c r="B404" i="1" l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B407" i="1" l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B412" i="1" l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418" i="1" l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421" i="1" l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426" i="1" l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430" i="1" l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434" i="1" l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441" i="1" l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B445" i="1" l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B448" i="1" l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B453" i="1" l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457" i="1" l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462" i="1" l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473" i="1" l="1"/>
  <c r="B474" i="1" s="1"/>
  <c r="BW111" i="1"/>
  <c r="AX110" i="1"/>
  <c r="BN110" i="1"/>
  <c r="BR81" i="1"/>
  <c r="BP82" i="1"/>
  <c r="AA61" i="1"/>
  <c r="AE60" i="1"/>
  <c r="AE59" i="1"/>
  <c r="AV58" i="1"/>
  <c r="J59" i="1"/>
  <c r="H59" i="1"/>
  <c r="O58" i="1"/>
  <c r="B475" i="1" l="1"/>
  <c r="B476" i="1" s="1"/>
  <c r="B477" i="1" s="1"/>
  <c r="B478" i="1" s="1"/>
  <c r="B479" i="1" s="1"/>
  <c r="B480" i="1" s="1"/>
  <c r="B481" i="1" s="1"/>
  <c r="BW112" i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482" i="1" l="1"/>
  <c r="B483" i="1" s="1"/>
  <c r="B484" i="1" s="1"/>
  <c r="BW113" i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485" i="1" l="1"/>
  <c r="B486" i="1" s="1"/>
  <c r="B487" i="1" s="1"/>
  <c r="B488" i="1" s="1"/>
  <c r="BW115" i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489" i="1" l="1"/>
  <c r="B490" i="1" s="1"/>
  <c r="B491" i="1" s="1"/>
  <c r="B492" i="1" s="1"/>
  <c r="B493" i="1" s="1"/>
  <c r="B494" i="1" s="1"/>
  <c r="BW116" i="1"/>
  <c r="AX115" i="1"/>
  <c r="BN115" i="1"/>
  <c r="BP89" i="1"/>
  <c r="BR88" i="1"/>
  <c r="AE65" i="1"/>
  <c r="AA66" i="1"/>
  <c r="AE64" i="1"/>
  <c r="AV62" i="1"/>
  <c r="H63" i="1"/>
  <c r="J63" i="1"/>
  <c r="O62" i="1"/>
  <c r="AC62" i="1"/>
  <c r="B495" i="1" l="1"/>
  <c r="B496" i="1" s="1"/>
  <c r="B497" i="1" s="1"/>
  <c r="B498" i="1" s="1"/>
  <c r="BW117" i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499" i="1" l="1"/>
  <c r="B500" i="1" s="1"/>
  <c r="B501" i="1" s="1"/>
  <c r="B502" i="1" s="1"/>
  <c r="B503" i="1" s="1"/>
  <c r="BW118" i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504" i="1" l="1"/>
  <c r="B505" i="1" s="1"/>
  <c r="B506" i="1" s="1"/>
  <c r="B507" i="1" s="1"/>
  <c r="B508" i="1" s="1"/>
  <c r="B514" i="1" s="1"/>
  <c r="BW119" i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489" i="3"/>
  <c r="Y490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489" i="3"/>
  <c r="W490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550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603" i="1" s="1"/>
  <c r="O173" i="1"/>
  <c r="AV173" i="1"/>
  <c r="AC173" i="1"/>
  <c r="BE603" i="1" l="1"/>
  <c r="BA625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625" i="1" l="1"/>
  <c r="BP603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625" i="1" l="1"/>
  <c r="BC625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616" i="1" s="1"/>
  <c r="BA604" i="1" s="1"/>
  <c r="J235" i="1"/>
  <c r="O234" i="1"/>
  <c r="AC234" i="1"/>
  <c r="BE604" i="1" l="1"/>
  <c r="BA626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604" i="1" l="1"/>
  <c r="BE626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626" i="1" l="1"/>
  <c r="BC626" i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H530" i="1"/>
  <c r="AV269" i="1"/>
  <c r="H531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618" i="1"/>
  <c r="BA605" i="1" s="1"/>
  <c r="BA609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611" i="1"/>
  <c r="AA403" i="1"/>
  <c r="AA404" i="1" s="1"/>
  <c r="AE402" i="1"/>
  <c r="BE605" i="1"/>
  <c r="BA627" i="1"/>
  <c r="BA628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612" i="1"/>
  <c r="BA629" i="1" s="1"/>
  <c r="AA405" i="1"/>
  <c r="AE404" i="1"/>
  <c r="AE403" i="1"/>
  <c r="BE609" i="1"/>
  <c r="BE627" i="1"/>
  <c r="BP605" i="1"/>
  <c r="AC329" i="1"/>
  <c r="J330" i="1"/>
  <c r="H330" i="1"/>
  <c r="AV329" i="1"/>
  <c r="O329" i="1"/>
  <c r="BE628" i="1" l="1"/>
  <c r="BC627" i="1"/>
  <c r="AX439" i="1"/>
  <c r="BW440" i="1"/>
  <c r="BW441" i="1" s="1"/>
  <c r="BN439" i="1"/>
  <c r="BR424" i="1"/>
  <c r="BP425" i="1"/>
  <c r="BP426" i="1" s="1"/>
  <c r="AE405" i="1"/>
  <c r="AA406" i="1"/>
  <c r="AA407" i="1" s="1"/>
  <c r="BR627" i="1"/>
  <c r="D609" i="1"/>
  <c r="AH509" i="1" s="1"/>
  <c r="AH516" i="1" s="1"/>
  <c r="BG609" i="1"/>
  <c r="AC330" i="1"/>
  <c r="J331" i="1"/>
  <c r="H331" i="1"/>
  <c r="O330" i="1"/>
  <c r="AV330" i="1"/>
  <c r="AA285" i="3"/>
  <c r="AA286" i="3"/>
  <c r="AA283" i="3"/>
  <c r="AA284" i="3"/>
  <c r="AA282" i="3"/>
  <c r="AH503" i="1" l="1"/>
  <c r="AH508" i="1"/>
  <c r="AH517" i="1" s="1"/>
  <c r="AH504" i="1"/>
  <c r="AH506" i="1"/>
  <c r="AH505" i="1"/>
  <c r="AH507" i="1"/>
  <c r="BR628" i="1"/>
  <c r="BC628" i="1"/>
  <c r="AH499" i="1"/>
  <c r="AH500" i="1"/>
  <c r="AH502" i="1"/>
  <c r="AH501" i="1"/>
  <c r="AH495" i="1"/>
  <c r="AH497" i="1"/>
  <c r="AH496" i="1"/>
  <c r="AH498" i="1"/>
  <c r="AH492" i="1"/>
  <c r="AH490" i="1"/>
  <c r="AH491" i="1"/>
  <c r="AH494" i="1"/>
  <c r="AH493" i="1"/>
  <c r="AH489" i="1"/>
  <c r="AH484" i="1"/>
  <c r="AH483" i="1"/>
  <c r="AH486" i="1"/>
  <c r="AH487" i="1"/>
  <c r="AH488" i="1"/>
  <c r="AH485" i="1"/>
  <c r="AH482" i="1"/>
  <c r="AH481" i="1"/>
  <c r="AH476" i="1"/>
  <c r="AH478" i="1"/>
  <c r="AH475" i="1"/>
  <c r="AH479" i="1"/>
  <c r="AH477" i="1"/>
  <c r="AH480" i="1"/>
  <c r="AH474" i="1"/>
  <c r="AH472" i="1"/>
  <c r="AH473" i="1"/>
  <c r="AH469" i="1"/>
  <c r="AH470" i="1"/>
  <c r="AH471" i="1"/>
  <c r="AH468" i="1"/>
  <c r="AH467" i="1"/>
  <c r="AH464" i="1"/>
  <c r="AH466" i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609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BW514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W464" i="1" s="1"/>
  <c r="BR448" i="1"/>
  <c r="BP449" i="1"/>
  <c r="BR447" i="1"/>
  <c r="AA428" i="1"/>
  <c r="AE427" i="1"/>
  <c r="J348" i="1"/>
  <c r="H348" i="1"/>
  <c r="AV347" i="1"/>
  <c r="O347" i="1"/>
  <c r="AC347" i="1"/>
  <c r="BN464" i="1" l="1"/>
  <c r="AX464" i="1"/>
  <c r="BW465" i="1"/>
  <c r="AX463" i="1"/>
  <c r="BN463" i="1"/>
  <c r="BR449" i="1"/>
  <c r="BP450" i="1"/>
  <c r="AA429" i="1"/>
  <c r="AA430" i="1" s="1"/>
  <c r="AE428" i="1"/>
  <c r="AV348" i="1"/>
  <c r="J349" i="1"/>
  <c r="H349" i="1"/>
  <c r="O348" i="1"/>
  <c r="AC348" i="1"/>
  <c r="BW466" i="1" l="1"/>
  <c r="AX465" i="1"/>
  <c r="BN465" i="1"/>
  <c r="BP451" i="1"/>
  <c r="BR450" i="1"/>
  <c r="AA431" i="1"/>
  <c r="AE430" i="1"/>
  <c r="AE429" i="1"/>
  <c r="J350" i="1"/>
  <c r="H350" i="1"/>
  <c r="AV349" i="1"/>
  <c r="O349" i="1"/>
  <c r="AC349" i="1"/>
  <c r="AX466" i="1" l="1"/>
  <c r="BW467" i="1"/>
  <c r="BW468" i="1" s="1"/>
  <c r="BN466" i="1"/>
  <c r="BR451" i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X468" i="1" l="1"/>
  <c r="BW469" i="1"/>
  <c r="BN468" i="1"/>
  <c r="BN467" i="1"/>
  <c r="AX467" i="1"/>
  <c r="BR453" i="1"/>
  <c r="BP454" i="1"/>
  <c r="BR452" i="1"/>
  <c r="AA433" i="1"/>
  <c r="AA434" i="1" s="1"/>
  <c r="AE432" i="1"/>
  <c r="AV351" i="1"/>
  <c r="J352" i="1"/>
  <c r="H352" i="1"/>
  <c r="O351" i="1"/>
  <c r="AC351" i="1"/>
  <c r="BN469" i="1" l="1"/>
  <c r="BW470" i="1"/>
  <c r="AX469" i="1"/>
  <c r="BR454" i="1"/>
  <c r="BP455" i="1"/>
  <c r="AA435" i="1"/>
  <c r="AE434" i="1"/>
  <c r="AE433" i="1"/>
  <c r="AV352" i="1"/>
  <c r="J353" i="1"/>
  <c r="H353" i="1"/>
  <c r="O352" i="1"/>
  <c r="AC352" i="1"/>
  <c r="BW471" i="1" l="1"/>
  <c r="AX470" i="1"/>
  <c r="BN470" i="1"/>
  <c r="BR455" i="1"/>
  <c r="BP456" i="1"/>
  <c r="BP457" i="1" s="1"/>
  <c r="AE435" i="1"/>
  <c r="AA436" i="1"/>
  <c r="AV353" i="1"/>
  <c r="J354" i="1"/>
  <c r="H354" i="1"/>
  <c r="O353" i="1"/>
  <c r="AC353" i="1"/>
  <c r="BW472" i="1" l="1"/>
  <c r="BN471" i="1"/>
  <c r="AX471" i="1"/>
  <c r="BR457" i="1"/>
  <c r="BP458" i="1"/>
  <c r="BR456" i="1"/>
  <c r="AE436" i="1"/>
  <c r="AA437" i="1"/>
  <c r="AA438" i="1" s="1"/>
  <c r="AV354" i="1"/>
  <c r="J355" i="1"/>
  <c r="H355" i="1"/>
  <c r="O354" i="1"/>
  <c r="AC354" i="1"/>
  <c r="AX472" i="1" l="1"/>
  <c r="BW473" i="1"/>
  <c r="BN472" i="1"/>
  <c r="BR458" i="1"/>
  <c r="BP459" i="1"/>
  <c r="AE438" i="1"/>
  <c r="AA439" i="1"/>
  <c r="AE437" i="1"/>
  <c r="J356" i="1"/>
  <c r="H356" i="1"/>
  <c r="AV355" i="1"/>
  <c r="O355" i="1"/>
  <c r="AC355" i="1"/>
  <c r="BN473" i="1" l="1"/>
  <c r="AX473" i="1"/>
  <c r="BW474" i="1"/>
  <c r="BW475" i="1" s="1"/>
  <c r="BR459" i="1"/>
  <c r="BP460" i="1"/>
  <c r="BP461" i="1" s="1"/>
  <c r="AA440" i="1"/>
  <c r="AA441" i="1" s="1"/>
  <c r="AE439" i="1"/>
  <c r="AV356" i="1"/>
  <c r="J357" i="1"/>
  <c r="H357" i="1"/>
  <c r="O356" i="1"/>
  <c r="AC356" i="1"/>
  <c r="AX475" i="1" l="1"/>
  <c r="BW476" i="1"/>
  <c r="BN475" i="1"/>
  <c r="AX474" i="1"/>
  <c r="BN474" i="1"/>
  <c r="BR461" i="1"/>
  <c r="BP462" i="1"/>
  <c r="BR460" i="1"/>
  <c r="AA442" i="1"/>
  <c r="AE441" i="1"/>
  <c r="AE440" i="1"/>
  <c r="AV357" i="1"/>
  <c r="J358" i="1"/>
  <c r="H358" i="1"/>
  <c r="O357" i="1"/>
  <c r="AC357" i="1"/>
  <c r="AX476" i="1" l="1"/>
  <c r="BW477" i="1"/>
  <c r="BN476" i="1"/>
  <c r="BR462" i="1"/>
  <c r="BP463" i="1"/>
  <c r="BP464" i="1" s="1"/>
  <c r="AA443" i="1"/>
  <c r="AE442" i="1"/>
  <c r="J359" i="1"/>
  <c r="H359" i="1"/>
  <c r="AV358" i="1"/>
  <c r="O358" i="1"/>
  <c r="AC358" i="1"/>
  <c r="AA311" i="3"/>
  <c r="AA312" i="3"/>
  <c r="AA310" i="3"/>
  <c r="AX477" i="1" l="1"/>
  <c r="BW478" i="1"/>
  <c r="BN477" i="1"/>
  <c r="BR464" i="1"/>
  <c r="BP465" i="1"/>
  <c r="BR463" i="1"/>
  <c r="AA444" i="1"/>
  <c r="AA445" i="1" s="1"/>
  <c r="AE443" i="1"/>
  <c r="AV359" i="1"/>
  <c r="J360" i="1"/>
  <c r="H360" i="1"/>
  <c r="O359" i="1"/>
  <c r="AC359" i="1"/>
  <c r="AX478" i="1" l="1"/>
  <c r="BN478" i="1"/>
  <c r="BW479" i="1"/>
  <c r="BP466" i="1"/>
  <c r="BR465" i="1"/>
  <c r="AA446" i="1"/>
  <c r="AE445" i="1"/>
  <c r="AE444" i="1"/>
  <c r="AV360" i="1"/>
  <c r="J361" i="1"/>
  <c r="H361" i="1"/>
  <c r="O360" i="1"/>
  <c r="AC360" i="1"/>
  <c r="BN479" i="1" l="1"/>
  <c r="AX479" i="1"/>
  <c r="BW480" i="1"/>
  <c r="BP467" i="1"/>
  <c r="BP468" i="1" s="1"/>
  <c r="BR466" i="1"/>
  <c r="AA447" i="1"/>
  <c r="AA448" i="1" s="1"/>
  <c r="AE446" i="1"/>
  <c r="AV361" i="1"/>
  <c r="O361" i="1"/>
  <c r="J362" i="1"/>
  <c r="H362" i="1"/>
  <c r="AC361" i="1"/>
  <c r="AA315" i="3"/>
  <c r="AA316" i="3"/>
  <c r="AA313" i="3"/>
  <c r="AA314" i="3"/>
  <c r="BW481" i="1" l="1"/>
  <c r="BW482" i="1" s="1"/>
  <c r="AX480" i="1"/>
  <c r="BN480" i="1"/>
  <c r="BR468" i="1"/>
  <c r="BP469" i="1"/>
  <c r="BR467" i="1"/>
  <c r="AA449" i="1"/>
  <c r="AE448" i="1"/>
  <c r="AE447" i="1"/>
  <c r="H363" i="1"/>
  <c r="J363" i="1"/>
  <c r="O362" i="1"/>
  <c r="AV362" i="1"/>
  <c r="AC362" i="1"/>
  <c r="BN482" i="1" l="1"/>
  <c r="AX482" i="1"/>
  <c r="BW483" i="1"/>
  <c r="BN481" i="1"/>
  <c r="AX481" i="1"/>
  <c r="BR469" i="1"/>
  <c r="BP470" i="1"/>
  <c r="AA450" i="1"/>
  <c r="AE449" i="1"/>
  <c r="AV363" i="1"/>
  <c r="J364" i="1"/>
  <c r="H364" i="1"/>
  <c r="O363" i="1"/>
  <c r="AC363" i="1"/>
  <c r="AX483" i="1" l="1"/>
  <c r="BW484" i="1"/>
  <c r="BN483" i="1"/>
  <c r="BP471" i="1"/>
  <c r="BR470" i="1"/>
  <c r="AE450" i="1"/>
  <c r="AA451" i="1"/>
  <c r="AC364" i="1"/>
  <c r="H365" i="1"/>
  <c r="J365" i="1"/>
  <c r="O364" i="1"/>
  <c r="AV364" i="1"/>
  <c r="BN484" i="1" l="1"/>
  <c r="BW485" i="1"/>
  <c r="AX484" i="1"/>
  <c r="BP472" i="1"/>
  <c r="BR471" i="1"/>
  <c r="AA452" i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BN485" i="1" l="1"/>
  <c r="AX485" i="1"/>
  <c r="BW486" i="1"/>
  <c r="BR472" i="1"/>
  <c r="BP473" i="1"/>
  <c r="AE453" i="1"/>
  <c r="AA454" i="1"/>
  <c r="AE452" i="1"/>
  <c r="AV366" i="1"/>
  <c r="J367" i="1"/>
  <c r="H367" i="1"/>
  <c r="O366" i="1"/>
  <c r="AC366" i="1"/>
  <c r="BN486" i="1" l="1"/>
  <c r="BW487" i="1"/>
  <c r="AX486" i="1"/>
  <c r="BR473" i="1"/>
  <c r="BP474" i="1"/>
  <c r="BP475" i="1" s="1"/>
  <c r="AE454" i="1"/>
  <c r="AA455" i="1"/>
  <c r="AV367" i="1"/>
  <c r="H368" i="1"/>
  <c r="J368" i="1"/>
  <c r="O367" i="1"/>
  <c r="AC367" i="1"/>
  <c r="AX487" i="1" l="1"/>
  <c r="BW488" i="1"/>
  <c r="BW489" i="1" s="1"/>
  <c r="BN487" i="1"/>
  <c r="BR475" i="1"/>
  <c r="BP476" i="1"/>
  <c r="BR474" i="1"/>
  <c r="AA456" i="1"/>
  <c r="AA457" i="1" s="1"/>
  <c r="AE455" i="1"/>
  <c r="J369" i="1"/>
  <c r="H369" i="1"/>
  <c r="AV368" i="1"/>
  <c r="O368" i="1"/>
  <c r="AC368" i="1"/>
  <c r="AX489" i="1" l="1"/>
  <c r="BW490" i="1"/>
  <c r="BN489" i="1"/>
  <c r="BN488" i="1"/>
  <c r="AX488" i="1"/>
  <c r="BR476" i="1"/>
  <c r="BP477" i="1"/>
  <c r="AE457" i="1"/>
  <c r="AA458" i="1"/>
  <c r="AE456" i="1"/>
  <c r="AV369" i="1"/>
  <c r="J370" i="1"/>
  <c r="H370" i="1"/>
  <c r="O369" i="1"/>
  <c r="AC369" i="1"/>
  <c r="AX490" i="1" l="1"/>
  <c r="BW491" i="1"/>
  <c r="BN490" i="1"/>
  <c r="BR477" i="1"/>
  <c r="BP478" i="1"/>
  <c r="AE458" i="1"/>
  <c r="AA459" i="1"/>
  <c r="AV370" i="1"/>
  <c r="H371" i="1"/>
  <c r="J371" i="1"/>
  <c r="O370" i="1"/>
  <c r="AC370" i="1"/>
  <c r="AX491" i="1" l="1"/>
  <c r="BW492" i="1"/>
  <c r="BN491" i="1"/>
  <c r="BR478" i="1"/>
  <c r="BP479" i="1"/>
  <c r="AA460" i="1"/>
  <c r="AA461" i="1" s="1"/>
  <c r="AE459" i="1"/>
  <c r="J372" i="1"/>
  <c r="H372" i="1"/>
  <c r="AC371" i="1"/>
  <c r="O371" i="1"/>
  <c r="AV371" i="1"/>
  <c r="AA325" i="3"/>
  <c r="AA326" i="3"/>
  <c r="AA324" i="3"/>
  <c r="BN492" i="1" l="1"/>
  <c r="BW493" i="1"/>
  <c r="AX492" i="1"/>
  <c r="BR479" i="1"/>
  <c r="BP480" i="1"/>
  <c r="AA462" i="1"/>
  <c r="AE461" i="1"/>
  <c r="AE460" i="1"/>
  <c r="AV372" i="1"/>
  <c r="H373" i="1"/>
  <c r="J373" i="1"/>
  <c r="O372" i="1"/>
  <c r="AC372" i="1"/>
  <c r="AX493" i="1" l="1"/>
  <c r="BW494" i="1"/>
  <c r="BW495" i="1" s="1"/>
  <c r="BN493" i="1"/>
  <c r="BR480" i="1"/>
  <c r="BP481" i="1"/>
  <c r="BP482" i="1" s="1"/>
  <c r="AE462" i="1"/>
  <c r="AA463" i="1"/>
  <c r="AA464" i="1" s="1"/>
  <c r="AV373" i="1"/>
  <c r="J374" i="1"/>
  <c r="H374" i="1"/>
  <c r="O373" i="1"/>
  <c r="AC373" i="1"/>
  <c r="AX495" i="1" l="1"/>
  <c r="BW496" i="1"/>
  <c r="BN495" i="1"/>
  <c r="BN494" i="1"/>
  <c r="AX494" i="1"/>
  <c r="BR482" i="1"/>
  <c r="BP483" i="1"/>
  <c r="BR481" i="1"/>
  <c r="AA465" i="1"/>
  <c r="AE464" i="1"/>
  <c r="AE463" i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X496" i="1" l="1"/>
  <c r="BW497" i="1"/>
  <c r="BN496" i="1"/>
  <c r="BR483" i="1"/>
  <c r="BP484" i="1"/>
  <c r="AE465" i="1"/>
  <c r="AA466" i="1"/>
  <c r="AV375" i="1"/>
  <c r="J376" i="1"/>
  <c r="O375" i="1"/>
  <c r="H376" i="1"/>
  <c r="AC375" i="1"/>
  <c r="AX497" i="1" l="1"/>
  <c r="BW498" i="1"/>
  <c r="BW499" i="1" s="1"/>
  <c r="BN497" i="1"/>
  <c r="BP485" i="1"/>
  <c r="BR484" i="1"/>
  <c r="AA467" i="1"/>
  <c r="AA468" i="1" s="1"/>
  <c r="AE466" i="1"/>
  <c r="AV376" i="1"/>
  <c r="J377" i="1"/>
  <c r="H377" i="1"/>
  <c r="O376" i="1"/>
  <c r="AC376" i="1"/>
  <c r="BN499" i="1" l="1"/>
  <c r="BW500" i="1"/>
  <c r="AX499" i="1"/>
  <c r="BN498" i="1"/>
  <c r="AX498" i="1"/>
  <c r="BP486" i="1"/>
  <c r="BR485" i="1"/>
  <c r="AA469" i="1"/>
  <c r="AE468" i="1"/>
  <c r="AE467" i="1"/>
  <c r="AV377" i="1"/>
  <c r="J378" i="1"/>
  <c r="H378" i="1"/>
  <c r="O377" i="1"/>
  <c r="AC377" i="1"/>
  <c r="BN500" i="1" l="1"/>
  <c r="AX500" i="1"/>
  <c r="BW501" i="1"/>
  <c r="BR486" i="1"/>
  <c r="BP487" i="1"/>
  <c r="AE469" i="1"/>
  <c r="AA470" i="1"/>
  <c r="J379" i="1"/>
  <c r="H379" i="1"/>
  <c r="O378" i="1"/>
  <c r="AV378" i="1"/>
  <c r="AC378" i="1"/>
  <c r="BN501" i="1" l="1"/>
  <c r="BW502" i="1"/>
  <c r="AX501" i="1"/>
  <c r="BR487" i="1"/>
  <c r="BP488" i="1"/>
  <c r="BP489" i="1" s="1"/>
  <c r="AE470" i="1"/>
  <c r="AA471" i="1"/>
  <c r="AV379" i="1"/>
  <c r="J380" i="1"/>
  <c r="H380" i="1"/>
  <c r="O379" i="1"/>
  <c r="AC379" i="1"/>
  <c r="AX502" i="1" l="1"/>
  <c r="BW503" i="1"/>
  <c r="BW504" i="1" s="1"/>
  <c r="BN502" i="1"/>
  <c r="BR489" i="1"/>
  <c r="BP490" i="1"/>
  <c r="BR488" i="1"/>
  <c r="AE471" i="1"/>
  <c r="AA472" i="1"/>
  <c r="H381" i="1"/>
  <c r="J381" i="1"/>
  <c r="AV380" i="1"/>
  <c r="O380" i="1"/>
  <c r="AC380" i="1"/>
  <c r="BN504" i="1" l="1"/>
  <c r="AX504" i="1"/>
  <c r="BW505" i="1"/>
  <c r="AX503" i="1"/>
  <c r="BN503" i="1"/>
  <c r="BR490" i="1"/>
  <c r="BP491" i="1"/>
  <c r="AA473" i="1"/>
  <c r="AE472" i="1"/>
  <c r="AV381" i="1"/>
  <c r="J382" i="1"/>
  <c r="H382" i="1"/>
  <c r="O381" i="1"/>
  <c r="AC381" i="1"/>
  <c r="AX505" i="1" l="1"/>
  <c r="BW506" i="1"/>
  <c r="BN505" i="1"/>
  <c r="BR491" i="1"/>
  <c r="BP492" i="1"/>
  <c r="AA474" i="1"/>
  <c r="AA475" i="1" s="1"/>
  <c r="AE473" i="1"/>
  <c r="AV382" i="1"/>
  <c r="H383" i="1"/>
  <c r="J383" i="1"/>
  <c r="O382" i="1"/>
  <c r="AC382" i="1"/>
  <c r="BN506" i="1" l="1"/>
  <c r="BW507" i="1"/>
  <c r="AX506" i="1"/>
  <c r="BR492" i="1"/>
  <c r="BP493" i="1"/>
  <c r="AA476" i="1"/>
  <c r="AE475" i="1"/>
  <c r="AE474" i="1"/>
  <c r="AV383" i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X507" i="1" l="1"/>
  <c r="BW508" i="1"/>
  <c r="BN507" i="1"/>
  <c r="BR493" i="1"/>
  <c r="BP494" i="1"/>
  <c r="BP495" i="1" s="1"/>
  <c r="AA477" i="1"/>
  <c r="AE476" i="1"/>
  <c r="AV384" i="1"/>
  <c r="J385" i="1"/>
  <c r="H385" i="1"/>
  <c r="O384" i="1"/>
  <c r="AC384" i="1"/>
  <c r="AX508" i="1" l="1"/>
  <c r="BN508" i="1"/>
  <c r="BR495" i="1"/>
  <c r="BP496" i="1"/>
  <c r="BR494" i="1"/>
  <c r="AE477" i="1"/>
  <c r="AA478" i="1"/>
  <c r="AV385" i="1"/>
  <c r="J386" i="1"/>
  <c r="H386" i="1"/>
  <c r="O385" i="1"/>
  <c r="AC385" i="1"/>
  <c r="BR496" i="1" l="1"/>
  <c r="BP497" i="1"/>
  <c r="AE478" i="1"/>
  <c r="AA479" i="1"/>
  <c r="AV386" i="1"/>
  <c r="H387" i="1"/>
  <c r="J387" i="1"/>
  <c r="O386" i="1"/>
  <c r="AC386" i="1"/>
  <c r="BR497" i="1" l="1"/>
  <c r="BP498" i="1"/>
  <c r="BP499" i="1" s="1"/>
  <c r="AE479" i="1"/>
  <c r="AA480" i="1"/>
  <c r="AV387" i="1"/>
  <c r="J388" i="1"/>
  <c r="H388" i="1"/>
  <c r="O387" i="1"/>
  <c r="AC387" i="1"/>
  <c r="BR499" i="1" l="1"/>
  <c r="BP500" i="1"/>
  <c r="BR498" i="1"/>
  <c r="AE480" i="1"/>
  <c r="AA481" i="1"/>
  <c r="AA482" i="1" s="1"/>
  <c r="AV388" i="1"/>
  <c r="J389" i="1"/>
  <c r="H389" i="1"/>
  <c r="O388" i="1"/>
  <c r="AC388" i="1"/>
  <c r="BR500" i="1" l="1"/>
  <c r="BP501" i="1"/>
  <c r="AE482" i="1"/>
  <c r="AA483" i="1"/>
  <c r="AE481" i="1"/>
  <c r="AV389" i="1"/>
  <c r="O389" i="1"/>
  <c r="J390" i="1"/>
  <c r="H390" i="1"/>
  <c r="AC389" i="1"/>
  <c r="BR501" i="1" l="1"/>
  <c r="BP502" i="1"/>
  <c r="AA484" i="1"/>
  <c r="AE483" i="1"/>
  <c r="J391" i="1"/>
  <c r="H391" i="1"/>
  <c r="AV390" i="1"/>
  <c r="O390" i="1"/>
  <c r="AC390" i="1"/>
  <c r="BR502" i="1" l="1"/>
  <c r="BP503" i="1"/>
  <c r="BP504" i="1" s="1"/>
  <c r="AE484" i="1"/>
  <c r="AA485" i="1"/>
  <c r="AV391" i="1"/>
  <c r="J392" i="1"/>
  <c r="O391" i="1"/>
  <c r="H392" i="1"/>
  <c r="AC391" i="1"/>
  <c r="BR504" i="1" l="1"/>
  <c r="BP505" i="1"/>
  <c r="BR503" i="1"/>
  <c r="AE485" i="1"/>
  <c r="AA486" i="1"/>
  <c r="AV392" i="1"/>
  <c r="J393" i="1"/>
  <c r="H393" i="1"/>
  <c r="O392" i="1"/>
  <c r="AC392" i="1"/>
  <c r="BP506" i="1" l="1"/>
  <c r="BR505" i="1"/>
  <c r="AE486" i="1"/>
  <c r="AA487" i="1"/>
  <c r="AV393" i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BP507" i="1" l="1"/>
  <c r="BR506" i="1"/>
  <c r="AA488" i="1"/>
  <c r="AA489" i="1" s="1"/>
  <c r="AE487" i="1"/>
  <c r="AV394" i="1"/>
  <c r="J395" i="1"/>
  <c r="H395" i="1"/>
  <c r="O394" i="1"/>
  <c r="AC394" i="1"/>
  <c r="BR507" i="1" l="1"/>
  <c r="BP508" i="1"/>
  <c r="AA490" i="1"/>
  <c r="AE489" i="1"/>
  <c r="AE488" i="1"/>
  <c r="AV395" i="1"/>
  <c r="J396" i="1"/>
  <c r="H396" i="1"/>
  <c r="O395" i="1"/>
  <c r="AC395" i="1"/>
  <c r="BR508" i="1" l="1"/>
  <c r="AA491" i="1"/>
  <c r="AE490" i="1"/>
  <c r="AV396" i="1"/>
  <c r="J397" i="1"/>
  <c r="H397" i="1"/>
  <c r="O396" i="1"/>
  <c r="AC396" i="1"/>
  <c r="AA492" i="1" l="1"/>
  <c r="AE491" i="1"/>
  <c r="AV397" i="1"/>
  <c r="J398" i="1"/>
  <c r="H398" i="1"/>
  <c r="O397" i="1"/>
  <c r="AC397" i="1"/>
  <c r="AE492" i="1" l="1"/>
  <c r="AA493" i="1"/>
  <c r="H399" i="1"/>
  <c r="J399" i="1"/>
  <c r="AV398" i="1"/>
  <c r="O398" i="1"/>
  <c r="AC398" i="1"/>
  <c r="AA494" i="1" l="1"/>
  <c r="AA495" i="1" s="1"/>
  <c r="AE493" i="1"/>
  <c r="J400" i="1"/>
  <c r="H400" i="1"/>
  <c r="AV399" i="1"/>
  <c r="O399" i="1"/>
  <c r="AC399" i="1"/>
  <c r="AA496" i="1" l="1"/>
  <c r="AE495" i="1"/>
  <c r="AE494" i="1"/>
  <c r="AV400" i="1"/>
  <c r="H401" i="1"/>
  <c r="J401" i="1"/>
  <c r="O400" i="1"/>
  <c r="AC400" i="1"/>
  <c r="AE496" i="1" l="1"/>
  <c r="AA497" i="1"/>
  <c r="AV401" i="1"/>
  <c r="J402" i="1"/>
  <c r="H402" i="1"/>
  <c r="O401" i="1"/>
  <c r="AC401" i="1"/>
  <c r="AA357" i="3"/>
  <c r="AA355" i="3"/>
  <c r="AA356" i="3"/>
  <c r="AA354" i="3"/>
  <c r="AA498" i="1" l="1"/>
  <c r="AA499" i="1" s="1"/>
  <c r="AE497" i="1"/>
  <c r="O402" i="1"/>
  <c r="J403" i="1"/>
  <c r="H403" i="1"/>
  <c r="AV402" i="1"/>
  <c r="AC402" i="1"/>
  <c r="AE499" i="1" l="1"/>
  <c r="AA500" i="1"/>
  <c r="AE498" i="1"/>
  <c r="J404" i="1"/>
  <c r="H404" i="1"/>
  <c r="AV403" i="1"/>
  <c r="O403" i="1"/>
  <c r="AC403" i="1"/>
  <c r="AA501" i="1" l="1"/>
  <c r="AE500" i="1"/>
  <c r="AV404" i="1"/>
  <c r="H405" i="1"/>
  <c r="J405" i="1"/>
  <c r="O404" i="1"/>
  <c r="AC404" i="1"/>
  <c r="AA502" i="1" l="1"/>
  <c r="AE501" i="1"/>
  <c r="AV405" i="1"/>
  <c r="J406" i="1"/>
  <c r="H406" i="1"/>
  <c r="O405" i="1"/>
  <c r="AC405" i="1"/>
  <c r="AE502" i="1" l="1"/>
  <c r="AA503" i="1"/>
  <c r="AA504" i="1" s="1"/>
  <c r="J407" i="1"/>
  <c r="H407" i="1"/>
  <c r="AV406" i="1"/>
  <c r="O406" i="1"/>
  <c r="AC406" i="1"/>
  <c r="AA361" i="3"/>
  <c r="AA359" i="3"/>
  <c r="AA360" i="3"/>
  <c r="AA358" i="3"/>
  <c r="AA505" i="1" l="1"/>
  <c r="AE504" i="1"/>
  <c r="AE503" i="1"/>
  <c r="AV407" i="1"/>
  <c r="J408" i="1"/>
  <c r="H408" i="1"/>
  <c r="O407" i="1"/>
  <c r="AC407" i="1"/>
  <c r="AA506" i="1" l="1"/>
  <c r="AE505" i="1"/>
  <c r="AV408" i="1"/>
  <c r="J409" i="1"/>
  <c r="H409" i="1"/>
  <c r="O408" i="1"/>
  <c r="AC408" i="1"/>
  <c r="AE506" i="1" l="1"/>
  <c r="AA507" i="1"/>
  <c r="AV409" i="1"/>
  <c r="H410" i="1"/>
  <c r="J410" i="1"/>
  <c r="O409" i="1"/>
  <c r="AC409" i="1"/>
  <c r="AA365" i="3"/>
  <c r="AA363" i="3"/>
  <c r="AA364" i="3"/>
  <c r="AA362" i="3"/>
  <c r="AA508" i="1" l="1"/>
  <c r="AE507" i="1"/>
  <c r="AV410" i="1"/>
  <c r="H411" i="1"/>
  <c r="J411" i="1"/>
  <c r="O410" i="1"/>
  <c r="AC410" i="1"/>
  <c r="AE508" i="1" l="1"/>
  <c r="J412" i="1"/>
  <c r="H412" i="1"/>
  <c r="AV411" i="1"/>
  <c r="O411" i="1"/>
  <c r="AC411" i="1"/>
  <c r="I21" i="3" l="1"/>
  <c r="I35" i="3" s="1"/>
  <c r="AJ21" i="2"/>
  <c r="AD49" i="2"/>
  <c r="AD51" i="2" s="1"/>
  <c r="AD53" i="2" s="1"/>
  <c r="AD55" i="2" s="1"/>
  <c r="AD57" i="2" s="1"/>
  <c r="AV412" i="1"/>
  <c r="J413" i="1"/>
  <c r="H413" i="1"/>
  <c r="O412" i="1"/>
  <c r="AC412" i="1"/>
  <c r="AV413" i="1" l="1"/>
  <c r="J414" i="1"/>
  <c r="H414" i="1"/>
  <c r="O413" i="1"/>
  <c r="AC413" i="1"/>
  <c r="AV414" i="1" l="1"/>
  <c r="H415" i="1"/>
  <c r="J415" i="1"/>
  <c r="O414" i="1"/>
  <c r="AC414" i="1"/>
  <c r="AA371" i="3"/>
  <c r="AA369" i="3"/>
  <c r="AA370" i="3"/>
  <c r="AA367" i="3"/>
  <c r="AA368" i="3"/>
  <c r="AA366" i="3"/>
  <c r="AV415" i="1" l="1"/>
  <c r="J416" i="1"/>
  <c r="H416" i="1"/>
  <c r="O415" i="1"/>
  <c r="AC415" i="1"/>
  <c r="AV416" i="1" l="1"/>
  <c r="J417" i="1"/>
  <c r="H417" i="1"/>
  <c r="O416" i="1"/>
  <c r="AC416" i="1"/>
  <c r="J418" i="1" l="1"/>
  <c r="H418" i="1"/>
  <c r="AV417" i="1"/>
  <c r="O417" i="1"/>
  <c r="AC417" i="1"/>
  <c r="AV418" i="1" l="1"/>
  <c r="H419" i="1"/>
  <c r="J419" i="1"/>
  <c r="O418" i="1"/>
  <c r="AC418" i="1"/>
  <c r="AV419" i="1" l="1"/>
  <c r="H420" i="1"/>
  <c r="J420" i="1"/>
  <c r="O419" i="1"/>
  <c r="AC419" i="1"/>
  <c r="AA375" i="3"/>
  <c r="AA373" i="3"/>
  <c r="AA374" i="3"/>
  <c r="AA372" i="3"/>
  <c r="J421" i="1" l="1"/>
  <c r="H421" i="1"/>
  <c r="AV420" i="1"/>
  <c r="O420" i="1"/>
  <c r="AC420" i="1"/>
  <c r="AV421" i="1" l="1"/>
  <c r="H422" i="1"/>
  <c r="O421" i="1"/>
  <c r="J422" i="1"/>
  <c r="AC421" i="1"/>
  <c r="AV422" i="1" l="1"/>
  <c r="J423" i="1"/>
  <c r="H423" i="1"/>
  <c r="O422" i="1"/>
  <c r="AC422" i="1"/>
  <c r="AV423" i="1" l="1"/>
  <c r="J424" i="1"/>
  <c r="H424" i="1"/>
  <c r="O423" i="1"/>
  <c r="AC423" i="1"/>
  <c r="AA379" i="3"/>
  <c r="AA377" i="3"/>
  <c r="AA378" i="3"/>
  <c r="AA376" i="3"/>
  <c r="AV424" i="1" l="1"/>
  <c r="H425" i="1"/>
  <c r="J425" i="1"/>
  <c r="O424" i="1"/>
  <c r="AC424" i="1"/>
  <c r="J426" i="1" l="1"/>
  <c r="H426" i="1"/>
  <c r="AV425" i="1"/>
  <c r="O425" i="1"/>
  <c r="AC425" i="1"/>
  <c r="AV426" i="1" l="1"/>
  <c r="J427" i="1"/>
  <c r="H427" i="1"/>
  <c r="O426" i="1"/>
  <c r="AC426" i="1"/>
  <c r="AV427" i="1" l="1"/>
  <c r="J428" i="1"/>
  <c r="H428" i="1"/>
  <c r="O427" i="1"/>
  <c r="AC427" i="1"/>
  <c r="AV428" i="1" l="1"/>
  <c r="H429" i="1"/>
  <c r="J429" i="1"/>
  <c r="O428" i="1"/>
  <c r="AC428" i="1"/>
  <c r="AA383" i="3"/>
  <c r="AA384" i="3"/>
  <c r="AA381" i="3"/>
  <c r="AA382" i="3"/>
  <c r="AA380" i="3"/>
  <c r="J430" i="1" l="1"/>
  <c r="H430" i="1"/>
  <c r="AV429" i="1"/>
  <c r="O429" i="1"/>
  <c r="AC429" i="1"/>
  <c r="AV430" i="1" l="1"/>
  <c r="O430" i="1"/>
  <c r="J431" i="1"/>
  <c r="H431" i="1"/>
  <c r="AC430" i="1"/>
  <c r="AV431" i="1" l="1"/>
  <c r="J432" i="1"/>
  <c r="H432" i="1"/>
  <c r="O431" i="1"/>
  <c r="AC431" i="1"/>
  <c r="AV432" i="1" l="1"/>
  <c r="H433" i="1"/>
  <c r="J433" i="1"/>
  <c r="O432" i="1"/>
  <c r="AC432" i="1"/>
  <c r="AA386" i="3"/>
  <c r="AA387" i="3"/>
  <c r="AA385" i="3"/>
  <c r="J434" i="1" l="1"/>
  <c r="H434" i="1"/>
  <c r="AV433" i="1"/>
  <c r="O433" i="1"/>
  <c r="AC433" i="1"/>
  <c r="AV434" i="1" l="1"/>
  <c r="H435" i="1"/>
  <c r="J435" i="1"/>
  <c r="O434" i="1"/>
  <c r="AC434" i="1"/>
  <c r="AV435" i="1" l="1"/>
  <c r="O435" i="1"/>
  <c r="J436" i="1"/>
  <c r="H436" i="1"/>
  <c r="AC435" i="1"/>
  <c r="AV436" i="1" l="1"/>
  <c r="O436" i="1"/>
  <c r="H437" i="1"/>
  <c r="J437" i="1"/>
  <c r="AC436" i="1"/>
  <c r="AA391" i="3"/>
  <c r="AA389" i="3"/>
  <c r="AA390" i="3"/>
  <c r="AA388" i="3"/>
  <c r="J438" i="1" l="1"/>
  <c r="H438" i="1"/>
  <c r="AV437" i="1"/>
  <c r="O437" i="1"/>
  <c r="AC437" i="1"/>
  <c r="AV438" i="1" l="1"/>
  <c r="O438" i="1"/>
  <c r="J439" i="1"/>
  <c r="H439" i="1"/>
  <c r="AC438" i="1"/>
  <c r="AV439" i="1" l="1"/>
  <c r="J440" i="1"/>
  <c r="H440" i="1"/>
  <c r="O439" i="1"/>
  <c r="AC439" i="1"/>
  <c r="AA395" i="3"/>
  <c r="AA392" i="3"/>
  <c r="J441" i="1" l="1"/>
  <c r="H441" i="1"/>
  <c r="AV440" i="1"/>
  <c r="O440" i="1"/>
  <c r="AC440" i="1"/>
  <c r="AA393" i="3"/>
  <c r="AA394" i="3"/>
  <c r="AV441" i="1" l="1"/>
  <c r="J442" i="1"/>
  <c r="H442" i="1"/>
  <c r="O441" i="1"/>
  <c r="AC441" i="1"/>
  <c r="AV442" i="1" l="1"/>
  <c r="J443" i="1"/>
  <c r="H443" i="1"/>
  <c r="O442" i="1"/>
  <c r="AC442" i="1"/>
  <c r="AV443" i="1" l="1"/>
  <c r="J444" i="1"/>
  <c r="H444" i="1"/>
  <c r="O443" i="1"/>
  <c r="AC443" i="1"/>
  <c r="AA399" i="3"/>
  <c r="AA397" i="3"/>
  <c r="AA398" i="3"/>
  <c r="AA396" i="3"/>
  <c r="H445" i="1" l="1"/>
  <c r="J445" i="1"/>
  <c r="AV444" i="1"/>
  <c r="O444" i="1"/>
  <c r="AC444" i="1"/>
  <c r="AV445" i="1" l="1"/>
  <c r="J446" i="1"/>
  <c r="H446" i="1"/>
  <c r="O445" i="1"/>
  <c r="AC445" i="1"/>
  <c r="AV446" i="1" l="1"/>
  <c r="J447" i="1"/>
  <c r="H447" i="1"/>
  <c r="O446" i="1"/>
  <c r="AC446" i="1"/>
  <c r="J448" i="1" l="1"/>
  <c r="H448" i="1"/>
  <c r="AV447" i="1"/>
  <c r="O447" i="1"/>
  <c r="AC447" i="1"/>
  <c r="AA401" i="3"/>
  <c r="AA402" i="3"/>
  <c r="AA400" i="3"/>
  <c r="O448" i="1" l="1"/>
  <c r="J449" i="1"/>
  <c r="H449" i="1"/>
  <c r="AV448" i="1"/>
  <c r="AC448" i="1"/>
  <c r="AV449" i="1" l="1"/>
  <c r="J450" i="1"/>
  <c r="H450" i="1"/>
  <c r="O449" i="1"/>
  <c r="AC449" i="1"/>
  <c r="AV450" i="1" l="1"/>
  <c r="H451" i="1"/>
  <c r="J451" i="1"/>
  <c r="O450" i="1"/>
  <c r="AC450" i="1"/>
  <c r="AA406" i="3"/>
  <c r="AA407" i="3"/>
  <c r="AA404" i="3"/>
  <c r="AA405" i="3"/>
  <c r="AA403" i="3"/>
  <c r="AV451" i="1" l="1"/>
  <c r="J452" i="1"/>
  <c r="H452" i="1"/>
  <c r="O451" i="1"/>
  <c r="AC451" i="1"/>
  <c r="J453" i="1" l="1"/>
  <c r="H453" i="1"/>
  <c r="AV452" i="1"/>
  <c r="O452" i="1"/>
  <c r="AC452" i="1"/>
  <c r="AV453" i="1" l="1"/>
  <c r="H454" i="1"/>
  <c r="J454" i="1"/>
  <c r="O453" i="1"/>
  <c r="AC453" i="1"/>
  <c r="AV454" i="1" l="1"/>
  <c r="J455" i="1"/>
  <c r="H455" i="1"/>
  <c r="O454" i="1"/>
  <c r="AC454" i="1"/>
  <c r="AV455" i="1" l="1"/>
  <c r="H456" i="1"/>
  <c r="J456" i="1"/>
  <c r="O455" i="1"/>
  <c r="AC455" i="1"/>
  <c r="AA411" i="3"/>
  <c r="AA409" i="3"/>
  <c r="AA410" i="3"/>
  <c r="AA408" i="3"/>
  <c r="J457" i="1" l="1"/>
  <c r="H457" i="1"/>
  <c r="AV456" i="1"/>
  <c r="O456" i="1"/>
  <c r="AC456" i="1"/>
  <c r="AV457" i="1" l="1"/>
  <c r="H458" i="1"/>
  <c r="J458" i="1"/>
  <c r="O457" i="1"/>
  <c r="AC457" i="1"/>
  <c r="O458" i="1" l="1"/>
  <c r="J459" i="1"/>
  <c r="H459" i="1"/>
  <c r="AV458" i="1"/>
  <c r="AC458" i="1"/>
  <c r="AV459" i="1" l="1"/>
  <c r="J460" i="1"/>
  <c r="H460" i="1"/>
  <c r="O459" i="1"/>
  <c r="AC459" i="1"/>
  <c r="AA412" i="3"/>
  <c r="J461" i="1" l="1"/>
  <c r="H461" i="1"/>
  <c r="AV460" i="1"/>
  <c r="O460" i="1"/>
  <c r="AC460" i="1"/>
  <c r="AA413" i="3"/>
  <c r="AA414" i="3"/>
  <c r="AV461" i="1" l="1"/>
  <c r="J462" i="1"/>
  <c r="H462" i="1"/>
  <c r="O461" i="1"/>
  <c r="AC461" i="1"/>
  <c r="O462" i="1" l="1"/>
  <c r="H463" i="1"/>
  <c r="J463" i="1"/>
  <c r="AV462" i="1"/>
  <c r="AC462" i="1"/>
  <c r="J464" i="1" l="1"/>
  <c r="H464" i="1"/>
  <c r="AV463" i="1"/>
  <c r="O463" i="1"/>
  <c r="AC463" i="1"/>
  <c r="AA416" i="3"/>
  <c r="AA417" i="3"/>
  <c r="AA415" i="3"/>
  <c r="AV464" i="1" l="1"/>
  <c r="J465" i="1"/>
  <c r="O464" i="1"/>
  <c r="H465" i="1"/>
  <c r="AC464" i="1"/>
  <c r="O465" i="1" l="1"/>
  <c r="J466" i="1"/>
  <c r="H466" i="1"/>
  <c r="AV465" i="1"/>
  <c r="AC465" i="1"/>
  <c r="AA421" i="3"/>
  <c r="AA422" i="3"/>
  <c r="AA419" i="3"/>
  <c r="AA420" i="3"/>
  <c r="AA418" i="3"/>
  <c r="AV466" i="1" l="1"/>
  <c r="H467" i="1"/>
  <c r="J467" i="1"/>
  <c r="O466" i="1"/>
  <c r="AC466" i="1"/>
  <c r="J468" i="1" l="1"/>
  <c r="H468" i="1"/>
  <c r="AV467" i="1"/>
  <c r="O467" i="1"/>
  <c r="AC467" i="1"/>
  <c r="AV468" i="1" l="1"/>
  <c r="J469" i="1"/>
  <c r="H469" i="1"/>
  <c r="O468" i="1"/>
  <c r="AC468" i="1"/>
  <c r="AV469" i="1" l="1"/>
  <c r="J470" i="1"/>
  <c r="H470" i="1"/>
  <c r="O469" i="1"/>
  <c r="AC469" i="1"/>
  <c r="AV470" i="1" l="1"/>
  <c r="H471" i="1"/>
  <c r="J471" i="1"/>
  <c r="O470" i="1"/>
  <c r="AC470" i="1"/>
  <c r="AA428" i="3"/>
  <c r="AA429" i="3"/>
  <c r="AA426" i="3"/>
  <c r="AA427" i="3"/>
  <c r="AA424" i="3"/>
  <c r="AA425" i="3"/>
  <c r="AA423" i="3"/>
  <c r="AV471" i="1" l="1"/>
  <c r="J472" i="1"/>
  <c r="H472" i="1"/>
  <c r="O471" i="1"/>
  <c r="AC471" i="1"/>
  <c r="AV472" i="1" l="1"/>
  <c r="J473" i="1"/>
  <c r="H473" i="1"/>
  <c r="O472" i="1"/>
  <c r="AC472" i="1"/>
  <c r="AV473" i="1" l="1"/>
  <c r="J474" i="1"/>
  <c r="H474" i="1"/>
  <c r="O473" i="1"/>
  <c r="AC473" i="1"/>
  <c r="J475" i="1" l="1"/>
  <c r="H475" i="1"/>
  <c r="AV474" i="1"/>
  <c r="O474" i="1"/>
  <c r="AC474" i="1"/>
  <c r="AV475" i="1" l="1"/>
  <c r="J476" i="1"/>
  <c r="H476" i="1"/>
  <c r="O475" i="1"/>
  <c r="AC475" i="1"/>
  <c r="AV476" i="1" l="1"/>
  <c r="J477" i="1"/>
  <c r="H477" i="1"/>
  <c r="O476" i="1"/>
  <c r="AC476" i="1"/>
  <c r="AV477" i="1" l="1"/>
  <c r="J478" i="1"/>
  <c r="H478" i="1"/>
  <c r="O477" i="1"/>
  <c r="AC477" i="1"/>
  <c r="AA435" i="3"/>
  <c r="AA436" i="3"/>
  <c r="AA433" i="3"/>
  <c r="AA434" i="3"/>
  <c r="AA431" i="3"/>
  <c r="AA432" i="3"/>
  <c r="AA430" i="3"/>
  <c r="AV478" i="1" l="1"/>
  <c r="H479" i="1"/>
  <c r="J479" i="1"/>
  <c r="O478" i="1"/>
  <c r="AC478" i="1"/>
  <c r="AC479" i="1" l="1"/>
  <c r="J480" i="1"/>
  <c r="H480" i="1"/>
  <c r="AV479" i="1"/>
  <c r="O479" i="1"/>
  <c r="AV480" i="1" l="1"/>
  <c r="O480" i="1"/>
  <c r="J481" i="1"/>
  <c r="H481" i="1"/>
  <c r="AC480" i="1"/>
  <c r="J482" i="1" l="1"/>
  <c r="H482" i="1"/>
  <c r="AV481" i="1"/>
  <c r="O481" i="1"/>
  <c r="AC481" i="1"/>
  <c r="AV482" i="1" l="1"/>
  <c r="J483" i="1"/>
  <c r="H483" i="1"/>
  <c r="O482" i="1"/>
  <c r="AC482" i="1"/>
  <c r="AV483" i="1" l="1"/>
  <c r="H484" i="1"/>
  <c r="J484" i="1"/>
  <c r="O483" i="1"/>
  <c r="AC483" i="1"/>
  <c r="AV484" i="1" l="1"/>
  <c r="J485" i="1"/>
  <c r="H485" i="1"/>
  <c r="O484" i="1"/>
  <c r="AC484" i="1"/>
  <c r="AA442" i="3"/>
  <c r="AA443" i="3"/>
  <c r="AA440" i="3"/>
  <c r="AA441" i="3"/>
  <c r="AA438" i="3"/>
  <c r="AA439" i="3"/>
  <c r="AA437" i="3"/>
  <c r="O485" i="1" l="1"/>
  <c r="H486" i="1"/>
  <c r="J486" i="1"/>
  <c r="AV485" i="1"/>
  <c r="AC485" i="1"/>
  <c r="AV486" i="1" l="1"/>
  <c r="H487" i="1"/>
  <c r="J487" i="1"/>
  <c r="O486" i="1"/>
  <c r="AC486" i="1"/>
  <c r="AV487" i="1" l="1"/>
  <c r="H488" i="1"/>
  <c r="J488" i="1"/>
  <c r="O487" i="1"/>
  <c r="AC487" i="1"/>
  <c r="J489" i="1" l="1"/>
  <c r="H489" i="1"/>
  <c r="AV488" i="1"/>
  <c r="O488" i="1"/>
  <c r="AC488" i="1"/>
  <c r="AV489" i="1" l="1"/>
  <c r="J490" i="1"/>
  <c r="H490" i="1"/>
  <c r="O489" i="1"/>
  <c r="AC489" i="1"/>
  <c r="AV490" i="1" l="1"/>
  <c r="O490" i="1"/>
  <c r="H491" i="1"/>
  <c r="J491" i="1"/>
  <c r="AC490" i="1"/>
  <c r="AV491" i="1" l="1"/>
  <c r="H492" i="1"/>
  <c r="O491" i="1"/>
  <c r="J492" i="1"/>
  <c r="AC491" i="1"/>
  <c r="AA448" i="3"/>
  <c r="AA449" i="3"/>
  <c r="AA445" i="3"/>
  <c r="AA446" i="3"/>
  <c r="AA444" i="3"/>
  <c r="AV492" i="1" l="1"/>
  <c r="J493" i="1"/>
  <c r="H493" i="1"/>
  <c r="O492" i="1"/>
  <c r="AC492" i="1"/>
  <c r="AA447" i="3"/>
  <c r="AV493" i="1" l="1"/>
  <c r="J494" i="1"/>
  <c r="H494" i="1"/>
  <c r="O493" i="1"/>
  <c r="AC493" i="1"/>
  <c r="J495" i="1" l="1"/>
  <c r="H495" i="1"/>
  <c r="AV494" i="1"/>
  <c r="O494" i="1"/>
  <c r="AC494" i="1"/>
  <c r="AV495" i="1" l="1"/>
  <c r="J496" i="1"/>
  <c r="H496" i="1"/>
  <c r="O495" i="1"/>
  <c r="AC495" i="1"/>
  <c r="AV496" i="1" l="1"/>
  <c r="J497" i="1"/>
  <c r="H497" i="1"/>
  <c r="O496" i="1"/>
  <c r="AC496" i="1"/>
  <c r="AV497" i="1" l="1"/>
  <c r="O497" i="1"/>
  <c r="H498" i="1"/>
  <c r="J498" i="1"/>
  <c r="AC497" i="1"/>
  <c r="AA451" i="3"/>
  <c r="AA452" i="3"/>
  <c r="AA450" i="3"/>
  <c r="J499" i="1" l="1"/>
  <c r="H499" i="1"/>
  <c r="AV498" i="1"/>
  <c r="O498" i="1"/>
  <c r="AC498" i="1"/>
  <c r="AV499" i="1" l="1"/>
  <c r="J500" i="1"/>
  <c r="H500" i="1"/>
  <c r="O499" i="1"/>
  <c r="AC499" i="1"/>
  <c r="AV500" i="1" l="1"/>
  <c r="J501" i="1"/>
  <c r="H501" i="1"/>
  <c r="I20" i="3" s="1"/>
  <c r="I23" i="3" s="1"/>
  <c r="I25" i="3" s="1"/>
  <c r="I27" i="3" s="1"/>
  <c r="O500" i="1"/>
  <c r="AC500" i="1"/>
  <c r="N27" i="3" l="1"/>
  <c r="N28" i="3" s="1"/>
  <c r="I34" i="3"/>
  <c r="AV501" i="1"/>
  <c r="J502" i="1"/>
  <c r="H502" i="1"/>
  <c r="O501" i="1"/>
  <c r="AC501" i="1"/>
  <c r="AA458" i="3"/>
  <c r="AA456" i="3"/>
  <c r="AA457" i="3"/>
  <c r="AA454" i="3"/>
  <c r="AA455" i="3"/>
  <c r="AA453" i="3"/>
  <c r="AV502" i="1" l="1"/>
  <c r="J503" i="1"/>
  <c r="H503" i="1"/>
  <c r="O502" i="1"/>
  <c r="AC502" i="1"/>
  <c r="H504" i="1" l="1"/>
  <c r="J504" i="1"/>
  <c r="AV503" i="1"/>
  <c r="O503" i="1"/>
  <c r="AC503" i="1"/>
  <c r="AV504" i="1" l="1"/>
  <c r="H505" i="1"/>
  <c r="J505" i="1"/>
  <c r="O504" i="1"/>
  <c r="AC504" i="1"/>
  <c r="AV505" i="1" l="1"/>
  <c r="H506" i="1"/>
  <c r="J506" i="1"/>
  <c r="O505" i="1"/>
  <c r="AC505" i="1"/>
  <c r="AV506" i="1" l="1"/>
  <c r="J507" i="1"/>
  <c r="H507" i="1"/>
  <c r="O506" i="1"/>
  <c r="AC506" i="1"/>
  <c r="AA462" i="3"/>
  <c r="AA463" i="3"/>
  <c r="AA460" i="3"/>
  <c r="AA461" i="3"/>
  <c r="AA459" i="3"/>
  <c r="AV507" i="1" l="1"/>
  <c r="J508" i="1"/>
  <c r="H508" i="1"/>
  <c r="O507" i="1"/>
  <c r="AC507" i="1"/>
  <c r="AV508" i="1" l="1"/>
  <c r="O508" i="1"/>
  <c r="AC508" i="1"/>
  <c r="I32" i="3" l="1"/>
  <c r="AF21" i="2"/>
  <c r="I36" i="3" l="1"/>
  <c r="I28" i="3"/>
  <c r="L32" i="3"/>
  <c r="L34" i="3"/>
  <c r="L35" i="3"/>
  <c r="W464" i="3" l="1"/>
  <c r="AA464" i="3" s="1"/>
  <c r="L36" i="3"/>
  <c r="Y350" i="3" l="1"/>
  <c r="Y121" i="3"/>
  <c r="Y12" i="3"/>
  <c r="Y214" i="3"/>
  <c r="Y244" i="3"/>
  <c r="BR629" i="1"/>
  <c r="CL644" i="1" s="1"/>
  <c r="CL646" i="1" s="1"/>
  <c r="BA632" i="1" l="1"/>
  <c r="BC632" i="1" s="1"/>
  <c r="CL630" i="1"/>
  <c r="CL632" i="1"/>
</calcChain>
</file>

<file path=xl/sharedStrings.xml><?xml version="1.0" encoding="utf-8"?>
<sst xmlns="http://schemas.openxmlformats.org/spreadsheetml/2006/main" count="374" uniqueCount="190">
  <si>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</si>
  <si>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</si>
  <si>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</si>
  <si>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</si>
  <si>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</si>
  <si>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</si>
  <si>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</si>
  <si>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</si>
  <si>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</si>
  <si>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</si>
  <si>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</si>
  <si>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</si>
  <si>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</si>
  <si>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</si>
  <si>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</si>
  <si>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</si>
  <si>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</si>
  <si>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</si>
  <si>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</si>
  <si>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</si>
  <si>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</si>
  <si>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</si>
  <si>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</si>
  <si>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</si>
  <si>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</si>
  <si>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</si>
  <si>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</si>
  <si>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</si>
  <si>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</si>
  <si>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</si>
  <si>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</si>
  <si>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</si>
  <si>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</si>
  <si>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</si>
  <si>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</si>
  <si>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</si>
  <si>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</si>
  <si>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</si>
  <si>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</si>
  <si>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</si>
  <si>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</si>
  <si>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</si>
  <si>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</si>
  <si>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</si>
  <si>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</si>
  <si>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</si>
  <si>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</si>
  <si>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</si>
  <si>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</si>
  <si>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</si>
  <si>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</si>
  <si>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</si>
  <si>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</si>
  <si>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</si>
  <si>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</si>
  <si>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</si>
  <si>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</si>
  <si>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</si>
  <si>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</si>
  <si>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</si>
  <si>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</si>
  <si>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</si>
  <si>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</si>
  <si>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</si>
  <si>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</si>
  <si>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</si>
  <si>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</si>
  <si>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</si>
  <si>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</si>
  <si>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</si>
  <si>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</si>
  <si>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</si>
  <si>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</si>
  <si>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</si>
  <si>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</si>
  <si>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</si>
  <si>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</si>
  <si>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</si>
  <si>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</si>
  <si>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</si>
  <si>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</si>
  <si>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</si>
  <si>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</si>
  <si>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</si>
  <si>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</si>
  <si>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</si>
  <si>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</si>
  <si>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</si>
  <si>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</si>
  <si>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</si>
  <si>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</si>
  <si>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</si>
  <si>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</si>
  <si>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</si>
  <si>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</si>
  <si>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</si>
  <si>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</si>
  <si>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</si>
  <si>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</si>
  <si>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</si>
  <si>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</si>
  <si>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</si>
  <si>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</si>
  <si>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</si>
  <si>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</si>
  <si>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</si>
  <si>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</si>
  <si>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</si>
  <si>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</si>
  <si>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</si>
  <si>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</si>
  <si>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</si>
  <si>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</si>
  <si>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</si>
  <si>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</si>
  <si>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</si>
  <si>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</si>
  <si>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</si>
  <si>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</si>
  <si>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</si>
  <si>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</si>
  <si>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</si>
  <si>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</si>
  <si>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</si>
  <si>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</si>
  <si>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</si>
  <si>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</si>
  <si>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</si>
  <si>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</si>
  <si>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</si>
  <si>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</si>
  <si>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</si>
  <si>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</si>
  <si>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</si>
  <si>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</si>
  <si>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</si>
  <si>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</si>
  <si>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</si>
  <si>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</si>
  <si>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</si>
  <si>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</si>
  <si>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</si>
  <si>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</si>
  <si>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</si>
  <si>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</si>
  <si>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</si>
  <si>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</si>
  <si>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</si>
  <si>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</si>
  <si>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</si>
  <si>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</si>
  <si>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</si>
  <si>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</si>
  <si>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</si>
  <si>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</si>
  <si>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</si>
  <si>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</si>
  <si>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</si>
  <si>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</si>
  <si>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</si>
  <si>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</si>
  <si>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</si>
  <si>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</si>
  <si>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</si>
  <si>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</si>
  <si>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Vacinations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</si>
  <si>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</si>
  <si>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</si>
  <si>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</si>
  <si>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</si>
  <si>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</si>
  <si>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</si>
  <si>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</si>
  <si>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</si>
  <si>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</si>
  <si>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</si>
  <si>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</si>
  <si>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</si>
  <si>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</si>
  <si>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</si>
  <si>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</si>
  <si>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</si>
  <si>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</si>
  <si>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</si>
  <si>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</si>
  <si>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</si>
  <si>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</si>
  <si>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</si>
  <si>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</si>
  <si>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August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</si>
</sst>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6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0" fontId="10" fillId="12" borderId="0" xfId="0" applyFont="1" applyFill="1" applyAlignment="1">
      <alignment horizontal="left"/>
    </xf>
    <xf numFmtId="164" fontId="2" fillId="12" borderId="1" xfId="0" applyNumberFormat="1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164" fontId="2" fillId="12" borderId="0" xfId="1" applyNumberFormat="1" applyFont="1" applyFill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164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0" fontId="18" fillId="12" borderId="23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Table'!$BA$620:$BA$624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Table'!$AS$625:$AT$629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</c:strCache>
            </c:strRef>
          </c:cat>
          <c:val>
            <c:numRef>
              <c:f>'Main Table'!$BA$625:$BA$629</c:f>
              <c:numCache>
                <c:formatCode>_(* #,##0_);_(* \(#,##0\);_(* "-"??_);_(@_)</c:formatCode>
                <c:ptCount val="5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17702719.711566266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Table'!$BC$620:$BC$624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Table'!$AS$625:$AT$629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</c:strCache>
            </c:strRef>
          </c:cat>
          <c:val>
            <c:numRef>
              <c:f>'Main Table'!$BC$625:$BC$629</c:f>
              <c:numCache>
                <c:formatCode>_(* #,##0_);_(* \(#,##0\);_(* "-"??_);_(@_)</c:formatCode>
                <c:ptCount val="5"/>
                <c:pt idx="0">
                  <c:v>61434009</c:v>
                </c:pt>
                <c:pt idx="1">
                  <c:v>73870921</c:v>
                </c:pt>
                <c:pt idx="2">
                  <c:v>59096736.800000004</c:v>
                </c:pt>
                <c:pt idx="3">
                  <c:v>48754807.859999992</c:v>
                </c:pt>
                <c:pt idx="4">
                  <c:v>36659557.060120478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Table'!$BJ$620:$BJ$624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Table'!$AS$625:$AT$629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</c:strCache>
            </c:strRef>
          </c:cat>
          <c:val>
            <c:numRef>
              <c:f>'Main Table'!$BJ$625:$BJ$629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Table'!$BK$620:$BK$624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Table'!$AS$625:$AT$629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</c:strCache>
            </c:strRef>
          </c:cat>
          <c:val>
            <c:numRef>
              <c:f>'Main Table'!$BK$625:$BK$629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Table'!$BL$620:$BL$624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Table'!$AS$625:$AT$629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</c:strCache>
            </c:strRef>
          </c:cat>
          <c:val>
            <c:numRef>
              <c:f>'Main Table'!$BL$625:$BL$629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Table'!$BM$620:$BM$624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Table'!$AS$625:$AT$629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</c:strCache>
            </c:strRef>
          </c:cat>
          <c:val>
            <c:numRef>
              <c:f>'Main Table'!$BM$625:$BM$629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Table'!$BP$620:$BP$624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Table'!$AS$625:$AT$629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</c:strCache>
            </c:strRef>
          </c:cat>
          <c:val>
            <c:numRef>
              <c:f>'Main Table'!$BP$625:$BP$629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164760000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Table'!$AU$620:$AU$624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Table'!$AS$625:$AT$629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Table'!$AU$625:$AU$629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Table'!$AV$620:$AV$624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Table'!$AS$625:$AT$629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Table'!$AV$625:$AV$629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Table'!$AW$620:$AW$624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Table'!$AS$625:$AT$629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Table'!$AW$625:$AW$629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Table'!$AX$620:$AX$624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Table'!$AS$625:$AT$629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Table'!$AX$625:$AX$629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Table'!$AY$620:$AY$624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Table'!$AS$625:$AT$629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Table'!$AY$625:$AY$629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Table'!$AZ$620:$AZ$624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Table'!$AS$625:$AT$629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Table'!$AZ$625:$AZ$629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Table'!$BB$620:$BB$624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Table'!$AS$625:$AT$629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Table'!$BB$625:$BB$629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Table'!$BD$620:$BD$624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Table'!$AS$625:$AT$629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Table'!$BD$625:$BD$629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Table'!$BE$620:$BE$624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Table'!$AS$625:$AT$629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Table'!$BE$625:$BE$629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54362276.771686748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Table'!$BF$620:$BF$624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Table'!$AS$625:$AT$629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Table'!$BF$625:$BF$629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Table'!$BG$620:$BG$624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Table'!$AS$625:$AT$629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Table'!$BG$625:$BG$629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111340000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Table'!$BH$620:$BH$624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Table'!$AS$625:$AT$629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Table'!$BH$625:$BH$629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Table'!$BI$620:$BI$624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Table'!$AS$625:$AT$629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Table'!$BI$625:$BI$629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Table'!$BN$620:$BN$624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Table'!$AS$625:$AT$629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Table'!$BN$625:$BN$629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Table'!$BO$620:$BO$624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Table'!$AS$625:$AT$629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Table'!$BO$625:$BO$629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Table'!$BQ$620:$BQ$624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Table'!$AS$625:$AT$629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Table'!$BQ$625:$BQ$629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Table'!$BR$620:$BR$624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Table'!$AS$625:$AT$629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Table'!$BR$625:$BR$629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219122276.77168673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Table'!$BS$620:$BS$624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Table'!$AS$625:$AT$629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Table'!$BS$625:$BS$629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Table'!$BT$620:$BT$624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Table'!$AS$625:$AT$629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Table'!$BT$625:$BT$629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Table'!$BU$620:$BU$624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Table'!$AS$625:$AT$629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Table'!$BU$625:$BU$629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Table'!$BV$620:$BV$624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Table'!$AS$625:$AT$629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Table'!$BV$625:$BV$629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1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529</xdr:row>
      <xdr:rowOff>99060</xdr:rowOff>
    </xdr:from>
    <xdr:to>
      <xdr:col>22</xdr:col>
      <xdr:colOff>312420</xdr:colOff>
      <xdr:row>530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529</xdr:row>
      <xdr:rowOff>129540</xdr:rowOff>
    </xdr:from>
    <xdr:to>
      <xdr:col>23</xdr:col>
      <xdr:colOff>68580</xdr:colOff>
      <xdr:row>530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547</xdr:row>
      <xdr:rowOff>125730</xdr:rowOff>
    </xdr:from>
    <xdr:to>
      <xdr:col>54</xdr:col>
      <xdr:colOff>213360</xdr:colOff>
      <xdr:row>562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762000</xdr:colOff>
      <xdr:row>636</xdr:row>
      <xdr:rowOff>91440</xdr:rowOff>
    </xdr:from>
    <xdr:to>
      <xdr:col>76</xdr:col>
      <xdr:colOff>472440</xdr:colOff>
      <xdr:row>659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467</xdr:row>
      <xdr:rowOff>0</xdr:rowOff>
    </xdr:from>
    <xdr:to>
      <xdr:col>45</xdr:col>
      <xdr:colOff>83820</xdr:colOff>
      <xdr:row>467</xdr:row>
      <xdr:rowOff>114300</xdr:rowOff>
    </xdr:to>
    <xdr:sp macro="" textlink="">
      <xdr:nvSpPr>
        <xdr:cNvPr id="3520" name="Arrow: Down 3519">
          <a:extLst>
            <a:ext uri="{FF2B5EF4-FFF2-40B4-BE49-F238E27FC236}">
              <a16:creationId xmlns:a16="http://schemas.microsoft.com/office/drawing/2014/main" id="{4DB2C61E-572F-42EF-B814-2CF352E4E629}"/>
            </a:ext>
          </a:extLst>
        </xdr:cNvPr>
        <xdr:cNvSpPr/>
      </xdr:nvSpPr>
      <xdr:spPr>
        <a:xfrm rot="10800000">
          <a:off x="1340358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467</xdr:row>
      <xdr:rowOff>0</xdr:rowOff>
    </xdr:from>
    <xdr:to>
      <xdr:col>71</xdr:col>
      <xdr:colOff>83820</xdr:colOff>
      <xdr:row>467</xdr:row>
      <xdr:rowOff>114300</xdr:rowOff>
    </xdr:to>
    <xdr:sp macro="" textlink="">
      <xdr:nvSpPr>
        <xdr:cNvPr id="3521" name="Arrow: Down 3520">
          <a:extLst>
            <a:ext uri="{FF2B5EF4-FFF2-40B4-BE49-F238E27FC236}">
              <a16:creationId xmlns:a16="http://schemas.microsoft.com/office/drawing/2014/main" id="{A19886C6-0FDE-4135-874E-E41DB2CE514A}"/>
            </a:ext>
          </a:extLst>
        </xdr:cNvPr>
        <xdr:cNvSpPr/>
      </xdr:nvSpPr>
      <xdr:spPr>
        <a:xfrm>
          <a:off x="215722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467</xdr:row>
      <xdr:rowOff>0</xdr:rowOff>
    </xdr:from>
    <xdr:to>
      <xdr:col>60</xdr:col>
      <xdr:colOff>83820</xdr:colOff>
      <xdr:row>467</xdr:row>
      <xdr:rowOff>114300</xdr:rowOff>
    </xdr:to>
    <xdr:sp macro="" textlink="">
      <xdr:nvSpPr>
        <xdr:cNvPr id="3526" name="Arrow: Down 3525">
          <a:extLst>
            <a:ext uri="{FF2B5EF4-FFF2-40B4-BE49-F238E27FC236}">
              <a16:creationId xmlns:a16="http://schemas.microsoft.com/office/drawing/2014/main" id="{47121494-9B16-41F2-8F3A-878967ADF76B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467</xdr:row>
      <xdr:rowOff>0</xdr:rowOff>
    </xdr:from>
    <xdr:to>
      <xdr:col>39</xdr:col>
      <xdr:colOff>83820</xdr:colOff>
      <xdr:row>467</xdr:row>
      <xdr:rowOff>114300</xdr:rowOff>
    </xdr:to>
    <xdr:sp macro="" textlink="">
      <xdr:nvSpPr>
        <xdr:cNvPr id="3527" name="Arrow: Down 3526">
          <a:extLst>
            <a:ext uri="{FF2B5EF4-FFF2-40B4-BE49-F238E27FC236}">
              <a16:creationId xmlns:a16="http://schemas.microsoft.com/office/drawing/2014/main" id="{913B3048-FCF9-4C5F-B24F-36170700447F}"/>
            </a:ext>
          </a:extLst>
        </xdr:cNvPr>
        <xdr:cNvSpPr/>
      </xdr:nvSpPr>
      <xdr:spPr>
        <a:xfrm rot="10800000">
          <a:off x="1154430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467</xdr:row>
      <xdr:rowOff>0</xdr:rowOff>
    </xdr:from>
    <xdr:to>
      <xdr:col>24</xdr:col>
      <xdr:colOff>83820</xdr:colOff>
      <xdr:row>467</xdr:row>
      <xdr:rowOff>114300</xdr:rowOff>
    </xdr:to>
    <xdr:sp macro="" textlink="">
      <xdr:nvSpPr>
        <xdr:cNvPr id="3528" name="Arrow: Down 3527">
          <a:extLst>
            <a:ext uri="{FF2B5EF4-FFF2-40B4-BE49-F238E27FC236}">
              <a16:creationId xmlns:a16="http://schemas.microsoft.com/office/drawing/2014/main" id="{EF64BE4F-2D22-426C-B6CB-FBF3005D585A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467</xdr:row>
      <xdr:rowOff>0</xdr:rowOff>
    </xdr:from>
    <xdr:to>
      <xdr:col>11</xdr:col>
      <xdr:colOff>83820</xdr:colOff>
      <xdr:row>467</xdr:row>
      <xdr:rowOff>114300</xdr:rowOff>
    </xdr:to>
    <xdr:sp macro="" textlink="">
      <xdr:nvSpPr>
        <xdr:cNvPr id="3530" name="Arrow: Down 3529">
          <a:extLst>
            <a:ext uri="{FF2B5EF4-FFF2-40B4-BE49-F238E27FC236}">
              <a16:creationId xmlns:a16="http://schemas.microsoft.com/office/drawing/2014/main" id="{27642B88-020F-4F9C-AF0A-033BDE10C27F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467</xdr:row>
      <xdr:rowOff>0</xdr:rowOff>
    </xdr:from>
    <xdr:to>
      <xdr:col>5</xdr:col>
      <xdr:colOff>83820</xdr:colOff>
      <xdr:row>467</xdr:row>
      <xdr:rowOff>114300</xdr:rowOff>
    </xdr:to>
    <xdr:sp macro="" textlink="">
      <xdr:nvSpPr>
        <xdr:cNvPr id="3532" name="Arrow: Down 3531">
          <a:extLst>
            <a:ext uri="{FF2B5EF4-FFF2-40B4-BE49-F238E27FC236}">
              <a16:creationId xmlns:a16="http://schemas.microsoft.com/office/drawing/2014/main" id="{380B5391-D010-4289-AE74-9A6BEBBC9B4A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468</xdr:row>
      <xdr:rowOff>0</xdr:rowOff>
    </xdr:from>
    <xdr:to>
      <xdr:col>45</xdr:col>
      <xdr:colOff>83820</xdr:colOff>
      <xdr:row>468</xdr:row>
      <xdr:rowOff>114300</xdr:rowOff>
    </xdr:to>
    <xdr:sp macro="" textlink="">
      <xdr:nvSpPr>
        <xdr:cNvPr id="3533" name="Arrow: Down 3532">
          <a:extLst>
            <a:ext uri="{FF2B5EF4-FFF2-40B4-BE49-F238E27FC236}">
              <a16:creationId xmlns:a16="http://schemas.microsoft.com/office/drawing/2014/main" id="{8A3DF7F3-F705-4187-A8A0-896E01D53A4D}"/>
            </a:ext>
          </a:extLst>
        </xdr:cNvPr>
        <xdr:cNvSpPr/>
      </xdr:nvSpPr>
      <xdr:spPr>
        <a:xfrm rot="10800000">
          <a:off x="1340358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468</xdr:row>
      <xdr:rowOff>0</xdr:rowOff>
    </xdr:from>
    <xdr:to>
      <xdr:col>71</xdr:col>
      <xdr:colOff>83820</xdr:colOff>
      <xdr:row>468</xdr:row>
      <xdr:rowOff>114300</xdr:rowOff>
    </xdr:to>
    <xdr:sp macro="" textlink="">
      <xdr:nvSpPr>
        <xdr:cNvPr id="3534" name="Arrow: Down 3533">
          <a:extLst>
            <a:ext uri="{FF2B5EF4-FFF2-40B4-BE49-F238E27FC236}">
              <a16:creationId xmlns:a16="http://schemas.microsoft.com/office/drawing/2014/main" id="{D31536DC-2C84-483C-A1C1-7D4F6F28C9EB}"/>
            </a:ext>
          </a:extLst>
        </xdr:cNvPr>
        <xdr:cNvSpPr/>
      </xdr:nvSpPr>
      <xdr:spPr>
        <a:xfrm>
          <a:off x="2157222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83820</xdr:colOff>
      <xdr:row>468</xdr:row>
      <xdr:rowOff>114300</xdr:rowOff>
    </xdr:to>
    <xdr:sp macro="" textlink="">
      <xdr:nvSpPr>
        <xdr:cNvPr id="3537" name="Arrow: Down 3536">
          <a:extLst>
            <a:ext uri="{FF2B5EF4-FFF2-40B4-BE49-F238E27FC236}">
              <a16:creationId xmlns:a16="http://schemas.microsoft.com/office/drawing/2014/main" id="{B8A1FD70-E6B6-46BA-8EC9-637375279229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468</xdr:row>
      <xdr:rowOff>0</xdr:rowOff>
    </xdr:from>
    <xdr:to>
      <xdr:col>11</xdr:col>
      <xdr:colOff>83820</xdr:colOff>
      <xdr:row>468</xdr:row>
      <xdr:rowOff>114300</xdr:rowOff>
    </xdr:to>
    <xdr:sp macro="" textlink="">
      <xdr:nvSpPr>
        <xdr:cNvPr id="3538" name="Arrow: Down 3537">
          <a:extLst>
            <a:ext uri="{FF2B5EF4-FFF2-40B4-BE49-F238E27FC236}">
              <a16:creationId xmlns:a16="http://schemas.microsoft.com/office/drawing/2014/main" id="{D1224ECF-8436-49CE-BBCE-23BD8F7E4DC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83820</xdr:colOff>
      <xdr:row>468</xdr:row>
      <xdr:rowOff>114300</xdr:rowOff>
    </xdr:to>
    <xdr:sp macro="" textlink="">
      <xdr:nvSpPr>
        <xdr:cNvPr id="3539" name="Arrow: Down 3538">
          <a:extLst>
            <a:ext uri="{FF2B5EF4-FFF2-40B4-BE49-F238E27FC236}">
              <a16:creationId xmlns:a16="http://schemas.microsoft.com/office/drawing/2014/main" id="{ACE784BD-BB8F-4B36-8E1F-C9382CB05C9F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468</xdr:row>
      <xdr:rowOff>0</xdr:rowOff>
    </xdr:from>
    <xdr:to>
      <xdr:col>39</xdr:col>
      <xdr:colOff>83820</xdr:colOff>
      <xdr:row>468</xdr:row>
      <xdr:rowOff>114300</xdr:rowOff>
    </xdr:to>
    <xdr:sp macro="" textlink="">
      <xdr:nvSpPr>
        <xdr:cNvPr id="3540" name="Arrow: Down 3539">
          <a:extLst>
            <a:ext uri="{FF2B5EF4-FFF2-40B4-BE49-F238E27FC236}">
              <a16:creationId xmlns:a16="http://schemas.microsoft.com/office/drawing/2014/main" id="{E8FA865E-0960-482E-B402-0BA8B2794891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468</xdr:row>
      <xdr:rowOff>0</xdr:rowOff>
    </xdr:from>
    <xdr:to>
      <xdr:col>60</xdr:col>
      <xdr:colOff>83820</xdr:colOff>
      <xdr:row>468</xdr:row>
      <xdr:rowOff>114300</xdr:rowOff>
    </xdr:to>
    <xdr:sp macro="" textlink="">
      <xdr:nvSpPr>
        <xdr:cNvPr id="3541" name="Arrow: Down 3540">
          <a:extLst>
            <a:ext uri="{FF2B5EF4-FFF2-40B4-BE49-F238E27FC236}">
              <a16:creationId xmlns:a16="http://schemas.microsoft.com/office/drawing/2014/main" id="{AEC458B0-F8C0-4517-84CC-8DA61CC58514}"/>
            </a:ext>
          </a:extLst>
        </xdr:cNvPr>
        <xdr:cNvSpPr/>
      </xdr:nvSpPr>
      <xdr:spPr>
        <a:xfrm rot="10800000">
          <a:off x="1901952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469</xdr:row>
      <xdr:rowOff>0</xdr:rowOff>
    </xdr:from>
    <xdr:to>
      <xdr:col>45</xdr:col>
      <xdr:colOff>83820</xdr:colOff>
      <xdr:row>469</xdr:row>
      <xdr:rowOff>114300</xdr:rowOff>
    </xdr:to>
    <xdr:sp macro="" textlink="">
      <xdr:nvSpPr>
        <xdr:cNvPr id="3542" name="Arrow: Down 3541">
          <a:extLst>
            <a:ext uri="{FF2B5EF4-FFF2-40B4-BE49-F238E27FC236}">
              <a16:creationId xmlns:a16="http://schemas.microsoft.com/office/drawing/2014/main" id="{6E589406-8754-45BB-ACD9-0E1EBC54CE02}"/>
            </a:ext>
          </a:extLst>
        </xdr:cNvPr>
        <xdr:cNvSpPr/>
      </xdr:nvSpPr>
      <xdr:spPr>
        <a:xfrm rot="10800000">
          <a:off x="1340358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469</xdr:row>
      <xdr:rowOff>0</xdr:rowOff>
    </xdr:from>
    <xdr:to>
      <xdr:col>71</xdr:col>
      <xdr:colOff>83820</xdr:colOff>
      <xdr:row>469</xdr:row>
      <xdr:rowOff>114300</xdr:rowOff>
    </xdr:to>
    <xdr:sp macro="" textlink="">
      <xdr:nvSpPr>
        <xdr:cNvPr id="3543" name="Arrow: Down 3542">
          <a:extLst>
            <a:ext uri="{FF2B5EF4-FFF2-40B4-BE49-F238E27FC236}">
              <a16:creationId xmlns:a16="http://schemas.microsoft.com/office/drawing/2014/main" id="{D97A8AE4-7FD3-4B15-8A5F-2E6E567936F9}"/>
            </a:ext>
          </a:extLst>
        </xdr:cNvPr>
        <xdr:cNvSpPr/>
      </xdr:nvSpPr>
      <xdr:spPr>
        <a:xfrm>
          <a:off x="2157222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83820</xdr:colOff>
      <xdr:row>469</xdr:row>
      <xdr:rowOff>114300</xdr:rowOff>
    </xdr:to>
    <xdr:sp macro="" textlink="">
      <xdr:nvSpPr>
        <xdr:cNvPr id="3544" name="Arrow: Down 3543">
          <a:extLst>
            <a:ext uri="{FF2B5EF4-FFF2-40B4-BE49-F238E27FC236}">
              <a16:creationId xmlns:a16="http://schemas.microsoft.com/office/drawing/2014/main" id="{7F91BDE1-F72F-4E49-9198-8758F25551D2}"/>
            </a:ext>
          </a:extLst>
        </xdr:cNvPr>
        <xdr:cNvSpPr/>
      </xdr:nvSpPr>
      <xdr:spPr>
        <a:xfrm rot="10800000">
          <a:off x="833628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469</xdr:row>
      <xdr:rowOff>0</xdr:rowOff>
    </xdr:from>
    <xdr:to>
      <xdr:col>11</xdr:col>
      <xdr:colOff>83820</xdr:colOff>
      <xdr:row>469</xdr:row>
      <xdr:rowOff>114300</xdr:rowOff>
    </xdr:to>
    <xdr:sp macro="" textlink="">
      <xdr:nvSpPr>
        <xdr:cNvPr id="3545" name="Arrow: Down 3544">
          <a:extLst>
            <a:ext uri="{FF2B5EF4-FFF2-40B4-BE49-F238E27FC236}">
              <a16:creationId xmlns:a16="http://schemas.microsoft.com/office/drawing/2014/main" id="{27C51547-2450-47B0-B5C0-A77EC2DF7480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469</xdr:row>
      <xdr:rowOff>0</xdr:rowOff>
    </xdr:from>
    <xdr:to>
      <xdr:col>5</xdr:col>
      <xdr:colOff>83820</xdr:colOff>
      <xdr:row>469</xdr:row>
      <xdr:rowOff>114300</xdr:rowOff>
    </xdr:to>
    <xdr:sp macro="" textlink="">
      <xdr:nvSpPr>
        <xdr:cNvPr id="3546" name="Arrow: Down 3545">
          <a:extLst>
            <a:ext uri="{FF2B5EF4-FFF2-40B4-BE49-F238E27FC236}">
              <a16:creationId xmlns:a16="http://schemas.microsoft.com/office/drawing/2014/main" id="{7AAFBAC0-048C-49C2-8D7D-16D51597BCE1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469</xdr:row>
      <xdr:rowOff>0</xdr:rowOff>
    </xdr:from>
    <xdr:to>
      <xdr:col>39</xdr:col>
      <xdr:colOff>83820</xdr:colOff>
      <xdr:row>469</xdr:row>
      <xdr:rowOff>114300</xdr:rowOff>
    </xdr:to>
    <xdr:sp macro="" textlink="">
      <xdr:nvSpPr>
        <xdr:cNvPr id="3547" name="Arrow: Down 3546">
          <a:extLst>
            <a:ext uri="{FF2B5EF4-FFF2-40B4-BE49-F238E27FC236}">
              <a16:creationId xmlns:a16="http://schemas.microsoft.com/office/drawing/2014/main" id="{19AF582D-2C07-453F-A205-30368884B557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469</xdr:row>
      <xdr:rowOff>0</xdr:rowOff>
    </xdr:from>
    <xdr:to>
      <xdr:col>60</xdr:col>
      <xdr:colOff>83820</xdr:colOff>
      <xdr:row>469</xdr:row>
      <xdr:rowOff>114300</xdr:rowOff>
    </xdr:to>
    <xdr:sp macro="" textlink="">
      <xdr:nvSpPr>
        <xdr:cNvPr id="3549" name="Arrow: Down 3548">
          <a:extLst>
            <a:ext uri="{FF2B5EF4-FFF2-40B4-BE49-F238E27FC236}">
              <a16:creationId xmlns:a16="http://schemas.microsoft.com/office/drawing/2014/main" id="{A1A22F3C-511D-46CD-B599-554BAB16ABA5}"/>
            </a:ext>
          </a:extLst>
        </xdr:cNvPr>
        <xdr:cNvSpPr/>
      </xdr:nvSpPr>
      <xdr:spPr>
        <a:xfrm>
          <a:off x="190195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470</xdr:row>
      <xdr:rowOff>0</xdr:rowOff>
    </xdr:from>
    <xdr:to>
      <xdr:col>45</xdr:col>
      <xdr:colOff>83820</xdr:colOff>
      <xdr:row>470</xdr:row>
      <xdr:rowOff>114300</xdr:rowOff>
    </xdr:to>
    <xdr:sp macro="" textlink="">
      <xdr:nvSpPr>
        <xdr:cNvPr id="3557" name="Arrow: Down 3556">
          <a:extLst>
            <a:ext uri="{FF2B5EF4-FFF2-40B4-BE49-F238E27FC236}">
              <a16:creationId xmlns:a16="http://schemas.microsoft.com/office/drawing/2014/main" id="{1D8F5673-5491-4C12-B007-EE16104FA5D2}"/>
            </a:ext>
          </a:extLst>
        </xdr:cNvPr>
        <xdr:cNvSpPr/>
      </xdr:nvSpPr>
      <xdr:spPr>
        <a:xfrm rot="10800000">
          <a:off x="1340358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470</xdr:row>
      <xdr:rowOff>0</xdr:rowOff>
    </xdr:from>
    <xdr:to>
      <xdr:col>71</xdr:col>
      <xdr:colOff>83820</xdr:colOff>
      <xdr:row>470</xdr:row>
      <xdr:rowOff>114300</xdr:rowOff>
    </xdr:to>
    <xdr:sp macro="" textlink="">
      <xdr:nvSpPr>
        <xdr:cNvPr id="3558" name="Arrow: Down 3557">
          <a:extLst>
            <a:ext uri="{FF2B5EF4-FFF2-40B4-BE49-F238E27FC236}">
              <a16:creationId xmlns:a16="http://schemas.microsoft.com/office/drawing/2014/main" id="{20D2839E-F0BC-4AB6-8B8A-D26B1DC214C1}"/>
            </a:ext>
          </a:extLst>
        </xdr:cNvPr>
        <xdr:cNvSpPr/>
      </xdr:nvSpPr>
      <xdr:spPr>
        <a:xfrm>
          <a:off x="215722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470</xdr:row>
      <xdr:rowOff>0</xdr:rowOff>
    </xdr:from>
    <xdr:to>
      <xdr:col>24</xdr:col>
      <xdr:colOff>83820</xdr:colOff>
      <xdr:row>470</xdr:row>
      <xdr:rowOff>114300</xdr:rowOff>
    </xdr:to>
    <xdr:sp macro="" textlink="">
      <xdr:nvSpPr>
        <xdr:cNvPr id="3559" name="Arrow: Down 3558">
          <a:extLst>
            <a:ext uri="{FF2B5EF4-FFF2-40B4-BE49-F238E27FC236}">
              <a16:creationId xmlns:a16="http://schemas.microsoft.com/office/drawing/2014/main" id="{E3E62984-2878-43B0-B9DD-B888A5DA6942}"/>
            </a:ext>
          </a:extLst>
        </xdr:cNvPr>
        <xdr:cNvSpPr/>
      </xdr:nvSpPr>
      <xdr:spPr>
        <a:xfrm rot="10800000">
          <a:off x="833628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83820</xdr:colOff>
      <xdr:row>470</xdr:row>
      <xdr:rowOff>114300</xdr:rowOff>
    </xdr:to>
    <xdr:sp macro="" textlink="">
      <xdr:nvSpPr>
        <xdr:cNvPr id="3560" name="Arrow: Down 3559">
          <a:extLst>
            <a:ext uri="{FF2B5EF4-FFF2-40B4-BE49-F238E27FC236}">
              <a16:creationId xmlns:a16="http://schemas.microsoft.com/office/drawing/2014/main" id="{D0E45D42-799F-4393-9E17-18AF0F4B2609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470</xdr:row>
      <xdr:rowOff>0</xdr:rowOff>
    </xdr:from>
    <xdr:to>
      <xdr:col>5</xdr:col>
      <xdr:colOff>83820</xdr:colOff>
      <xdr:row>470</xdr:row>
      <xdr:rowOff>114300</xdr:rowOff>
    </xdr:to>
    <xdr:sp macro="" textlink="">
      <xdr:nvSpPr>
        <xdr:cNvPr id="3561" name="Arrow: Down 3560">
          <a:extLst>
            <a:ext uri="{FF2B5EF4-FFF2-40B4-BE49-F238E27FC236}">
              <a16:creationId xmlns:a16="http://schemas.microsoft.com/office/drawing/2014/main" id="{0969E386-D908-4DA9-A278-545AE5BB8F12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470</xdr:row>
      <xdr:rowOff>0</xdr:rowOff>
    </xdr:from>
    <xdr:to>
      <xdr:col>39</xdr:col>
      <xdr:colOff>83820</xdr:colOff>
      <xdr:row>470</xdr:row>
      <xdr:rowOff>114300</xdr:rowOff>
    </xdr:to>
    <xdr:sp macro="" textlink="">
      <xdr:nvSpPr>
        <xdr:cNvPr id="3562" name="Arrow: Down 3561">
          <a:extLst>
            <a:ext uri="{FF2B5EF4-FFF2-40B4-BE49-F238E27FC236}">
              <a16:creationId xmlns:a16="http://schemas.microsoft.com/office/drawing/2014/main" id="{8C552B7B-A900-4B9B-935C-BFB4254960E6}"/>
            </a:ext>
          </a:extLst>
        </xdr:cNvPr>
        <xdr:cNvSpPr/>
      </xdr:nvSpPr>
      <xdr:spPr>
        <a:xfrm>
          <a:off x="115443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471</xdr:row>
      <xdr:rowOff>0</xdr:rowOff>
    </xdr:from>
    <xdr:to>
      <xdr:col>45</xdr:col>
      <xdr:colOff>83820</xdr:colOff>
      <xdr:row>471</xdr:row>
      <xdr:rowOff>114300</xdr:rowOff>
    </xdr:to>
    <xdr:sp macro="" textlink="">
      <xdr:nvSpPr>
        <xdr:cNvPr id="3564" name="Arrow: Down 3563">
          <a:extLst>
            <a:ext uri="{FF2B5EF4-FFF2-40B4-BE49-F238E27FC236}">
              <a16:creationId xmlns:a16="http://schemas.microsoft.com/office/drawing/2014/main" id="{B110277D-816C-4CF6-ACD8-1E62F19B97DB}"/>
            </a:ext>
          </a:extLst>
        </xdr:cNvPr>
        <xdr:cNvSpPr/>
      </xdr:nvSpPr>
      <xdr:spPr>
        <a:xfrm rot="10800000">
          <a:off x="1340358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471</xdr:row>
      <xdr:rowOff>0</xdr:rowOff>
    </xdr:from>
    <xdr:to>
      <xdr:col>71</xdr:col>
      <xdr:colOff>83820</xdr:colOff>
      <xdr:row>471</xdr:row>
      <xdr:rowOff>114300</xdr:rowOff>
    </xdr:to>
    <xdr:sp macro="" textlink="">
      <xdr:nvSpPr>
        <xdr:cNvPr id="3565" name="Arrow: Down 3564">
          <a:extLst>
            <a:ext uri="{FF2B5EF4-FFF2-40B4-BE49-F238E27FC236}">
              <a16:creationId xmlns:a16="http://schemas.microsoft.com/office/drawing/2014/main" id="{F71C798D-289B-41D3-98D9-9657E1730F04}"/>
            </a:ext>
          </a:extLst>
        </xdr:cNvPr>
        <xdr:cNvSpPr/>
      </xdr:nvSpPr>
      <xdr:spPr>
        <a:xfrm>
          <a:off x="215722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471</xdr:row>
      <xdr:rowOff>0</xdr:rowOff>
    </xdr:from>
    <xdr:to>
      <xdr:col>24</xdr:col>
      <xdr:colOff>83820</xdr:colOff>
      <xdr:row>471</xdr:row>
      <xdr:rowOff>114300</xdr:rowOff>
    </xdr:to>
    <xdr:sp macro="" textlink="">
      <xdr:nvSpPr>
        <xdr:cNvPr id="3566" name="Arrow: Down 3565">
          <a:extLst>
            <a:ext uri="{FF2B5EF4-FFF2-40B4-BE49-F238E27FC236}">
              <a16:creationId xmlns:a16="http://schemas.microsoft.com/office/drawing/2014/main" id="{7C3E9293-4D4C-416F-82AE-E5FA0A153F4B}"/>
            </a:ext>
          </a:extLst>
        </xdr:cNvPr>
        <xdr:cNvSpPr/>
      </xdr:nvSpPr>
      <xdr:spPr>
        <a:xfrm rot="10800000">
          <a:off x="833628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471</xdr:row>
      <xdr:rowOff>0</xdr:rowOff>
    </xdr:from>
    <xdr:to>
      <xdr:col>11</xdr:col>
      <xdr:colOff>83820</xdr:colOff>
      <xdr:row>471</xdr:row>
      <xdr:rowOff>114300</xdr:rowOff>
    </xdr:to>
    <xdr:sp macro="" textlink="">
      <xdr:nvSpPr>
        <xdr:cNvPr id="3567" name="Arrow: Down 3566">
          <a:extLst>
            <a:ext uri="{FF2B5EF4-FFF2-40B4-BE49-F238E27FC236}">
              <a16:creationId xmlns:a16="http://schemas.microsoft.com/office/drawing/2014/main" id="{34D6D4D7-3282-433B-9B75-DA86C604BC88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471</xdr:row>
      <xdr:rowOff>0</xdr:rowOff>
    </xdr:from>
    <xdr:to>
      <xdr:col>5</xdr:col>
      <xdr:colOff>83820</xdr:colOff>
      <xdr:row>471</xdr:row>
      <xdr:rowOff>114300</xdr:rowOff>
    </xdr:to>
    <xdr:sp macro="" textlink="">
      <xdr:nvSpPr>
        <xdr:cNvPr id="3568" name="Arrow: Down 3567">
          <a:extLst>
            <a:ext uri="{FF2B5EF4-FFF2-40B4-BE49-F238E27FC236}">
              <a16:creationId xmlns:a16="http://schemas.microsoft.com/office/drawing/2014/main" id="{720BA18A-65B6-487A-8185-AAD8D1B15A70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471</xdr:row>
      <xdr:rowOff>0</xdr:rowOff>
    </xdr:from>
    <xdr:to>
      <xdr:col>60</xdr:col>
      <xdr:colOff>83820</xdr:colOff>
      <xdr:row>471</xdr:row>
      <xdr:rowOff>114300</xdr:rowOff>
    </xdr:to>
    <xdr:sp macro="" textlink="">
      <xdr:nvSpPr>
        <xdr:cNvPr id="3570" name="Arrow: Down 3569">
          <a:extLst>
            <a:ext uri="{FF2B5EF4-FFF2-40B4-BE49-F238E27FC236}">
              <a16:creationId xmlns:a16="http://schemas.microsoft.com/office/drawing/2014/main" id="{1C113059-0B10-4899-989E-86B315A01CC2}"/>
            </a:ext>
          </a:extLst>
        </xdr:cNvPr>
        <xdr:cNvSpPr/>
      </xdr:nvSpPr>
      <xdr:spPr>
        <a:xfrm>
          <a:off x="190195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1" name="Arrow: Down 3570">
          <a:extLst>
            <a:ext uri="{FF2B5EF4-FFF2-40B4-BE49-F238E27FC236}">
              <a16:creationId xmlns:a16="http://schemas.microsoft.com/office/drawing/2014/main" id="{84266225-7F59-429F-BED6-F52747F415C2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72" name="Arrow: Down 3571">
          <a:extLst>
            <a:ext uri="{FF2B5EF4-FFF2-40B4-BE49-F238E27FC236}">
              <a16:creationId xmlns:a16="http://schemas.microsoft.com/office/drawing/2014/main" id="{8DD71356-8DC3-4B7B-93D0-8B6EBE7990A0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76" name="Arrow: Down 3575">
          <a:extLst>
            <a:ext uri="{FF2B5EF4-FFF2-40B4-BE49-F238E27FC236}">
              <a16:creationId xmlns:a16="http://schemas.microsoft.com/office/drawing/2014/main" id="{D1137FF0-2EA7-47F9-9662-C54610FA1680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77" name="Arrow: Down 3576">
          <a:extLst>
            <a:ext uri="{FF2B5EF4-FFF2-40B4-BE49-F238E27FC236}">
              <a16:creationId xmlns:a16="http://schemas.microsoft.com/office/drawing/2014/main" id="{34673D4A-07BB-47A2-8975-18FA049C5035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470</xdr:row>
      <xdr:rowOff>0</xdr:rowOff>
    </xdr:from>
    <xdr:to>
      <xdr:col>60</xdr:col>
      <xdr:colOff>83820</xdr:colOff>
      <xdr:row>470</xdr:row>
      <xdr:rowOff>114300</xdr:rowOff>
    </xdr:to>
    <xdr:sp macro="" textlink="">
      <xdr:nvSpPr>
        <xdr:cNvPr id="3578" name="Arrow: Down 3577">
          <a:extLst>
            <a:ext uri="{FF2B5EF4-FFF2-40B4-BE49-F238E27FC236}">
              <a16:creationId xmlns:a16="http://schemas.microsoft.com/office/drawing/2014/main" id="{A091B69E-20C9-4BB8-88DA-36750ACFCF87}"/>
            </a:ext>
          </a:extLst>
        </xdr:cNvPr>
        <xdr:cNvSpPr/>
      </xdr:nvSpPr>
      <xdr:spPr>
        <a:xfrm rot="10800000">
          <a:off x="1901952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9" name="Arrow: Down 3578">
          <a:extLst>
            <a:ext uri="{FF2B5EF4-FFF2-40B4-BE49-F238E27FC236}">
              <a16:creationId xmlns:a16="http://schemas.microsoft.com/office/drawing/2014/main" id="{BF336153-8C24-4CB3-9F8A-01035C345E0C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80" name="Arrow: Down 3579">
          <a:extLst>
            <a:ext uri="{FF2B5EF4-FFF2-40B4-BE49-F238E27FC236}">
              <a16:creationId xmlns:a16="http://schemas.microsoft.com/office/drawing/2014/main" id="{79F82967-FB16-45AD-989D-842C8C006511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84" name="Arrow: Down 3583">
          <a:extLst>
            <a:ext uri="{FF2B5EF4-FFF2-40B4-BE49-F238E27FC236}">
              <a16:creationId xmlns:a16="http://schemas.microsoft.com/office/drawing/2014/main" id="{6402BB27-6A1B-4B72-B939-A1DB84CA902B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85" name="Arrow: Down 3584">
          <a:extLst>
            <a:ext uri="{FF2B5EF4-FFF2-40B4-BE49-F238E27FC236}">
              <a16:creationId xmlns:a16="http://schemas.microsoft.com/office/drawing/2014/main" id="{A070C8C0-6D5F-4302-BC08-FBFFA84536C7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472</xdr:row>
      <xdr:rowOff>0</xdr:rowOff>
    </xdr:from>
    <xdr:to>
      <xdr:col>24</xdr:col>
      <xdr:colOff>83820</xdr:colOff>
      <xdr:row>472</xdr:row>
      <xdr:rowOff>114300</xdr:rowOff>
    </xdr:to>
    <xdr:sp macro="" textlink="">
      <xdr:nvSpPr>
        <xdr:cNvPr id="3587" name="Arrow: Down 3586">
          <a:extLst>
            <a:ext uri="{FF2B5EF4-FFF2-40B4-BE49-F238E27FC236}">
              <a16:creationId xmlns:a16="http://schemas.microsoft.com/office/drawing/2014/main" id="{93FCFE56-B0B1-4704-BAF3-60AFE6401BCD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472</xdr:row>
      <xdr:rowOff>0</xdr:rowOff>
    </xdr:from>
    <xdr:to>
      <xdr:col>5</xdr:col>
      <xdr:colOff>83820</xdr:colOff>
      <xdr:row>472</xdr:row>
      <xdr:rowOff>114300</xdr:rowOff>
    </xdr:to>
    <xdr:sp macro="" textlink="">
      <xdr:nvSpPr>
        <xdr:cNvPr id="3588" name="Arrow: Down 3587">
          <a:extLst>
            <a:ext uri="{FF2B5EF4-FFF2-40B4-BE49-F238E27FC236}">
              <a16:creationId xmlns:a16="http://schemas.microsoft.com/office/drawing/2014/main" id="{3586A484-6597-43C9-87DD-A47609B8F23B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83820</xdr:colOff>
      <xdr:row>472</xdr:row>
      <xdr:rowOff>114300</xdr:rowOff>
    </xdr:to>
    <xdr:sp macro="" textlink="">
      <xdr:nvSpPr>
        <xdr:cNvPr id="3589" name="Arrow: Down 3588">
          <a:extLst>
            <a:ext uri="{FF2B5EF4-FFF2-40B4-BE49-F238E27FC236}">
              <a16:creationId xmlns:a16="http://schemas.microsoft.com/office/drawing/2014/main" id="{1F4216FD-2952-4304-B867-6667F311CA94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0" name="Arrow: Down 3589">
          <a:extLst>
            <a:ext uri="{FF2B5EF4-FFF2-40B4-BE49-F238E27FC236}">
              <a16:creationId xmlns:a16="http://schemas.microsoft.com/office/drawing/2014/main" id="{E1EE6F91-2FC6-4FF2-94DD-012807A38FE6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1" name="Arrow: Down 3590">
          <a:extLst>
            <a:ext uri="{FF2B5EF4-FFF2-40B4-BE49-F238E27FC236}">
              <a16:creationId xmlns:a16="http://schemas.microsoft.com/office/drawing/2014/main" id="{958204C2-EBBE-4C75-8C5D-BFE81C84B2A1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4" name="Arrow: Down 3593">
          <a:extLst>
            <a:ext uri="{FF2B5EF4-FFF2-40B4-BE49-F238E27FC236}">
              <a16:creationId xmlns:a16="http://schemas.microsoft.com/office/drawing/2014/main" id="{252EFFA9-00FF-484D-BE9D-0B4403C3F56B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5" name="Arrow: Down 3594">
          <a:extLst>
            <a:ext uri="{FF2B5EF4-FFF2-40B4-BE49-F238E27FC236}">
              <a16:creationId xmlns:a16="http://schemas.microsoft.com/office/drawing/2014/main" id="{5F16FC82-AC4A-432D-B0C2-F14A88565933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473</xdr:row>
      <xdr:rowOff>0</xdr:rowOff>
    </xdr:from>
    <xdr:to>
      <xdr:col>24</xdr:col>
      <xdr:colOff>83820</xdr:colOff>
      <xdr:row>473</xdr:row>
      <xdr:rowOff>114300</xdr:rowOff>
    </xdr:to>
    <xdr:sp macro="" textlink="">
      <xdr:nvSpPr>
        <xdr:cNvPr id="3598" name="Arrow: Down 3597">
          <a:extLst>
            <a:ext uri="{FF2B5EF4-FFF2-40B4-BE49-F238E27FC236}">
              <a16:creationId xmlns:a16="http://schemas.microsoft.com/office/drawing/2014/main" id="{8361858A-301E-4E01-AAE2-44A5F8B8E2EF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473</xdr:row>
      <xdr:rowOff>0</xdr:rowOff>
    </xdr:from>
    <xdr:to>
      <xdr:col>11</xdr:col>
      <xdr:colOff>83820</xdr:colOff>
      <xdr:row>473</xdr:row>
      <xdr:rowOff>114300</xdr:rowOff>
    </xdr:to>
    <xdr:sp macro="" textlink="">
      <xdr:nvSpPr>
        <xdr:cNvPr id="3600" name="Arrow: Down 3599">
          <a:extLst>
            <a:ext uri="{FF2B5EF4-FFF2-40B4-BE49-F238E27FC236}">
              <a16:creationId xmlns:a16="http://schemas.microsoft.com/office/drawing/2014/main" id="{697905B3-9DBB-435F-AB9A-5AF5442CDB76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473</xdr:row>
      <xdr:rowOff>0</xdr:rowOff>
    </xdr:from>
    <xdr:to>
      <xdr:col>39</xdr:col>
      <xdr:colOff>83820</xdr:colOff>
      <xdr:row>473</xdr:row>
      <xdr:rowOff>114300</xdr:rowOff>
    </xdr:to>
    <xdr:sp macro="" textlink="">
      <xdr:nvSpPr>
        <xdr:cNvPr id="3601" name="Arrow: Down 3600">
          <a:extLst>
            <a:ext uri="{FF2B5EF4-FFF2-40B4-BE49-F238E27FC236}">
              <a16:creationId xmlns:a16="http://schemas.microsoft.com/office/drawing/2014/main" id="{6B75D900-0C20-4D8F-B341-A5BC4059DF68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473</xdr:row>
      <xdr:rowOff>0</xdr:rowOff>
    </xdr:from>
    <xdr:to>
      <xdr:col>5</xdr:col>
      <xdr:colOff>83820</xdr:colOff>
      <xdr:row>473</xdr:row>
      <xdr:rowOff>114300</xdr:rowOff>
    </xdr:to>
    <xdr:sp macro="" textlink="">
      <xdr:nvSpPr>
        <xdr:cNvPr id="3602" name="Arrow: Down 3601">
          <a:extLst>
            <a:ext uri="{FF2B5EF4-FFF2-40B4-BE49-F238E27FC236}">
              <a16:creationId xmlns:a16="http://schemas.microsoft.com/office/drawing/2014/main" id="{84989FB9-09EA-4528-8736-17C464293D1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473</xdr:row>
      <xdr:rowOff>0</xdr:rowOff>
    </xdr:from>
    <xdr:to>
      <xdr:col>60</xdr:col>
      <xdr:colOff>83820</xdr:colOff>
      <xdr:row>473</xdr:row>
      <xdr:rowOff>114300</xdr:rowOff>
    </xdr:to>
    <xdr:sp macro="" textlink="">
      <xdr:nvSpPr>
        <xdr:cNvPr id="3603" name="Arrow: Down 3602">
          <a:extLst>
            <a:ext uri="{FF2B5EF4-FFF2-40B4-BE49-F238E27FC236}">
              <a16:creationId xmlns:a16="http://schemas.microsoft.com/office/drawing/2014/main" id="{0CB946D1-2C96-419E-83CB-5F7085D9913B}"/>
            </a:ext>
          </a:extLst>
        </xdr:cNvPr>
        <xdr:cNvSpPr/>
      </xdr:nvSpPr>
      <xdr:spPr>
        <a:xfrm rot="10800000">
          <a:off x="1901952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4" name="Arrow: Down 3603">
          <a:extLst>
            <a:ext uri="{FF2B5EF4-FFF2-40B4-BE49-F238E27FC236}">
              <a16:creationId xmlns:a16="http://schemas.microsoft.com/office/drawing/2014/main" id="{D143ED2C-CBFA-4D4D-962F-4DBBC00B8BFD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5" name="Arrow: Down 3604">
          <a:extLst>
            <a:ext uri="{FF2B5EF4-FFF2-40B4-BE49-F238E27FC236}">
              <a16:creationId xmlns:a16="http://schemas.microsoft.com/office/drawing/2014/main" id="{60E29F41-0AB7-4140-9709-5948A65E31E2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6" name="Arrow: Down 3605">
          <a:extLst>
            <a:ext uri="{FF2B5EF4-FFF2-40B4-BE49-F238E27FC236}">
              <a16:creationId xmlns:a16="http://schemas.microsoft.com/office/drawing/2014/main" id="{6CAF0180-D634-44C7-B2B0-B474FC47365E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7" name="Arrow: Down 3606">
          <a:extLst>
            <a:ext uri="{FF2B5EF4-FFF2-40B4-BE49-F238E27FC236}">
              <a16:creationId xmlns:a16="http://schemas.microsoft.com/office/drawing/2014/main" id="{60011153-728C-47A2-9896-E1F731F1BD71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474</xdr:row>
      <xdr:rowOff>0</xdr:rowOff>
    </xdr:from>
    <xdr:to>
      <xdr:col>39</xdr:col>
      <xdr:colOff>83820</xdr:colOff>
      <xdr:row>474</xdr:row>
      <xdr:rowOff>114300</xdr:rowOff>
    </xdr:to>
    <xdr:sp macro="" textlink="">
      <xdr:nvSpPr>
        <xdr:cNvPr id="3610" name="Arrow: Down 3609">
          <a:extLst>
            <a:ext uri="{FF2B5EF4-FFF2-40B4-BE49-F238E27FC236}">
              <a16:creationId xmlns:a16="http://schemas.microsoft.com/office/drawing/2014/main" id="{DAEFD983-2E3F-4F0B-B77F-F8FF9B253394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474</xdr:row>
      <xdr:rowOff>0</xdr:rowOff>
    </xdr:from>
    <xdr:to>
      <xdr:col>5</xdr:col>
      <xdr:colOff>83820</xdr:colOff>
      <xdr:row>474</xdr:row>
      <xdr:rowOff>114300</xdr:rowOff>
    </xdr:to>
    <xdr:sp macro="" textlink="">
      <xdr:nvSpPr>
        <xdr:cNvPr id="3611" name="Arrow: Down 3610">
          <a:extLst>
            <a:ext uri="{FF2B5EF4-FFF2-40B4-BE49-F238E27FC236}">
              <a16:creationId xmlns:a16="http://schemas.microsoft.com/office/drawing/2014/main" id="{6D084D8A-65AF-4243-B3F8-6A2A1CEE88F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474</xdr:row>
      <xdr:rowOff>0</xdr:rowOff>
    </xdr:from>
    <xdr:to>
      <xdr:col>11</xdr:col>
      <xdr:colOff>83820</xdr:colOff>
      <xdr:row>474</xdr:row>
      <xdr:rowOff>114300</xdr:rowOff>
    </xdr:to>
    <xdr:sp macro="" textlink="">
      <xdr:nvSpPr>
        <xdr:cNvPr id="3613" name="Arrow: Down 3612">
          <a:extLst>
            <a:ext uri="{FF2B5EF4-FFF2-40B4-BE49-F238E27FC236}">
              <a16:creationId xmlns:a16="http://schemas.microsoft.com/office/drawing/2014/main" id="{39B9CD40-D76F-4ABE-B28F-591E1B1FD2C1}"/>
            </a:ext>
          </a:extLst>
        </xdr:cNvPr>
        <xdr:cNvSpPr/>
      </xdr:nvSpPr>
      <xdr:spPr>
        <a:xfrm rot="10800000">
          <a:off x="369570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474</xdr:row>
      <xdr:rowOff>0</xdr:rowOff>
    </xdr:from>
    <xdr:to>
      <xdr:col>24</xdr:col>
      <xdr:colOff>83820</xdr:colOff>
      <xdr:row>474</xdr:row>
      <xdr:rowOff>114300</xdr:rowOff>
    </xdr:to>
    <xdr:sp macro="" textlink="">
      <xdr:nvSpPr>
        <xdr:cNvPr id="3614" name="Arrow: Down 3613">
          <a:extLst>
            <a:ext uri="{FF2B5EF4-FFF2-40B4-BE49-F238E27FC236}">
              <a16:creationId xmlns:a16="http://schemas.microsoft.com/office/drawing/2014/main" id="{03A768FA-F878-493B-B246-0CC9A5E108EC}"/>
            </a:ext>
          </a:extLst>
        </xdr:cNvPr>
        <xdr:cNvSpPr/>
      </xdr:nvSpPr>
      <xdr:spPr>
        <a:xfrm rot="10800000">
          <a:off x="833628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474</xdr:row>
      <xdr:rowOff>0</xdr:rowOff>
    </xdr:from>
    <xdr:to>
      <xdr:col>60</xdr:col>
      <xdr:colOff>83820</xdr:colOff>
      <xdr:row>474</xdr:row>
      <xdr:rowOff>114300</xdr:rowOff>
    </xdr:to>
    <xdr:sp macro="" textlink="">
      <xdr:nvSpPr>
        <xdr:cNvPr id="3616" name="Arrow: Down 3615">
          <a:extLst>
            <a:ext uri="{FF2B5EF4-FFF2-40B4-BE49-F238E27FC236}">
              <a16:creationId xmlns:a16="http://schemas.microsoft.com/office/drawing/2014/main" id="{05A11EBA-00B7-46CF-96C0-FC4A66138692}"/>
            </a:ext>
          </a:extLst>
        </xdr:cNvPr>
        <xdr:cNvSpPr/>
      </xdr:nvSpPr>
      <xdr:spPr>
        <a:xfrm>
          <a:off x="190195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7" name="Arrow: Down 3616">
          <a:extLst>
            <a:ext uri="{FF2B5EF4-FFF2-40B4-BE49-F238E27FC236}">
              <a16:creationId xmlns:a16="http://schemas.microsoft.com/office/drawing/2014/main" id="{088980ED-2AD6-4C3C-B47D-A43568C11B64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18" name="Arrow: Down 3617">
          <a:extLst>
            <a:ext uri="{FF2B5EF4-FFF2-40B4-BE49-F238E27FC236}">
              <a16:creationId xmlns:a16="http://schemas.microsoft.com/office/drawing/2014/main" id="{78A0CD81-A7B2-4DDB-9ECC-EBCB5815F949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9" name="Arrow: Down 3618">
          <a:extLst>
            <a:ext uri="{FF2B5EF4-FFF2-40B4-BE49-F238E27FC236}">
              <a16:creationId xmlns:a16="http://schemas.microsoft.com/office/drawing/2014/main" id="{7E2C75AE-ED1F-4A45-ADA0-CA9757E0ACC8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20" name="Arrow: Down 3619">
          <a:extLst>
            <a:ext uri="{FF2B5EF4-FFF2-40B4-BE49-F238E27FC236}">
              <a16:creationId xmlns:a16="http://schemas.microsoft.com/office/drawing/2014/main" id="{42FF4A01-8206-44F8-A12F-A605AD41EBE0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475</xdr:row>
      <xdr:rowOff>0</xdr:rowOff>
    </xdr:from>
    <xdr:to>
      <xdr:col>11</xdr:col>
      <xdr:colOff>83820</xdr:colOff>
      <xdr:row>475</xdr:row>
      <xdr:rowOff>114300</xdr:rowOff>
    </xdr:to>
    <xdr:sp macro="" textlink="">
      <xdr:nvSpPr>
        <xdr:cNvPr id="3626" name="Arrow: Down 3625">
          <a:extLst>
            <a:ext uri="{FF2B5EF4-FFF2-40B4-BE49-F238E27FC236}">
              <a16:creationId xmlns:a16="http://schemas.microsoft.com/office/drawing/2014/main" id="{52B1E5A9-6DE7-4B2F-9A5A-31AE0F7BBF96}"/>
            </a:ext>
          </a:extLst>
        </xdr:cNvPr>
        <xdr:cNvSpPr/>
      </xdr:nvSpPr>
      <xdr:spPr>
        <a:xfrm>
          <a:off x="369570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475</xdr:row>
      <xdr:rowOff>0</xdr:rowOff>
    </xdr:from>
    <xdr:to>
      <xdr:col>5</xdr:col>
      <xdr:colOff>83820</xdr:colOff>
      <xdr:row>475</xdr:row>
      <xdr:rowOff>114300</xdr:rowOff>
    </xdr:to>
    <xdr:sp macro="" textlink="">
      <xdr:nvSpPr>
        <xdr:cNvPr id="3627" name="Arrow: Down 3626">
          <a:extLst>
            <a:ext uri="{FF2B5EF4-FFF2-40B4-BE49-F238E27FC236}">
              <a16:creationId xmlns:a16="http://schemas.microsoft.com/office/drawing/2014/main" id="{E32A512C-F3F9-49EC-ADAF-B230A1794223}"/>
            </a:ext>
          </a:extLst>
        </xdr:cNvPr>
        <xdr:cNvSpPr/>
      </xdr:nvSpPr>
      <xdr:spPr>
        <a:xfrm>
          <a:off x="192786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475</xdr:row>
      <xdr:rowOff>0</xdr:rowOff>
    </xdr:from>
    <xdr:to>
      <xdr:col>24</xdr:col>
      <xdr:colOff>83820</xdr:colOff>
      <xdr:row>475</xdr:row>
      <xdr:rowOff>114300</xdr:rowOff>
    </xdr:to>
    <xdr:sp macro="" textlink="">
      <xdr:nvSpPr>
        <xdr:cNvPr id="3629" name="Arrow: Down 3628">
          <a:extLst>
            <a:ext uri="{FF2B5EF4-FFF2-40B4-BE49-F238E27FC236}">
              <a16:creationId xmlns:a16="http://schemas.microsoft.com/office/drawing/2014/main" id="{61FBB8BC-7829-4B1B-B71F-304EF44BAE50}"/>
            </a:ext>
          </a:extLst>
        </xdr:cNvPr>
        <xdr:cNvSpPr/>
      </xdr:nvSpPr>
      <xdr:spPr>
        <a:xfrm rot="10800000">
          <a:off x="833628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475</xdr:row>
      <xdr:rowOff>0</xdr:rowOff>
    </xdr:from>
    <xdr:to>
      <xdr:col>60</xdr:col>
      <xdr:colOff>83820</xdr:colOff>
      <xdr:row>475</xdr:row>
      <xdr:rowOff>114300</xdr:rowOff>
    </xdr:to>
    <xdr:sp macro="" textlink="">
      <xdr:nvSpPr>
        <xdr:cNvPr id="3632" name="Arrow: Down 3631">
          <a:extLst>
            <a:ext uri="{FF2B5EF4-FFF2-40B4-BE49-F238E27FC236}">
              <a16:creationId xmlns:a16="http://schemas.microsoft.com/office/drawing/2014/main" id="{1216363D-54AF-46A5-B41C-C8E5238A9BBC}"/>
            </a:ext>
          </a:extLst>
        </xdr:cNvPr>
        <xdr:cNvSpPr/>
      </xdr:nvSpPr>
      <xdr:spPr>
        <a:xfrm rot="10800000">
          <a:off x="1901952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3" name="Arrow: Down 3632">
          <a:extLst>
            <a:ext uri="{FF2B5EF4-FFF2-40B4-BE49-F238E27FC236}">
              <a16:creationId xmlns:a16="http://schemas.microsoft.com/office/drawing/2014/main" id="{5A8D1BF8-D5FC-41B0-A498-02319C4E0B37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4" name="Arrow: Down 3633">
          <a:extLst>
            <a:ext uri="{FF2B5EF4-FFF2-40B4-BE49-F238E27FC236}">
              <a16:creationId xmlns:a16="http://schemas.microsoft.com/office/drawing/2014/main" id="{C81261EA-B732-4244-9840-F830954B5426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5" name="Arrow: Down 3634">
          <a:extLst>
            <a:ext uri="{FF2B5EF4-FFF2-40B4-BE49-F238E27FC236}">
              <a16:creationId xmlns:a16="http://schemas.microsoft.com/office/drawing/2014/main" id="{347FEC9C-397C-40B9-96EE-55504D980C5D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6" name="Arrow: Down 3635">
          <a:extLst>
            <a:ext uri="{FF2B5EF4-FFF2-40B4-BE49-F238E27FC236}">
              <a16:creationId xmlns:a16="http://schemas.microsoft.com/office/drawing/2014/main" id="{BF511484-FB55-45C4-A51F-76131C4B17B4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476</xdr:row>
      <xdr:rowOff>0</xdr:rowOff>
    </xdr:from>
    <xdr:to>
      <xdr:col>60</xdr:col>
      <xdr:colOff>83820</xdr:colOff>
      <xdr:row>476</xdr:row>
      <xdr:rowOff>114300</xdr:rowOff>
    </xdr:to>
    <xdr:sp macro="" textlink="">
      <xdr:nvSpPr>
        <xdr:cNvPr id="3642" name="Arrow: Down 3641">
          <a:extLst>
            <a:ext uri="{FF2B5EF4-FFF2-40B4-BE49-F238E27FC236}">
              <a16:creationId xmlns:a16="http://schemas.microsoft.com/office/drawing/2014/main" id="{A9268DB3-DBC5-4CEA-99AF-74188D9A9BC0}"/>
            </a:ext>
          </a:extLst>
        </xdr:cNvPr>
        <xdr:cNvSpPr/>
      </xdr:nvSpPr>
      <xdr:spPr>
        <a:xfrm>
          <a:off x="190195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476</xdr:row>
      <xdr:rowOff>0</xdr:rowOff>
    </xdr:from>
    <xdr:to>
      <xdr:col>11</xdr:col>
      <xdr:colOff>83820</xdr:colOff>
      <xdr:row>476</xdr:row>
      <xdr:rowOff>114300</xdr:rowOff>
    </xdr:to>
    <xdr:sp macro="" textlink="">
      <xdr:nvSpPr>
        <xdr:cNvPr id="3643" name="Arrow: Down 3642">
          <a:extLst>
            <a:ext uri="{FF2B5EF4-FFF2-40B4-BE49-F238E27FC236}">
              <a16:creationId xmlns:a16="http://schemas.microsoft.com/office/drawing/2014/main" id="{48A9C98B-B568-4B1C-B726-DC93DE3556D4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476</xdr:row>
      <xdr:rowOff>0</xdr:rowOff>
    </xdr:from>
    <xdr:to>
      <xdr:col>5</xdr:col>
      <xdr:colOff>83820</xdr:colOff>
      <xdr:row>476</xdr:row>
      <xdr:rowOff>114300</xdr:rowOff>
    </xdr:to>
    <xdr:sp macro="" textlink="">
      <xdr:nvSpPr>
        <xdr:cNvPr id="3644" name="Arrow: Down 3643">
          <a:extLst>
            <a:ext uri="{FF2B5EF4-FFF2-40B4-BE49-F238E27FC236}">
              <a16:creationId xmlns:a16="http://schemas.microsoft.com/office/drawing/2014/main" id="{71FEA4F6-FF64-4B24-B06A-66D9D4AAFD63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475</xdr:row>
      <xdr:rowOff>0</xdr:rowOff>
    </xdr:from>
    <xdr:to>
      <xdr:col>39</xdr:col>
      <xdr:colOff>83820</xdr:colOff>
      <xdr:row>475</xdr:row>
      <xdr:rowOff>114300</xdr:rowOff>
    </xdr:to>
    <xdr:sp macro="" textlink="">
      <xdr:nvSpPr>
        <xdr:cNvPr id="3645" name="Arrow: Down 3644">
          <a:extLst>
            <a:ext uri="{FF2B5EF4-FFF2-40B4-BE49-F238E27FC236}">
              <a16:creationId xmlns:a16="http://schemas.microsoft.com/office/drawing/2014/main" id="{D7F1C4DB-8CAA-4C57-A5EE-FFD6F4CF9439}"/>
            </a:ext>
          </a:extLst>
        </xdr:cNvPr>
        <xdr:cNvSpPr/>
      </xdr:nvSpPr>
      <xdr:spPr>
        <a:xfrm>
          <a:off x="1154430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476</xdr:row>
      <xdr:rowOff>0</xdr:rowOff>
    </xdr:from>
    <xdr:to>
      <xdr:col>39</xdr:col>
      <xdr:colOff>83820</xdr:colOff>
      <xdr:row>476</xdr:row>
      <xdr:rowOff>114300</xdr:rowOff>
    </xdr:to>
    <xdr:sp macro="" textlink="">
      <xdr:nvSpPr>
        <xdr:cNvPr id="3647" name="Arrow: Down 3646">
          <a:extLst>
            <a:ext uri="{FF2B5EF4-FFF2-40B4-BE49-F238E27FC236}">
              <a16:creationId xmlns:a16="http://schemas.microsoft.com/office/drawing/2014/main" id="{01E027B0-A9D1-4EF9-B165-152AC7AC3C72}"/>
            </a:ext>
          </a:extLst>
        </xdr:cNvPr>
        <xdr:cNvSpPr/>
      </xdr:nvSpPr>
      <xdr:spPr>
        <a:xfrm>
          <a:off x="115443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476</xdr:row>
      <xdr:rowOff>0</xdr:rowOff>
    </xdr:from>
    <xdr:to>
      <xdr:col>24</xdr:col>
      <xdr:colOff>83820</xdr:colOff>
      <xdr:row>476</xdr:row>
      <xdr:rowOff>114300</xdr:rowOff>
    </xdr:to>
    <xdr:sp macro="" textlink="">
      <xdr:nvSpPr>
        <xdr:cNvPr id="3648" name="Arrow: Down 3647">
          <a:extLst>
            <a:ext uri="{FF2B5EF4-FFF2-40B4-BE49-F238E27FC236}">
              <a16:creationId xmlns:a16="http://schemas.microsoft.com/office/drawing/2014/main" id="{1416BEA0-2A0A-4C15-9492-E85D33DB7C1C}"/>
            </a:ext>
          </a:extLst>
        </xdr:cNvPr>
        <xdr:cNvSpPr/>
      </xdr:nvSpPr>
      <xdr:spPr>
        <a:xfrm>
          <a:off x="83362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49" name="Arrow: Down 3648">
          <a:extLst>
            <a:ext uri="{FF2B5EF4-FFF2-40B4-BE49-F238E27FC236}">
              <a16:creationId xmlns:a16="http://schemas.microsoft.com/office/drawing/2014/main" id="{FCB852E2-F98A-441C-85C4-3707DA8D3091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0" name="Arrow: Down 3649">
          <a:extLst>
            <a:ext uri="{FF2B5EF4-FFF2-40B4-BE49-F238E27FC236}">
              <a16:creationId xmlns:a16="http://schemas.microsoft.com/office/drawing/2014/main" id="{562B76CA-F481-403F-B629-8493C83E66CF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51" name="Arrow: Down 3650">
          <a:extLst>
            <a:ext uri="{FF2B5EF4-FFF2-40B4-BE49-F238E27FC236}">
              <a16:creationId xmlns:a16="http://schemas.microsoft.com/office/drawing/2014/main" id="{5D57EBCD-AC1E-4791-A766-CBC8F524B52A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2" name="Arrow: Down 3651">
          <a:extLst>
            <a:ext uri="{FF2B5EF4-FFF2-40B4-BE49-F238E27FC236}">
              <a16:creationId xmlns:a16="http://schemas.microsoft.com/office/drawing/2014/main" id="{709247E4-7BDD-40C1-9977-BC87875245B2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477</xdr:row>
      <xdr:rowOff>0</xdr:rowOff>
    </xdr:from>
    <xdr:to>
      <xdr:col>11</xdr:col>
      <xdr:colOff>83820</xdr:colOff>
      <xdr:row>477</xdr:row>
      <xdr:rowOff>114300</xdr:rowOff>
    </xdr:to>
    <xdr:sp macro="" textlink="">
      <xdr:nvSpPr>
        <xdr:cNvPr id="3654" name="Arrow: Down 3653">
          <a:extLst>
            <a:ext uri="{FF2B5EF4-FFF2-40B4-BE49-F238E27FC236}">
              <a16:creationId xmlns:a16="http://schemas.microsoft.com/office/drawing/2014/main" id="{F8112F02-DC73-47D8-BDC4-0667CE1B9483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477</xdr:row>
      <xdr:rowOff>0</xdr:rowOff>
    </xdr:from>
    <xdr:to>
      <xdr:col>5</xdr:col>
      <xdr:colOff>83820</xdr:colOff>
      <xdr:row>477</xdr:row>
      <xdr:rowOff>114300</xdr:rowOff>
    </xdr:to>
    <xdr:sp macro="" textlink="">
      <xdr:nvSpPr>
        <xdr:cNvPr id="3655" name="Arrow: Down 3654">
          <a:extLst>
            <a:ext uri="{FF2B5EF4-FFF2-40B4-BE49-F238E27FC236}">
              <a16:creationId xmlns:a16="http://schemas.microsoft.com/office/drawing/2014/main" id="{016E06A3-A625-41E9-BAB1-20E0CD433AC0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477</xdr:row>
      <xdr:rowOff>0</xdr:rowOff>
    </xdr:from>
    <xdr:to>
      <xdr:col>24</xdr:col>
      <xdr:colOff>83820</xdr:colOff>
      <xdr:row>477</xdr:row>
      <xdr:rowOff>114300</xdr:rowOff>
    </xdr:to>
    <xdr:sp macro="" textlink="">
      <xdr:nvSpPr>
        <xdr:cNvPr id="3658" name="Arrow: Down 3657">
          <a:extLst>
            <a:ext uri="{FF2B5EF4-FFF2-40B4-BE49-F238E27FC236}">
              <a16:creationId xmlns:a16="http://schemas.microsoft.com/office/drawing/2014/main" id="{606421C3-42F2-432C-BA37-B0A74A76E5CE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477</xdr:row>
      <xdr:rowOff>0</xdr:rowOff>
    </xdr:from>
    <xdr:to>
      <xdr:col>39</xdr:col>
      <xdr:colOff>83820</xdr:colOff>
      <xdr:row>477</xdr:row>
      <xdr:rowOff>114300</xdr:rowOff>
    </xdr:to>
    <xdr:sp macro="" textlink="">
      <xdr:nvSpPr>
        <xdr:cNvPr id="3659" name="Arrow: Down 3658">
          <a:extLst>
            <a:ext uri="{FF2B5EF4-FFF2-40B4-BE49-F238E27FC236}">
              <a16:creationId xmlns:a16="http://schemas.microsoft.com/office/drawing/2014/main" id="{3A6CCE0C-BB70-4AED-AAD7-A0B364803DB9}"/>
            </a:ext>
          </a:extLst>
        </xdr:cNvPr>
        <xdr:cNvSpPr/>
      </xdr:nvSpPr>
      <xdr:spPr>
        <a:xfrm rot="10800000">
          <a:off x="1154430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477</xdr:row>
      <xdr:rowOff>0</xdr:rowOff>
    </xdr:from>
    <xdr:to>
      <xdr:col>60</xdr:col>
      <xdr:colOff>83820</xdr:colOff>
      <xdr:row>477</xdr:row>
      <xdr:rowOff>114300</xdr:rowOff>
    </xdr:to>
    <xdr:sp macro="" textlink="">
      <xdr:nvSpPr>
        <xdr:cNvPr id="3661" name="Arrow: Down 3660">
          <a:extLst>
            <a:ext uri="{FF2B5EF4-FFF2-40B4-BE49-F238E27FC236}">
              <a16:creationId xmlns:a16="http://schemas.microsoft.com/office/drawing/2014/main" id="{D80647A6-EE12-4CBC-9E77-565F8EDEF08B}"/>
            </a:ext>
          </a:extLst>
        </xdr:cNvPr>
        <xdr:cNvSpPr/>
      </xdr:nvSpPr>
      <xdr:spPr>
        <a:xfrm rot="10800000">
          <a:off x="1901952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2" name="Arrow: Down 3661">
          <a:extLst>
            <a:ext uri="{FF2B5EF4-FFF2-40B4-BE49-F238E27FC236}">
              <a16:creationId xmlns:a16="http://schemas.microsoft.com/office/drawing/2014/main" id="{1B2039FE-7431-4282-A35A-92686E4FBAA2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3" name="Arrow: Down 3662">
          <a:extLst>
            <a:ext uri="{FF2B5EF4-FFF2-40B4-BE49-F238E27FC236}">
              <a16:creationId xmlns:a16="http://schemas.microsoft.com/office/drawing/2014/main" id="{341BC574-5B40-4A18-8529-EB7289722437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4" name="Arrow: Down 3663">
          <a:extLst>
            <a:ext uri="{FF2B5EF4-FFF2-40B4-BE49-F238E27FC236}">
              <a16:creationId xmlns:a16="http://schemas.microsoft.com/office/drawing/2014/main" id="{6AC09481-B978-4777-A848-21D1B7FB0BB7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5" name="Arrow: Down 3664">
          <a:extLst>
            <a:ext uri="{FF2B5EF4-FFF2-40B4-BE49-F238E27FC236}">
              <a16:creationId xmlns:a16="http://schemas.microsoft.com/office/drawing/2014/main" id="{6ED3D518-B29A-434B-9307-80C200A92BE2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478</xdr:row>
      <xdr:rowOff>0</xdr:rowOff>
    </xdr:from>
    <xdr:to>
      <xdr:col>11</xdr:col>
      <xdr:colOff>83820</xdr:colOff>
      <xdr:row>478</xdr:row>
      <xdr:rowOff>114300</xdr:rowOff>
    </xdr:to>
    <xdr:sp macro="" textlink="">
      <xdr:nvSpPr>
        <xdr:cNvPr id="3666" name="Arrow: Down 3665">
          <a:extLst>
            <a:ext uri="{FF2B5EF4-FFF2-40B4-BE49-F238E27FC236}">
              <a16:creationId xmlns:a16="http://schemas.microsoft.com/office/drawing/2014/main" id="{C52D3894-22BF-4D88-A5CB-C1EFC62C45BE}"/>
            </a:ext>
          </a:extLst>
        </xdr:cNvPr>
        <xdr:cNvSpPr/>
      </xdr:nvSpPr>
      <xdr:spPr>
        <a:xfrm rot="10800000">
          <a:off x="369570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478</xdr:row>
      <xdr:rowOff>0</xdr:rowOff>
    </xdr:from>
    <xdr:to>
      <xdr:col>5</xdr:col>
      <xdr:colOff>83820</xdr:colOff>
      <xdr:row>478</xdr:row>
      <xdr:rowOff>114300</xdr:rowOff>
    </xdr:to>
    <xdr:sp macro="" textlink="">
      <xdr:nvSpPr>
        <xdr:cNvPr id="3667" name="Arrow: Down 3666">
          <a:extLst>
            <a:ext uri="{FF2B5EF4-FFF2-40B4-BE49-F238E27FC236}">
              <a16:creationId xmlns:a16="http://schemas.microsoft.com/office/drawing/2014/main" id="{E0CEA105-6319-4C35-ABE5-415DC04A5112}"/>
            </a:ext>
          </a:extLst>
        </xdr:cNvPr>
        <xdr:cNvSpPr/>
      </xdr:nvSpPr>
      <xdr:spPr>
        <a:xfrm rot="10800000">
          <a:off x="192786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478</xdr:row>
      <xdr:rowOff>0</xdr:rowOff>
    </xdr:from>
    <xdr:to>
      <xdr:col>24</xdr:col>
      <xdr:colOff>83820</xdr:colOff>
      <xdr:row>478</xdr:row>
      <xdr:rowOff>114300</xdr:rowOff>
    </xdr:to>
    <xdr:sp macro="" textlink="">
      <xdr:nvSpPr>
        <xdr:cNvPr id="3668" name="Arrow: Down 3667">
          <a:extLst>
            <a:ext uri="{FF2B5EF4-FFF2-40B4-BE49-F238E27FC236}">
              <a16:creationId xmlns:a16="http://schemas.microsoft.com/office/drawing/2014/main" id="{81D434C5-D324-4661-AE82-B98B4A2DD51C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471</xdr:row>
      <xdr:rowOff>0</xdr:rowOff>
    </xdr:from>
    <xdr:to>
      <xdr:col>39</xdr:col>
      <xdr:colOff>83820</xdr:colOff>
      <xdr:row>471</xdr:row>
      <xdr:rowOff>114300</xdr:rowOff>
    </xdr:to>
    <xdr:sp macro="" textlink="">
      <xdr:nvSpPr>
        <xdr:cNvPr id="3672" name="Arrow: Down 3671">
          <a:extLst>
            <a:ext uri="{FF2B5EF4-FFF2-40B4-BE49-F238E27FC236}">
              <a16:creationId xmlns:a16="http://schemas.microsoft.com/office/drawing/2014/main" id="{14A66181-A566-47D5-BAC0-AD659B828091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478</xdr:row>
      <xdr:rowOff>0</xdr:rowOff>
    </xdr:from>
    <xdr:to>
      <xdr:col>39</xdr:col>
      <xdr:colOff>83820</xdr:colOff>
      <xdr:row>478</xdr:row>
      <xdr:rowOff>114300</xdr:rowOff>
    </xdr:to>
    <xdr:sp macro="" textlink="">
      <xdr:nvSpPr>
        <xdr:cNvPr id="3673" name="Arrow: Down 3672">
          <a:extLst>
            <a:ext uri="{FF2B5EF4-FFF2-40B4-BE49-F238E27FC236}">
              <a16:creationId xmlns:a16="http://schemas.microsoft.com/office/drawing/2014/main" id="{96E19E9F-7DCE-433F-9B80-84EE7D84BEE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478</xdr:row>
      <xdr:rowOff>0</xdr:rowOff>
    </xdr:from>
    <xdr:to>
      <xdr:col>60</xdr:col>
      <xdr:colOff>83820</xdr:colOff>
      <xdr:row>478</xdr:row>
      <xdr:rowOff>114300</xdr:rowOff>
    </xdr:to>
    <xdr:sp macro="" textlink="">
      <xdr:nvSpPr>
        <xdr:cNvPr id="3674" name="Arrow: Down 3673">
          <a:extLst>
            <a:ext uri="{FF2B5EF4-FFF2-40B4-BE49-F238E27FC236}">
              <a16:creationId xmlns:a16="http://schemas.microsoft.com/office/drawing/2014/main" id="{6B0E1663-27EE-451D-B1D4-B62B4029643C}"/>
            </a:ext>
          </a:extLst>
        </xdr:cNvPr>
        <xdr:cNvSpPr/>
      </xdr:nvSpPr>
      <xdr:spPr>
        <a:xfrm>
          <a:off x="190195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5" name="Arrow: Down 3674">
          <a:extLst>
            <a:ext uri="{FF2B5EF4-FFF2-40B4-BE49-F238E27FC236}">
              <a16:creationId xmlns:a16="http://schemas.microsoft.com/office/drawing/2014/main" id="{CD8FAE9B-3504-4B72-A6C1-83D67251D4EB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6" name="Arrow: Down 3675">
          <a:extLst>
            <a:ext uri="{FF2B5EF4-FFF2-40B4-BE49-F238E27FC236}">
              <a16:creationId xmlns:a16="http://schemas.microsoft.com/office/drawing/2014/main" id="{7E35BF61-AF46-49B0-A895-213EF012728F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7" name="Arrow: Down 3676">
          <a:extLst>
            <a:ext uri="{FF2B5EF4-FFF2-40B4-BE49-F238E27FC236}">
              <a16:creationId xmlns:a16="http://schemas.microsoft.com/office/drawing/2014/main" id="{8FFD8E6F-9DD5-4510-A4DB-D449628CA802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8" name="Arrow: Down 3677">
          <a:extLst>
            <a:ext uri="{FF2B5EF4-FFF2-40B4-BE49-F238E27FC236}">
              <a16:creationId xmlns:a16="http://schemas.microsoft.com/office/drawing/2014/main" id="{ADC8DEDB-5EBE-4223-BE28-A23BD1975794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479</xdr:row>
      <xdr:rowOff>0</xdr:rowOff>
    </xdr:from>
    <xdr:to>
      <xdr:col>39</xdr:col>
      <xdr:colOff>83820</xdr:colOff>
      <xdr:row>479</xdr:row>
      <xdr:rowOff>114300</xdr:rowOff>
    </xdr:to>
    <xdr:sp macro="" textlink="">
      <xdr:nvSpPr>
        <xdr:cNvPr id="3682" name="Arrow: Down 3681">
          <a:extLst>
            <a:ext uri="{FF2B5EF4-FFF2-40B4-BE49-F238E27FC236}">
              <a16:creationId xmlns:a16="http://schemas.microsoft.com/office/drawing/2014/main" id="{AABCC9FF-3270-4CC2-8A81-788B354C162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479</xdr:row>
      <xdr:rowOff>0</xdr:rowOff>
    </xdr:from>
    <xdr:to>
      <xdr:col>60</xdr:col>
      <xdr:colOff>83820</xdr:colOff>
      <xdr:row>479</xdr:row>
      <xdr:rowOff>114300</xdr:rowOff>
    </xdr:to>
    <xdr:sp macro="" textlink="">
      <xdr:nvSpPr>
        <xdr:cNvPr id="3684" name="Arrow: Down 3683">
          <a:extLst>
            <a:ext uri="{FF2B5EF4-FFF2-40B4-BE49-F238E27FC236}">
              <a16:creationId xmlns:a16="http://schemas.microsoft.com/office/drawing/2014/main" id="{66BC1E99-CE69-4065-9770-335DD2D2D840}"/>
            </a:ext>
          </a:extLst>
        </xdr:cNvPr>
        <xdr:cNvSpPr/>
      </xdr:nvSpPr>
      <xdr:spPr>
        <a:xfrm rot="10800000">
          <a:off x="1901952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479</xdr:row>
      <xdr:rowOff>0</xdr:rowOff>
    </xdr:from>
    <xdr:to>
      <xdr:col>24</xdr:col>
      <xdr:colOff>83820</xdr:colOff>
      <xdr:row>479</xdr:row>
      <xdr:rowOff>114300</xdr:rowOff>
    </xdr:to>
    <xdr:sp macro="" textlink="">
      <xdr:nvSpPr>
        <xdr:cNvPr id="3686" name="Arrow: Down 3685">
          <a:extLst>
            <a:ext uri="{FF2B5EF4-FFF2-40B4-BE49-F238E27FC236}">
              <a16:creationId xmlns:a16="http://schemas.microsoft.com/office/drawing/2014/main" id="{51F40860-9F37-4017-AA29-0270B16A76DC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479</xdr:row>
      <xdr:rowOff>0</xdr:rowOff>
    </xdr:from>
    <xdr:to>
      <xdr:col>5</xdr:col>
      <xdr:colOff>83820</xdr:colOff>
      <xdr:row>479</xdr:row>
      <xdr:rowOff>114300</xdr:rowOff>
    </xdr:to>
    <xdr:sp macro="" textlink="">
      <xdr:nvSpPr>
        <xdr:cNvPr id="3688" name="Arrow: Down 3687">
          <a:extLst>
            <a:ext uri="{FF2B5EF4-FFF2-40B4-BE49-F238E27FC236}">
              <a16:creationId xmlns:a16="http://schemas.microsoft.com/office/drawing/2014/main" id="{AA3A5863-6C20-4F7D-9C99-3EE8DA4C1651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479</xdr:row>
      <xdr:rowOff>0</xdr:rowOff>
    </xdr:from>
    <xdr:to>
      <xdr:col>11</xdr:col>
      <xdr:colOff>83820</xdr:colOff>
      <xdr:row>479</xdr:row>
      <xdr:rowOff>114300</xdr:rowOff>
    </xdr:to>
    <xdr:sp macro="" textlink="">
      <xdr:nvSpPr>
        <xdr:cNvPr id="3689" name="Arrow: Down 3688">
          <a:extLst>
            <a:ext uri="{FF2B5EF4-FFF2-40B4-BE49-F238E27FC236}">
              <a16:creationId xmlns:a16="http://schemas.microsoft.com/office/drawing/2014/main" id="{8491B0E1-C14F-465A-A496-D76737B135DE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0" name="Arrow: Down 3689">
          <a:extLst>
            <a:ext uri="{FF2B5EF4-FFF2-40B4-BE49-F238E27FC236}">
              <a16:creationId xmlns:a16="http://schemas.microsoft.com/office/drawing/2014/main" id="{C095BF99-0CA3-4A04-A7E1-56FBDF50B9D2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1" name="Arrow: Down 3690">
          <a:extLst>
            <a:ext uri="{FF2B5EF4-FFF2-40B4-BE49-F238E27FC236}">
              <a16:creationId xmlns:a16="http://schemas.microsoft.com/office/drawing/2014/main" id="{21309F0D-9049-42EA-9AF9-BC02F95922BE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2" name="Arrow: Down 3691">
          <a:extLst>
            <a:ext uri="{FF2B5EF4-FFF2-40B4-BE49-F238E27FC236}">
              <a16:creationId xmlns:a16="http://schemas.microsoft.com/office/drawing/2014/main" id="{0C9E93BF-B1FE-45AD-8CD7-1C0997EF8FBD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3" name="Arrow: Down 3692">
          <a:extLst>
            <a:ext uri="{FF2B5EF4-FFF2-40B4-BE49-F238E27FC236}">
              <a16:creationId xmlns:a16="http://schemas.microsoft.com/office/drawing/2014/main" id="{2F102960-9E5E-4B91-96C6-DD8E08DBDC8B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480</xdr:row>
      <xdr:rowOff>0</xdr:rowOff>
    </xdr:from>
    <xdr:to>
      <xdr:col>39</xdr:col>
      <xdr:colOff>83820</xdr:colOff>
      <xdr:row>480</xdr:row>
      <xdr:rowOff>114300</xdr:rowOff>
    </xdr:to>
    <xdr:sp macro="" textlink="">
      <xdr:nvSpPr>
        <xdr:cNvPr id="3694" name="Arrow: Down 3693">
          <a:extLst>
            <a:ext uri="{FF2B5EF4-FFF2-40B4-BE49-F238E27FC236}">
              <a16:creationId xmlns:a16="http://schemas.microsoft.com/office/drawing/2014/main" id="{70D9DB55-7CB5-46A7-B49A-68D212B5A62B}"/>
            </a:ext>
          </a:extLst>
        </xdr:cNvPr>
        <xdr:cNvSpPr/>
      </xdr:nvSpPr>
      <xdr:spPr>
        <a:xfrm>
          <a:off x="1154430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480</xdr:row>
      <xdr:rowOff>0</xdr:rowOff>
    </xdr:from>
    <xdr:to>
      <xdr:col>24</xdr:col>
      <xdr:colOff>83820</xdr:colOff>
      <xdr:row>480</xdr:row>
      <xdr:rowOff>114300</xdr:rowOff>
    </xdr:to>
    <xdr:sp macro="" textlink="">
      <xdr:nvSpPr>
        <xdr:cNvPr id="3696" name="Arrow: Down 3695">
          <a:extLst>
            <a:ext uri="{FF2B5EF4-FFF2-40B4-BE49-F238E27FC236}">
              <a16:creationId xmlns:a16="http://schemas.microsoft.com/office/drawing/2014/main" id="{7938F15B-5BC9-4108-9E58-F9A7AD6DAA45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480</xdr:row>
      <xdr:rowOff>0</xdr:rowOff>
    </xdr:from>
    <xdr:to>
      <xdr:col>5</xdr:col>
      <xdr:colOff>83820</xdr:colOff>
      <xdr:row>480</xdr:row>
      <xdr:rowOff>114300</xdr:rowOff>
    </xdr:to>
    <xdr:sp macro="" textlink="">
      <xdr:nvSpPr>
        <xdr:cNvPr id="3697" name="Arrow: Down 3696">
          <a:extLst>
            <a:ext uri="{FF2B5EF4-FFF2-40B4-BE49-F238E27FC236}">
              <a16:creationId xmlns:a16="http://schemas.microsoft.com/office/drawing/2014/main" id="{6D399022-9555-409F-9893-50C48DE5C4ED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480</xdr:row>
      <xdr:rowOff>0</xdr:rowOff>
    </xdr:from>
    <xdr:to>
      <xdr:col>11</xdr:col>
      <xdr:colOff>83820</xdr:colOff>
      <xdr:row>480</xdr:row>
      <xdr:rowOff>114300</xdr:rowOff>
    </xdr:to>
    <xdr:sp macro="" textlink="">
      <xdr:nvSpPr>
        <xdr:cNvPr id="3698" name="Arrow: Down 3697">
          <a:extLst>
            <a:ext uri="{FF2B5EF4-FFF2-40B4-BE49-F238E27FC236}">
              <a16:creationId xmlns:a16="http://schemas.microsoft.com/office/drawing/2014/main" id="{0B16CFE2-211A-415F-BB78-953EEDD5BE21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480</xdr:row>
      <xdr:rowOff>0</xdr:rowOff>
    </xdr:from>
    <xdr:to>
      <xdr:col>60</xdr:col>
      <xdr:colOff>83820</xdr:colOff>
      <xdr:row>480</xdr:row>
      <xdr:rowOff>114300</xdr:rowOff>
    </xdr:to>
    <xdr:sp macro="" textlink="">
      <xdr:nvSpPr>
        <xdr:cNvPr id="3699" name="Arrow: Down 3698">
          <a:extLst>
            <a:ext uri="{FF2B5EF4-FFF2-40B4-BE49-F238E27FC236}">
              <a16:creationId xmlns:a16="http://schemas.microsoft.com/office/drawing/2014/main" id="{AD8A5BE8-A505-4C0B-A268-B98914A0EDEA}"/>
            </a:ext>
          </a:extLst>
        </xdr:cNvPr>
        <xdr:cNvSpPr/>
      </xdr:nvSpPr>
      <xdr:spPr>
        <a:xfrm>
          <a:off x="190195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09" name="Arrow: Down 3408">
          <a:extLst>
            <a:ext uri="{FF2B5EF4-FFF2-40B4-BE49-F238E27FC236}">
              <a16:creationId xmlns:a16="http://schemas.microsoft.com/office/drawing/2014/main" id="{B591BE02-7F6D-405B-93CE-D48DDEB547B2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30" name="Arrow: Down 3429">
          <a:extLst>
            <a:ext uri="{FF2B5EF4-FFF2-40B4-BE49-F238E27FC236}">
              <a16:creationId xmlns:a16="http://schemas.microsoft.com/office/drawing/2014/main" id="{9EA97DCB-26DF-4D93-8C64-12F316FD0ADF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48" name="Arrow: Down 3447">
          <a:extLst>
            <a:ext uri="{FF2B5EF4-FFF2-40B4-BE49-F238E27FC236}">
              <a16:creationId xmlns:a16="http://schemas.microsoft.com/office/drawing/2014/main" id="{FF198284-BE8D-4470-ACDF-CEA13B4530BF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57" name="Arrow: Down 3456">
          <a:extLst>
            <a:ext uri="{FF2B5EF4-FFF2-40B4-BE49-F238E27FC236}">
              <a16:creationId xmlns:a16="http://schemas.microsoft.com/office/drawing/2014/main" id="{27C1ABE8-92AA-4FEC-AD5D-A3FCC4C167D6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481</xdr:row>
      <xdr:rowOff>0</xdr:rowOff>
    </xdr:from>
    <xdr:to>
      <xdr:col>24</xdr:col>
      <xdr:colOff>83820</xdr:colOff>
      <xdr:row>481</xdr:row>
      <xdr:rowOff>114300</xdr:rowOff>
    </xdr:to>
    <xdr:sp macro="" textlink="">
      <xdr:nvSpPr>
        <xdr:cNvPr id="3464" name="Arrow: Down 3463">
          <a:extLst>
            <a:ext uri="{FF2B5EF4-FFF2-40B4-BE49-F238E27FC236}">
              <a16:creationId xmlns:a16="http://schemas.microsoft.com/office/drawing/2014/main" id="{59B17AC4-AFEB-4E76-87A6-461D11D5578B}"/>
            </a:ext>
          </a:extLst>
        </xdr:cNvPr>
        <xdr:cNvSpPr/>
      </xdr:nvSpPr>
      <xdr:spPr>
        <a:xfrm>
          <a:off x="83362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481</xdr:row>
      <xdr:rowOff>0</xdr:rowOff>
    </xdr:from>
    <xdr:to>
      <xdr:col>5</xdr:col>
      <xdr:colOff>83820</xdr:colOff>
      <xdr:row>481</xdr:row>
      <xdr:rowOff>114300</xdr:rowOff>
    </xdr:to>
    <xdr:sp macro="" textlink="">
      <xdr:nvSpPr>
        <xdr:cNvPr id="3465" name="Arrow: Down 3464">
          <a:extLst>
            <a:ext uri="{FF2B5EF4-FFF2-40B4-BE49-F238E27FC236}">
              <a16:creationId xmlns:a16="http://schemas.microsoft.com/office/drawing/2014/main" id="{1281CB2C-417E-416E-99B3-1178234F28E8}"/>
            </a:ext>
          </a:extLst>
        </xdr:cNvPr>
        <xdr:cNvSpPr/>
      </xdr:nvSpPr>
      <xdr:spPr>
        <a:xfrm>
          <a:off x="192786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481</xdr:row>
      <xdr:rowOff>0</xdr:rowOff>
    </xdr:from>
    <xdr:to>
      <xdr:col>11</xdr:col>
      <xdr:colOff>83820</xdr:colOff>
      <xdr:row>481</xdr:row>
      <xdr:rowOff>114300</xdr:rowOff>
    </xdr:to>
    <xdr:sp macro="" textlink="">
      <xdr:nvSpPr>
        <xdr:cNvPr id="3466" name="Arrow: Down 3465">
          <a:extLst>
            <a:ext uri="{FF2B5EF4-FFF2-40B4-BE49-F238E27FC236}">
              <a16:creationId xmlns:a16="http://schemas.microsoft.com/office/drawing/2014/main" id="{0E12993F-5A2F-4C53-814D-ECBC97894C0C}"/>
            </a:ext>
          </a:extLst>
        </xdr:cNvPr>
        <xdr:cNvSpPr/>
      </xdr:nvSpPr>
      <xdr:spPr>
        <a:xfrm>
          <a:off x="369570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481</xdr:row>
      <xdr:rowOff>0</xdr:rowOff>
    </xdr:from>
    <xdr:to>
      <xdr:col>39</xdr:col>
      <xdr:colOff>83820</xdr:colOff>
      <xdr:row>481</xdr:row>
      <xdr:rowOff>114300</xdr:rowOff>
    </xdr:to>
    <xdr:sp macro="" textlink="">
      <xdr:nvSpPr>
        <xdr:cNvPr id="3468" name="Arrow: Down 3467">
          <a:extLst>
            <a:ext uri="{FF2B5EF4-FFF2-40B4-BE49-F238E27FC236}">
              <a16:creationId xmlns:a16="http://schemas.microsoft.com/office/drawing/2014/main" id="{C162669F-BCAB-44C7-8324-9F7A24723FB8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481</xdr:row>
      <xdr:rowOff>0</xdr:rowOff>
    </xdr:from>
    <xdr:to>
      <xdr:col>60</xdr:col>
      <xdr:colOff>83820</xdr:colOff>
      <xdr:row>481</xdr:row>
      <xdr:rowOff>114300</xdr:rowOff>
    </xdr:to>
    <xdr:sp macro="" textlink="">
      <xdr:nvSpPr>
        <xdr:cNvPr id="3469" name="Arrow: Down 3468">
          <a:extLst>
            <a:ext uri="{FF2B5EF4-FFF2-40B4-BE49-F238E27FC236}">
              <a16:creationId xmlns:a16="http://schemas.microsoft.com/office/drawing/2014/main" id="{7A228861-8B34-4A82-AD35-C28584832E58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2" name="Arrow: Down 3471">
          <a:extLst>
            <a:ext uri="{FF2B5EF4-FFF2-40B4-BE49-F238E27FC236}">
              <a16:creationId xmlns:a16="http://schemas.microsoft.com/office/drawing/2014/main" id="{BF41509F-0C7B-497A-804D-E8BB69605968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3" name="Arrow: Down 3472">
          <a:extLst>
            <a:ext uri="{FF2B5EF4-FFF2-40B4-BE49-F238E27FC236}">
              <a16:creationId xmlns:a16="http://schemas.microsoft.com/office/drawing/2014/main" id="{5831DA0F-FC9A-49C6-9D68-8194D49CF911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4" name="Arrow: Down 3473">
          <a:extLst>
            <a:ext uri="{FF2B5EF4-FFF2-40B4-BE49-F238E27FC236}">
              <a16:creationId xmlns:a16="http://schemas.microsoft.com/office/drawing/2014/main" id="{655079BE-0F4D-48A2-A611-9B854CDE4BFF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5" name="Arrow: Down 3474">
          <a:extLst>
            <a:ext uri="{FF2B5EF4-FFF2-40B4-BE49-F238E27FC236}">
              <a16:creationId xmlns:a16="http://schemas.microsoft.com/office/drawing/2014/main" id="{3F05A1AC-0BAD-4C0D-94CD-D3D92B6E7853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482</xdr:row>
      <xdr:rowOff>0</xdr:rowOff>
    </xdr:from>
    <xdr:to>
      <xdr:col>39</xdr:col>
      <xdr:colOff>83820</xdr:colOff>
      <xdr:row>482</xdr:row>
      <xdr:rowOff>114300</xdr:rowOff>
    </xdr:to>
    <xdr:sp macro="" textlink="">
      <xdr:nvSpPr>
        <xdr:cNvPr id="3489" name="Arrow: Down 3488">
          <a:extLst>
            <a:ext uri="{FF2B5EF4-FFF2-40B4-BE49-F238E27FC236}">
              <a16:creationId xmlns:a16="http://schemas.microsoft.com/office/drawing/2014/main" id="{B6085581-56F2-4209-9051-967EC373BA1D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482</xdr:row>
      <xdr:rowOff>0</xdr:rowOff>
    </xdr:from>
    <xdr:to>
      <xdr:col>60</xdr:col>
      <xdr:colOff>83820</xdr:colOff>
      <xdr:row>482</xdr:row>
      <xdr:rowOff>114300</xdr:rowOff>
    </xdr:to>
    <xdr:sp macro="" textlink="">
      <xdr:nvSpPr>
        <xdr:cNvPr id="3492" name="Arrow: Down 3491">
          <a:extLst>
            <a:ext uri="{FF2B5EF4-FFF2-40B4-BE49-F238E27FC236}">
              <a16:creationId xmlns:a16="http://schemas.microsoft.com/office/drawing/2014/main" id="{2709CF1E-F5F3-491F-9C8B-D7DF7E396EE0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482</xdr:row>
      <xdr:rowOff>0</xdr:rowOff>
    </xdr:from>
    <xdr:to>
      <xdr:col>24</xdr:col>
      <xdr:colOff>83820</xdr:colOff>
      <xdr:row>482</xdr:row>
      <xdr:rowOff>114300</xdr:rowOff>
    </xdr:to>
    <xdr:sp macro="" textlink="">
      <xdr:nvSpPr>
        <xdr:cNvPr id="3493" name="Arrow: Down 3492">
          <a:extLst>
            <a:ext uri="{FF2B5EF4-FFF2-40B4-BE49-F238E27FC236}">
              <a16:creationId xmlns:a16="http://schemas.microsoft.com/office/drawing/2014/main" id="{3A5B1909-89A1-4343-A055-BC570F92CCE5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482</xdr:row>
      <xdr:rowOff>0</xdr:rowOff>
    </xdr:from>
    <xdr:to>
      <xdr:col>5</xdr:col>
      <xdr:colOff>83820</xdr:colOff>
      <xdr:row>482</xdr:row>
      <xdr:rowOff>114300</xdr:rowOff>
    </xdr:to>
    <xdr:sp macro="" textlink="">
      <xdr:nvSpPr>
        <xdr:cNvPr id="3494" name="Arrow: Down 3493">
          <a:extLst>
            <a:ext uri="{FF2B5EF4-FFF2-40B4-BE49-F238E27FC236}">
              <a16:creationId xmlns:a16="http://schemas.microsoft.com/office/drawing/2014/main" id="{DD04ADFE-2BBA-4B53-B0E4-30BA7DB57FD1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482</xdr:row>
      <xdr:rowOff>0</xdr:rowOff>
    </xdr:from>
    <xdr:to>
      <xdr:col>11</xdr:col>
      <xdr:colOff>83820</xdr:colOff>
      <xdr:row>482</xdr:row>
      <xdr:rowOff>114300</xdr:rowOff>
    </xdr:to>
    <xdr:sp macro="" textlink="">
      <xdr:nvSpPr>
        <xdr:cNvPr id="3495" name="Arrow: Down 3494">
          <a:extLst>
            <a:ext uri="{FF2B5EF4-FFF2-40B4-BE49-F238E27FC236}">
              <a16:creationId xmlns:a16="http://schemas.microsoft.com/office/drawing/2014/main" id="{72D76777-5B03-4C2B-9FAE-7BDBA8B33D12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6" name="Arrow: Down 3495">
          <a:extLst>
            <a:ext uri="{FF2B5EF4-FFF2-40B4-BE49-F238E27FC236}">
              <a16:creationId xmlns:a16="http://schemas.microsoft.com/office/drawing/2014/main" id="{F9D9B63C-539B-484A-85D5-C12E5DEB09AD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497" name="Arrow: Down 3496">
          <a:extLst>
            <a:ext uri="{FF2B5EF4-FFF2-40B4-BE49-F238E27FC236}">
              <a16:creationId xmlns:a16="http://schemas.microsoft.com/office/drawing/2014/main" id="{E61369A9-4270-4C7B-92AE-5A4765F47666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8" name="Arrow: Down 3497">
          <a:extLst>
            <a:ext uri="{FF2B5EF4-FFF2-40B4-BE49-F238E27FC236}">
              <a16:creationId xmlns:a16="http://schemas.microsoft.com/office/drawing/2014/main" id="{F7446477-DF1D-42B9-AE75-A59A11B5ED5E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501" name="Arrow: Down 3500">
          <a:extLst>
            <a:ext uri="{FF2B5EF4-FFF2-40B4-BE49-F238E27FC236}">
              <a16:creationId xmlns:a16="http://schemas.microsoft.com/office/drawing/2014/main" id="{1A23DCCC-0D51-424B-BD0C-976DA13D7FEC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483</xdr:row>
      <xdr:rowOff>0</xdr:rowOff>
    </xdr:from>
    <xdr:to>
      <xdr:col>60</xdr:col>
      <xdr:colOff>83820</xdr:colOff>
      <xdr:row>483</xdr:row>
      <xdr:rowOff>114300</xdr:rowOff>
    </xdr:to>
    <xdr:sp macro="" textlink="">
      <xdr:nvSpPr>
        <xdr:cNvPr id="3505" name="Arrow: Down 3504">
          <a:extLst>
            <a:ext uri="{FF2B5EF4-FFF2-40B4-BE49-F238E27FC236}">
              <a16:creationId xmlns:a16="http://schemas.microsoft.com/office/drawing/2014/main" id="{65746FB2-5868-462C-9C57-3141473BC50F}"/>
            </a:ext>
          </a:extLst>
        </xdr:cNvPr>
        <xdr:cNvSpPr/>
      </xdr:nvSpPr>
      <xdr:spPr>
        <a:xfrm rot="10800000">
          <a:off x="1901952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483</xdr:row>
      <xdr:rowOff>0</xdr:rowOff>
    </xdr:from>
    <xdr:to>
      <xdr:col>24</xdr:col>
      <xdr:colOff>83820</xdr:colOff>
      <xdr:row>483</xdr:row>
      <xdr:rowOff>114300</xdr:rowOff>
    </xdr:to>
    <xdr:sp macro="" textlink="">
      <xdr:nvSpPr>
        <xdr:cNvPr id="3507" name="Arrow: Down 3506">
          <a:extLst>
            <a:ext uri="{FF2B5EF4-FFF2-40B4-BE49-F238E27FC236}">
              <a16:creationId xmlns:a16="http://schemas.microsoft.com/office/drawing/2014/main" id="{3BADE39A-EC1F-430E-82A0-77E8C216C0BF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483</xdr:row>
      <xdr:rowOff>0</xdr:rowOff>
    </xdr:from>
    <xdr:to>
      <xdr:col>5</xdr:col>
      <xdr:colOff>83820</xdr:colOff>
      <xdr:row>483</xdr:row>
      <xdr:rowOff>114300</xdr:rowOff>
    </xdr:to>
    <xdr:sp macro="" textlink="">
      <xdr:nvSpPr>
        <xdr:cNvPr id="3513" name="Arrow: Down 3512">
          <a:extLst>
            <a:ext uri="{FF2B5EF4-FFF2-40B4-BE49-F238E27FC236}">
              <a16:creationId xmlns:a16="http://schemas.microsoft.com/office/drawing/2014/main" id="{367A19E4-13B5-44E4-AA56-883619B45F08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483</xdr:row>
      <xdr:rowOff>0</xdr:rowOff>
    </xdr:from>
    <xdr:to>
      <xdr:col>11</xdr:col>
      <xdr:colOff>83820</xdr:colOff>
      <xdr:row>483</xdr:row>
      <xdr:rowOff>114300</xdr:rowOff>
    </xdr:to>
    <xdr:sp macro="" textlink="">
      <xdr:nvSpPr>
        <xdr:cNvPr id="3515" name="Arrow: Down 3514">
          <a:extLst>
            <a:ext uri="{FF2B5EF4-FFF2-40B4-BE49-F238E27FC236}">
              <a16:creationId xmlns:a16="http://schemas.microsoft.com/office/drawing/2014/main" id="{A2C2C820-E959-47DA-9A6F-49E8DA971807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483</xdr:row>
      <xdr:rowOff>0</xdr:rowOff>
    </xdr:from>
    <xdr:to>
      <xdr:col>39</xdr:col>
      <xdr:colOff>83820</xdr:colOff>
      <xdr:row>483</xdr:row>
      <xdr:rowOff>114300</xdr:rowOff>
    </xdr:to>
    <xdr:sp macro="" textlink="">
      <xdr:nvSpPr>
        <xdr:cNvPr id="3517" name="Arrow: Down 3516">
          <a:extLst>
            <a:ext uri="{FF2B5EF4-FFF2-40B4-BE49-F238E27FC236}">
              <a16:creationId xmlns:a16="http://schemas.microsoft.com/office/drawing/2014/main" id="{1A38A4DE-26CD-4536-97B4-38462115D541}"/>
            </a:ext>
          </a:extLst>
        </xdr:cNvPr>
        <xdr:cNvSpPr/>
      </xdr:nvSpPr>
      <xdr:spPr>
        <a:xfrm>
          <a:off x="115443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2" name="Arrow: Down 3521">
          <a:extLst>
            <a:ext uri="{FF2B5EF4-FFF2-40B4-BE49-F238E27FC236}">
              <a16:creationId xmlns:a16="http://schemas.microsoft.com/office/drawing/2014/main" id="{87AA2072-88F9-4BEB-921E-1DADD30E59B2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3" name="Arrow: Down 3522">
          <a:extLst>
            <a:ext uri="{FF2B5EF4-FFF2-40B4-BE49-F238E27FC236}">
              <a16:creationId xmlns:a16="http://schemas.microsoft.com/office/drawing/2014/main" id="{4D95D375-9539-4CF2-9E54-CCC9C79E53EB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4" name="Arrow: Down 3523">
          <a:extLst>
            <a:ext uri="{FF2B5EF4-FFF2-40B4-BE49-F238E27FC236}">
              <a16:creationId xmlns:a16="http://schemas.microsoft.com/office/drawing/2014/main" id="{376285DE-6698-447B-A2C1-86E3E742424B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5" name="Arrow: Down 3524">
          <a:extLst>
            <a:ext uri="{FF2B5EF4-FFF2-40B4-BE49-F238E27FC236}">
              <a16:creationId xmlns:a16="http://schemas.microsoft.com/office/drawing/2014/main" id="{FD68D236-DDE2-4DC9-8599-B8E09233B2EF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484</xdr:row>
      <xdr:rowOff>0</xdr:rowOff>
    </xdr:from>
    <xdr:to>
      <xdr:col>24</xdr:col>
      <xdr:colOff>83820</xdr:colOff>
      <xdr:row>484</xdr:row>
      <xdr:rowOff>114300</xdr:rowOff>
    </xdr:to>
    <xdr:sp macro="" textlink="">
      <xdr:nvSpPr>
        <xdr:cNvPr id="3531" name="Arrow: Down 3530">
          <a:extLst>
            <a:ext uri="{FF2B5EF4-FFF2-40B4-BE49-F238E27FC236}">
              <a16:creationId xmlns:a16="http://schemas.microsoft.com/office/drawing/2014/main" id="{910EA1C1-C031-47C5-8411-42CC129FABE0}"/>
            </a:ext>
          </a:extLst>
        </xdr:cNvPr>
        <xdr:cNvSpPr/>
      </xdr:nvSpPr>
      <xdr:spPr>
        <a:xfrm rot="10800000">
          <a:off x="833628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83820</xdr:colOff>
      <xdr:row>484</xdr:row>
      <xdr:rowOff>114300</xdr:rowOff>
    </xdr:to>
    <xdr:sp macro="" textlink="">
      <xdr:nvSpPr>
        <xdr:cNvPr id="3535" name="Arrow: Down 3534">
          <a:extLst>
            <a:ext uri="{FF2B5EF4-FFF2-40B4-BE49-F238E27FC236}">
              <a16:creationId xmlns:a16="http://schemas.microsoft.com/office/drawing/2014/main" id="{586DDF4B-3F61-4565-9A6E-B57035C75B6E}"/>
            </a:ext>
          </a:extLst>
        </xdr:cNvPr>
        <xdr:cNvSpPr/>
      </xdr:nvSpPr>
      <xdr:spPr>
        <a:xfrm rot="10800000">
          <a:off x="192786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484</xdr:row>
      <xdr:rowOff>0</xdr:rowOff>
    </xdr:from>
    <xdr:to>
      <xdr:col>11</xdr:col>
      <xdr:colOff>83820</xdr:colOff>
      <xdr:row>484</xdr:row>
      <xdr:rowOff>114300</xdr:rowOff>
    </xdr:to>
    <xdr:sp macro="" textlink="">
      <xdr:nvSpPr>
        <xdr:cNvPr id="3536" name="Arrow: Down 3535">
          <a:extLst>
            <a:ext uri="{FF2B5EF4-FFF2-40B4-BE49-F238E27FC236}">
              <a16:creationId xmlns:a16="http://schemas.microsoft.com/office/drawing/2014/main" id="{69325678-7C50-4F96-B8AE-12FE8248F443}"/>
            </a:ext>
          </a:extLst>
        </xdr:cNvPr>
        <xdr:cNvSpPr/>
      </xdr:nvSpPr>
      <xdr:spPr>
        <a:xfrm rot="10800000">
          <a:off x="36957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484</xdr:row>
      <xdr:rowOff>0</xdr:rowOff>
    </xdr:from>
    <xdr:to>
      <xdr:col>39</xdr:col>
      <xdr:colOff>83820</xdr:colOff>
      <xdr:row>484</xdr:row>
      <xdr:rowOff>114300</xdr:rowOff>
    </xdr:to>
    <xdr:sp macro="" textlink="">
      <xdr:nvSpPr>
        <xdr:cNvPr id="3550" name="Arrow: Down 3549">
          <a:extLst>
            <a:ext uri="{FF2B5EF4-FFF2-40B4-BE49-F238E27FC236}">
              <a16:creationId xmlns:a16="http://schemas.microsoft.com/office/drawing/2014/main" id="{8F7588DD-C756-4923-8D31-CBB5F2079018}"/>
            </a:ext>
          </a:extLst>
        </xdr:cNvPr>
        <xdr:cNvSpPr/>
      </xdr:nvSpPr>
      <xdr:spPr>
        <a:xfrm rot="10800000">
          <a:off x="1154430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484</xdr:row>
      <xdr:rowOff>0</xdr:rowOff>
    </xdr:from>
    <xdr:to>
      <xdr:col>60</xdr:col>
      <xdr:colOff>83820</xdr:colOff>
      <xdr:row>484</xdr:row>
      <xdr:rowOff>114300</xdr:rowOff>
    </xdr:to>
    <xdr:sp macro="" textlink="">
      <xdr:nvSpPr>
        <xdr:cNvPr id="3551" name="Arrow: Down 3550">
          <a:extLst>
            <a:ext uri="{FF2B5EF4-FFF2-40B4-BE49-F238E27FC236}">
              <a16:creationId xmlns:a16="http://schemas.microsoft.com/office/drawing/2014/main" id="{94C06168-4E40-4DCA-B5C0-826B2B67C60F}"/>
            </a:ext>
          </a:extLst>
        </xdr:cNvPr>
        <xdr:cNvSpPr/>
      </xdr:nvSpPr>
      <xdr:spPr>
        <a:xfrm>
          <a:off x="190195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2" name="Arrow: Down 3551">
          <a:extLst>
            <a:ext uri="{FF2B5EF4-FFF2-40B4-BE49-F238E27FC236}">
              <a16:creationId xmlns:a16="http://schemas.microsoft.com/office/drawing/2014/main" id="{A3428C22-60E4-472A-9190-877519CF58AA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3" name="Arrow: Down 3552">
          <a:extLst>
            <a:ext uri="{FF2B5EF4-FFF2-40B4-BE49-F238E27FC236}">
              <a16:creationId xmlns:a16="http://schemas.microsoft.com/office/drawing/2014/main" id="{E4CA2B2A-946D-43D0-B99D-91BD5B558E9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4" name="Arrow: Down 3553">
          <a:extLst>
            <a:ext uri="{FF2B5EF4-FFF2-40B4-BE49-F238E27FC236}">
              <a16:creationId xmlns:a16="http://schemas.microsoft.com/office/drawing/2014/main" id="{6E5095C4-44D4-4F1B-847A-BF7493093AD6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5" name="Arrow: Down 3554">
          <a:extLst>
            <a:ext uri="{FF2B5EF4-FFF2-40B4-BE49-F238E27FC236}">
              <a16:creationId xmlns:a16="http://schemas.microsoft.com/office/drawing/2014/main" id="{AAFC7AA4-F855-4550-B224-2BC8EF9BD28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485</xdr:row>
      <xdr:rowOff>0</xdr:rowOff>
    </xdr:from>
    <xdr:to>
      <xdr:col>24</xdr:col>
      <xdr:colOff>83820</xdr:colOff>
      <xdr:row>485</xdr:row>
      <xdr:rowOff>114300</xdr:rowOff>
    </xdr:to>
    <xdr:sp macro="" textlink="">
      <xdr:nvSpPr>
        <xdr:cNvPr id="3556" name="Arrow: Down 3555">
          <a:extLst>
            <a:ext uri="{FF2B5EF4-FFF2-40B4-BE49-F238E27FC236}">
              <a16:creationId xmlns:a16="http://schemas.microsoft.com/office/drawing/2014/main" id="{1C54A570-0FCB-4709-81C0-BE7C339342DF}"/>
            </a:ext>
          </a:extLst>
        </xdr:cNvPr>
        <xdr:cNvSpPr/>
      </xdr:nvSpPr>
      <xdr:spPr>
        <a:xfrm rot="10800000">
          <a:off x="833628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83820</xdr:colOff>
      <xdr:row>485</xdr:row>
      <xdr:rowOff>114300</xdr:rowOff>
    </xdr:to>
    <xdr:sp macro="" textlink="">
      <xdr:nvSpPr>
        <xdr:cNvPr id="3563" name="Arrow: Down 3562">
          <a:extLst>
            <a:ext uri="{FF2B5EF4-FFF2-40B4-BE49-F238E27FC236}">
              <a16:creationId xmlns:a16="http://schemas.microsoft.com/office/drawing/2014/main" id="{33EECF9B-BC51-4CAE-AF36-8C4077FDB105}"/>
            </a:ext>
          </a:extLst>
        </xdr:cNvPr>
        <xdr:cNvSpPr/>
      </xdr:nvSpPr>
      <xdr:spPr>
        <a:xfrm rot="10800000">
          <a:off x="192786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485</xdr:row>
      <xdr:rowOff>0</xdr:rowOff>
    </xdr:from>
    <xdr:to>
      <xdr:col>11</xdr:col>
      <xdr:colOff>83820</xdr:colOff>
      <xdr:row>485</xdr:row>
      <xdr:rowOff>114300</xdr:rowOff>
    </xdr:to>
    <xdr:sp macro="" textlink="">
      <xdr:nvSpPr>
        <xdr:cNvPr id="3569" name="Arrow: Down 3568">
          <a:extLst>
            <a:ext uri="{FF2B5EF4-FFF2-40B4-BE49-F238E27FC236}">
              <a16:creationId xmlns:a16="http://schemas.microsoft.com/office/drawing/2014/main" id="{B51B5923-051E-4D08-86E5-D14673E095EB}"/>
            </a:ext>
          </a:extLst>
        </xdr:cNvPr>
        <xdr:cNvSpPr/>
      </xdr:nvSpPr>
      <xdr:spPr>
        <a:xfrm rot="10800000">
          <a:off x="369570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485</xdr:row>
      <xdr:rowOff>0</xdr:rowOff>
    </xdr:from>
    <xdr:to>
      <xdr:col>60</xdr:col>
      <xdr:colOff>83820</xdr:colOff>
      <xdr:row>485</xdr:row>
      <xdr:rowOff>114300</xdr:rowOff>
    </xdr:to>
    <xdr:sp macro="" textlink="">
      <xdr:nvSpPr>
        <xdr:cNvPr id="3575" name="Arrow: Down 3574">
          <a:extLst>
            <a:ext uri="{FF2B5EF4-FFF2-40B4-BE49-F238E27FC236}">
              <a16:creationId xmlns:a16="http://schemas.microsoft.com/office/drawing/2014/main" id="{55F3B209-FC10-4A7E-B528-D5904721FD3A}"/>
            </a:ext>
          </a:extLst>
        </xdr:cNvPr>
        <xdr:cNvSpPr/>
      </xdr:nvSpPr>
      <xdr:spPr>
        <a:xfrm rot="10800000">
          <a:off x="1908048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485</xdr:row>
      <xdr:rowOff>0</xdr:rowOff>
    </xdr:from>
    <xdr:to>
      <xdr:col>39</xdr:col>
      <xdr:colOff>83820</xdr:colOff>
      <xdr:row>485</xdr:row>
      <xdr:rowOff>114300</xdr:rowOff>
    </xdr:to>
    <xdr:sp macro="" textlink="">
      <xdr:nvSpPr>
        <xdr:cNvPr id="3581" name="Arrow: Down 3580">
          <a:extLst>
            <a:ext uri="{FF2B5EF4-FFF2-40B4-BE49-F238E27FC236}">
              <a16:creationId xmlns:a16="http://schemas.microsoft.com/office/drawing/2014/main" id="{22A78E50-4190-4AC2-8A23-ED46B9BF7926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2" name="Arrow: Down 3581">
          <a:extLst>
            <a:ext uri="{FF2B5EF4-FFF2-40B4-BE49-F238E27FC236}">
              <a16:creationId xmlns:a16="http://schemas.microsoft.com/office/drawing/2014/main" id="{A6EF182E-22CB-4140-8198-05E59842D514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83" name="Arrow: Down 3582">
          <a:extLst>
            <a:ext uri="{FF2B5EF4-FFF2-40B4-BE49-F238E27FC236}">
              <a16:creationId xmlns:a16="http://schemas.microsoft.com/office/drawing/2014/main" id="{7621C505-F99A-4BE9-817F-3246A6AEA58D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6" name="Arrow: Down 3585">
          <a:extLst>
            <a:ext uri="{FF2B5EF4-FFF2-40B4-BE49-F238E27FC236}">
              <a16:creationId xmlns:a16="http://schemas.microsoft.com/office/drawing/2014/main" id="{75A91DD0-828C-4891-8C2E-475E4C630B7F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92" name="Arrow: Down 3591">
          <a:extLst>
            <a:ext uri="{FF2B5EF4-FFF2-40B4-BE49-F238E27FC236}">
              <a16:creationId xmlns:a16="http://schemas.microsoft.com/office/drawing/2014/main" id="{19A7EBCB-EBA2-460B-9532-C7FAAE791F11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486</xdr:row>
      <xdr:rowOff>0</xdr:rowOff>
    </xdr:from>
    <xdr:to>
      <xdr:col>60</xdr:col>
      <xdr:colOff>83820</xdr:colOff>
      <xdr:row>486</xdr:row>
      <xdr:rowOff>114300</xdr:rowOff>
    </xdr:to>
    <xdr:sp macro="" textlink="">
      <xdr:nvSpPr>
        <xdr:cNvPr id="3599" name="Arrow: Down 3598">
          <a:extLst>
            <a:ext uri="{FF2B5EF4-FFF2-40B4-BE49-F238E27FC236}">
              <a16:creationId xmlns:a16="http://schemas.microsoft.com/office/drawing/2014/main" id="{3EA5A31A-5E54-4B07-8DE5-36DA6F80458B}"/>
            </a:ext>
          </a:extLst>
        </xdr:cNvPr>
        <xdr:cNvSpPr/>
      </xdr:nvSpPr>
      <xdr:spPr>
        <a:xfrm rot="10800000">
          <a:off x="1901952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486</xdr:row>
      <xdr:rowOff>0</xdr:rowOff>
    </xdr:from>
    <xdr:to>
      <xdr:col>39</xdr:col>
      <xdr:colOff>83820</xdr:colOff>
      <xdr:row>486</xdr:row>
      <xdr:rowOff>114300</xdr:rowOff>
    </xdr:to>
    <xdr:sp macro="" textlink="">
      <xdr:nvSpPr>
        <xdr:cNvPr id="3608" name="Arrow: Down 3607">
          <a:extLst>
            <a:ext uri="{FF2B5EF4-FFF2-40B4-BE49-F238E27FC236}">
              <a16:creationId xmlns:a16="http://schemas.microsoft.com/office/drawing/2014/main" id="{61AAA145-CC93-4A0C-A3E8-299BD9C8945E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486</xdr:row>
      <xdr:rowOff>0</xdr:rowOff>
    </xdr:from>
    <xdr:to>
      <xdr:col>5</xdr:col>
      <xdr:colOff>83820</xdr:colOff>
      <xdr:row>486</xdr:row>
      <xdr:rowOff>114300</xdr:rowOff>
    </xdr:to>
    <xdr:sp macro="" textlink="">
      <xdr:nvSpPr>
        <xdr:cNvPr id="3609" name="Arrow: Down 3608">
          <a:extLst>
            <a:ext uri="{FF2B5EF4-FFF2-40B4-BE49-F238E27FC236}">
              <a16:creationId xmlns:a16="http://schemas.microsoft.com/office/drawing/2014/main" id="{F8C01A30-BB6B-4027-B90B-19FB3950B581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486</xdr:row>
      <xdr:rowOff>0</xdr:rowOff>
    </xdr:from>
    <xdr:to>
      <xdr:col>11</xdr:col>
      <xdr:colOff>83820</xdr:colOff>
      <xdr:row>486</xdr:row>
      <xdr:rowOff>114300</xdr:rowOff>
    </xdr:to>
    <xdr:sp macro="" textlink="">
      <xdr:nvSpPr>
        <xdr:cNvPr id="3612" name="Arrow: Down 3611">
          <a:extLst>
            <a:ext uri="{FF2B5EF4-FFF2-40B4-BE49-F238E27FC236}">
              <a16:creationId xmlns:a16="http://schemas.microsoft.com/office/drawing/2014/main" id="{74B746D3-E535-43F5-9E6E-3575196349DA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486</xdr:row>
      <xdr:rowOff>0</xdr:rowOff>
    </xdr:from>
    <xdr:to>
      <xdr:col>24</xdr:col>
      <xdr:colOff>83820</xdr:colOff>
      <xdr:row>486</xdr:row>
      <xdr:rowOff>114300</xdr:rowOff>
    </xdr:to>
    <xdr:sp macro="" textlink="">
      <xdr:nvSpPr>
        <xdr:cNvPr id="3615" name="Arrow: Down 3614">
          <a:extLst>
            <a:ext uri="{FF2B5EF4-FFF2-40B4-BE49-F238E27FC236}">
              <a16:creationId xmlns:a16="http://schemas.microsoft.com/office/drawing/2014/main" id="{7D4D36CE-E120-4185-B4B9-8EA8EEAD155E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2" name="Arrow: Down 3621">
          <a:extLst>
            <a:ext uri="{FF2B5EF4-FFF2-40B4-BE49-F238E27FC236}">
              <a16:creationId xmlns:a16="http://schemas.microsoft.com/office/drawing/2014/main" id="{9B204C58-6D5E-40BD-A4BD-DE99BB502344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4" name="Arrow: Down 3623">
          <a:extLst>
            <a:ext uri="{FF2B5EF4-FFF2-40B4-BE49-F238E27FC236}">
              <a16:creationId xmlns:a16="http://schemas.microsoft.com/office/drawing/2014/main" id="{B615AB89-BE3E-4BC8-BBEA-7DD41B62FCBE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487</xdr:row>
      <xdr:rowOff>0</xdr:rowOff>
    </xdr:from>
    <xdr:to>
      <xdr:col>39</xdr:col>
      <xdr:colOff>83820</xdr:colOff>
      <xdr:row>487</xdr:row>
      <xdr:rowOff>114300</xdr:rowOff>
    </xdr:to>
    <xdr:sp macro="" textlink="">
      <xdr:nvSpPr>
        <xdr:cNvPr id="3628" name="Arrow: Down 3627">
          <a:extLst>
            <a:ext uri="{FF2B5EF4-FFF2-40B4-BE49-F238E27FC236}">
              <a16:creationId xmlns:a16="http://schemas.microsoft.com/office/drawing/2014/main" id="{FE55543E-D941-4C7F-B20E-1F3A6F71442F}"/>
            </a:ext>
          </a:extLst>
        </xdr:cNvPr>
        <xdr:cNvSpPr/>
      </xdr:nvSpPr>
      <xdr:spPr>
        <a:xfrm>
          <a:off x="11544300" y="8897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487</xdr:row>
      <xdr:rowOff>0</xdr:rowOff>
    </xdr:from>
    <xdr:to>
      <xdr:col>5</xdr:col>
      <xdr:colOff>83820</xdr:colOff>
      <xdr:row>487</xdr:row>
      <xdr:rowOff>114300</xdr:rowOff>
    </xdr:to>
    <xdr:sp macro="" textlink="">
      <xdr:nvSpPr>
        <xdr:cNvPr id="3630" name="Arrow: Down 3629">
          <a:extLst>
            <a:ext uri="{FF2B5EF4-FFF2-40B4-BE49-F238E27FC236}">
              <a16:creationId xmlns:a16="http://schemas.microsoft.com/office/drawing/2014/main" id="{F3C7D356-67B6-4C7F-8086-F60E605826DF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487</xdr:row>
      <xdr:rowOff>0</xdr:rowOff>
    </xdr:from>
    <xdr:to>
      <xdr:col>11</xdr:col>
      <xdr:colOff>83820</xdr:colOff>
      <xdr:row>487</xdr:row>
      <xdr:rowOff>114300</xdr:rowOff>
    </xdr:to>
    <xdr:sp macro="" textlink="">
      <xdr:nvSpPr>
        <xdr:cNvPr id="3631" name="Arrow: Down 3630">
          <a:extLst>
            <a:ext uri="{FF2B5EF4-FFF2-40B4-BE49-F238E27FC236}">
              <a16:creationId xmlns:a16="http://schemas.microsoft.com/office/drawing/2014/main" id="{CB612460-E296-43D0-A6B2-F06CC6E7B98B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487</xdr:row>
      <xdr:rowOff>0</xdr:rowOff>
    </xdr:from>
    <xdr:to>
      <xdr:col>24</xdr:col>
      <xdr:colOff>83820</xdr:colOff>
      <xdr:row>487</xdr:row>
      <xdr:rowOff>114300</xdr:rowOff>
    </xdr:to>
    <xdr:sp macro="" textlink="">
      <xdr:nvSpPr>
        <xdr:cNvPr id="3637" name="Arrow: Down 3636">
          <a:extLst>
            <a:ext uri="{FF2B5EF4-FFF2-40B4-BE49-F238E27FC236}">
              <a16:creationId xmlns:a16="http://schemas.microsoft.com/office/drawing/2014/main" id="{78D366F8-42C2-4F3E-BC70-E8ABDFEB0A73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487</xdr:row>
      <xdr:rowOff>0</xdr:rowOff>
    </xdr:from>
    <xdr:to>
      <xdr:col>60</xdr:col>
      <xdr:colOff>83820</xdr:colOff>
      <xdr:row>487</xdr:row>
      <xdr:rowOff>114300</xdr:rowOff>
    </xdr:to>
    <xdr:sp macro="" textlink="">
      <xdr:nvSpPr>
        <xdr:cNvPr id="3638" name="Arrow: Down 3637">
          <a:extLst>
            <a:ext uri="{FF2B5EF4-FFF2-40B4-BE49-F238E27FC236}">
              <a16:creationId xmlns:a16="http://schemas.microsoft.com/office/drawing/2014/main" id="{B2A8D763-05FB-4BF5-879C-4FB10AE7F9FB}"/>
            </a:ext>
          </a:extLst>
        </xdr:cNvPr>
        <xdr:cNvSpPr/>
      </xdr:nvSpPr>
      <xdr:spPr>
        <a:xfrm>
          <a:off x="1901952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488</xdr:row>
      <xdr:rowOff>0</xdr:rowOff>
    </xdr:from>
    <xdr:to>
      <xdr:col>45</xdr:col>
      <xdr:colOff>83820</xdr:colOff>
      <xdr:row>488</xdr:row>
      <xdr:rowOff>114300</xdr:rowOff>
    </xdr:to>
    <xdr:sp macro="" textlink="">
      <xdr:nvSpPr>
        <xdr:cNvPr id="3476" name="Arrow: Down 3475">
          <a:extLst>
            <a:ext uri="{FF2B5EF4-FFF2-40B4-BE49-F238E27FC236}">
              <a16:creationId xmlns:a16="http://schemas.microsoft.com/office/drawing/2014/main" id="{9BCEBFAE-9B28-432E-BF91-D507A6F141FB}"/>
            </a:ext>
          </a:extLst>
        </xdr:cNvPr>
        <xdr:cNvSpPr/>
      </xdr:nvSpPr>
      <xdr:spPr>
        <a:xfrm rot="10800000">
          <a:off x="134035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478" name="Arrow: Down 3477">
          <a:extLst>
            <a:ext uri="{FF2B5EF4-FFF2-40B4-BE49-F238E27FC236}">
              <a16:creationId xmlns:a16="http://schemas.microsoft.com/office/drawing/2014/main" id="{499D776F-6013-4650-9179-9748688A7A0F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504" name="Arrow: Down 3503">
          <a:extLst>
            <a:ext uri="{FF2B5EF4-FFF2-40B4-BE49-F238E27FC236}">
              <a16:creationId xmlns:a16="http://schemas.microsoft.com/office/drawing/2014/main" id="{95793CA2-0387-4B74-AD4E-A4602B2001C5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488</xdr:row>
      <xdr:rowOff>0</xdr:rowOff>
    </xdr:from>
    <xdr:to>
      <xdr:col>60</xdr:col>
      <xdr:colOff>83820</xdr:colOff>
      <xdr:row>488</xdr:row>
      <xdr:rowOff>114300</xdr:rowOff>
    </xdr:to>
    <xdr:sp macro="" textlink="">
      <xdr:nvSpPr>
        <xdr:cNvPr id="3593" name="Arrow: Down 3592">
          <a:extLst>
            <a:ext uri="{FF2B5EF4-FFF2-40B4-BE49-F238E27FC236}">
              <a16:creationId xmlns:a16="http://schemas.microsoft.com/office/drawing/2014/main" id="{C4D2FA4D-ABB5-445B-8139-5363A6E2F3C5}"/>
            </a:ext>
          </a:extLst>
        </xdr:cNvPr>
        <xdr:cNvSpPr/>
      </xdr:nvSpPr>
      <xdr:spPr>
        <a:xfrm>
          <a:off x="190804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488</xdr:row>
      <xdr:rowOff>0</xdr:rowOff>
    </xdr:from>
    <xdr:to>
      <xdr:col>39</xdr:col>
      <xdr:colOff>83820</xdr:colOff>
      <xdr:row>488</xdr:row>
      <xdr:rowOff>114300</xdr:rowOff>
    </xdr:to>
    <xdr:sp macro="" textlink="">
      <xdr:nvSpPr>
        <xdr:cNvPr id="3596" name="Arrow: Down 3595">
          <a:extLst>
            <a:ext uri="{FF2B5EF4-FFF2-40B4-BE49-F238E27FC236}">
              <a16:creationId xmlns:a16="http://schemas.microsoft.com/office/drawing/2014/main" id="{C247C1B3-7A4B-4E54-A247-36E2124A571F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488</xdr:row>
      <xdr:rowOff>0</xdr:rowOff>
    </xdr:from>
    <xdr:to>
      <xdr:col>11</xdr:col>
      <xdr:colOff>83820</xdr:colOff>
      <xdr:row>488</xdr:row>
      <xdr:rowOff>114300</xdr:rowOff>
    </xdr:to>
    <xdr:sp macro="" textlink="">
      <xdr:nvSpPr>
        <xdr:cNvPr id="3597" name="Arrow: Down 3596">
          <a:extLst>
            <a:ext uri="{FF2B5EF4-FFF2-40B4-BE49-F238E27FC236}">
              <a16:creationId xmlns:a16="http://schemas.microsoft.com/office/drawing/2014/main" id="{F88B272E-AE0B-4A61-A2DB-2FEED93C64E2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488</xdr:row>
      <xdr:rowOff>0</xdr:rowOff>
    </xdr:from>
    <xdr:to>
      <xdr:col>5</xdr:col>
      <xdr:colOff>83820</xdr:colOff>
      <xdr:row>488</xdr:row>
      <xdr:rowOff>114300</xdr:rowOff>
    </xdr:to>
    <xdr:sp macro="" textlink="">
      <xdr:nvSpPr>
        <xdr:cNvPr id="3625" name="Arrow: Down 3624">
          <a:extLst>
            <a:ext uri="{FF2B5EF4-FFF2-40B4-BE49-F238E27FC236}">
              <a16:creationId xmlns:a16="http://schemas.microsoft.com/office/drawing/2014/main" id="{41C8412C-C1BE-4AD6-9693-0A64DDC53421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488</xdr:row>
      <xdr:rowOff>0</xdr:rowOff>
    </xdr:from>
    <xdr:to>
      <xdr:col>24</xdr:col>
      <xdr:colOff>83820</xdr:colOff>
      <xdr:row>488</xdr:row>
      <xdr:rowOff>114300</xdr:rowOff>
    </xdr:to>
    <xdr:sp macro="" textlink="">
      <xdr:nvSpPr>
        <xdr:cNvPr id="3639" name="Arrow: Down 3638">
          <a:extLst>
            <a:ext uri="{FF2B5EF4-FFF2-40B4-BE49-F238E27FC236}">
              <a16:creationId xmlns:a16="http://schemas.microsoft.com/office/drawing/2014/main" id="{F12A5ACF-7F82-4F94-84F9-DB7ABAE1ADF9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489</xdr:row>
      <xdr:rowOff>0</xdr:rowOff>
    </xdr:from>
    <xdr:to>
      <xdr:col>39</xdr:col>
      <xdr:colOff>83820</xdr:colOff>
      <xdr:row>489</xdr:row>
      <xdr:rowOff>114300</xdr:rowOff>
    </xdr:to>
    <xdr:sp macro="" textlink="">
      <xdr:nvSpPr>
        <xdr:cNvPr id="3657" name="Arrow: Down 3656">
          <a:extLst>
            <a:ext uri="{FF2B5EF4-FFF2-40B4-BE49-F238E27FC236}">
              <a16:creationId xmlns:a16="http://schemas.microsoft.com/office/drawing/2014/main" id="{ECAD70DD-288A-4072-BF41-D2B8C4CAF38A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489</xdr:row>
      <xdr:rowOff>0</xdr:rowOff>
    </xdr:from>
    <xdr:to>
      <xdr:col>11</xdr:col>
      <xdr:colOff>83820</xdr:colOff>
      <xdr:row>489</xdr:row>
      <xdr:rowOff>114300</xdr:rowOff>
    </xdr:to>
    <xdr:sp macro="" textlink="">
      <xdr:nvSpPr>
        <xdr:cNvPr id="3660" name="Arrow: Down 3659">
          <a:extLst>
            <a:ext uri="{FF2B5EF4-FFF2-40B4-BE49-F238E27FC236}">
              <a16:creationId xmlns:a16="http://schemas.microsoft.com/office/drawing/2014/main" id="{71224986-CC09-4F60-811C-0CC17DD0DE00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489</xdr:row>
      <xdr:rowOff>0</xdr:rowOff>
    </xdr:from>
    <xdr:to>
      <xdr:col>5</xdr:col>
      <xdr:colOff>83820</xdr:colOff>
      <xdr:row>489</xdr:row>
      <xdr:rowOff>114300</xdr:rowOff>
    </xdr:to>
    <xdr:sp macro="" textlink="">
      <xdr:nvSpPr>
        <xdr:cNvPr id="3669" name="Arrow: Down 3668">
          <a:extLst>
            <a:ext uri="{FF2B5EF4-FFF2-40B4-BE49-F238E27FC236}">
              <a16:creationId xmlns:a16="http://schemas.microsoft.com/office/drawing/2014/main" id="{745C464B-704D-4490-9746-0A293B8D15DE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83820</xdr:colOff>
      <xdr:row>489</xdr:row>
      <xdr:rowOff>114300</xdr:rowOff>
    </xdr:to>
    <xdr:sp macro="" textlink="">
      <xdr:nvSpPr>
        <xdr:cNvPr id="3670" name="Arrow: Down 3669">
          <a:extLst>
            <a:ext uri="{FF2B5EF4-FFF2-40B4-BE49-F238E27FC236}">
              <a16:creationId xmlns:a16="http://schemas.microsoft.com/office/drawing/2014/main" id="{9B8CEDC1-4CA3-48FD-A402-EB259EA27FAA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79" name="Arrow: Down 3678">
          <a:extLst>
            <a:ext uri="{FF2B5EF4-FFF2-40B4-BE49-F238E27FC236}">
              <a16:creationId xmlns:a16="http://schemas.microsoft.com/office/drawing/2014/main" id="{7463D59E-659A-4FB5-86E8-F38F92A92AF3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81" name="Arrow: Down 3680">
          <a:extLst>
            <a:ext uri="{FF2B5EF4-FFF2-40B4-BE49-F238E27FC236}">
              <a16:creationId xmlns:a16="http://schemas.microsoft.com/office/drawing/2014/main" id="{6753D5E6-6F7E-4369-9BBE-39955B04BF5C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490</xdr:row>
      <xdr:rowOff>0</xdr:rowOff>
    </xdr:from>
    <xdr:to>
      <xdr:col>60</xdr:col>
      <xdr:colOff>83820</xdr:colOff>
      <xdr:row>490</xdr:row>
      <xdr:rowOff>114300</xdr:rowOff>
    </xdr:to>
    <xdr:sp macro="" textlink="">
      <xdr:nvSpPr>
        <xdr:cNvPr id="3683" name="Arrow: Down 3682">
          <a:extLst>
            <a:ext uri="{FF2B5EF4-FFF2-40B4-BE49-F238E27FC236}">
              <a16:creationId xmlns:a16="http://schemas.microsoft.com/office/drawing/2014/main" id="{6A66C22F-A04A-4021-BBC2-02F283B9DBB1}"/>
            </a:ext>
          </a:extLst>
        </xdr:cNvPr>
        <xdr:cNvSpPr/>
      </xdr:nvSpPr>
      <xdr:spPr>
        <a:xfrm>
          <a:off x="190804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490</xdr:row>
      <xdr:rowOff>0</xdr:rowOff>
    </xdr:from>
    <xdr:to>
      <xdr:col>39</xdr:col>
      <xdr:colOff>83820</xdr:colOff>
      <xdr:row>490</xdr:row>
      <xdr:rowOff>114300</xdr:rowOff>
    </xdr:to>
    <xdr:sp macro="" textlink="">
      <xdr:nvSpPr>
        <xdr:cNvPr id="3685" name="Arrow: Down 3684">
          <a:extLst>
            <a:ext uri="{FF2B5EF4-FFF2-40B4-BE49-F238E27FC236}">
              <a16:creationId xmlns:a16="http://schemas.microsoft.com/office/drawing/2014/main" id="{DBF1D68E-EA84-481E-B003-801D55FE84DD}"/>
            </a:ext>
          </a:extLst>
        </xdr:cNvPr>
        <xdr:cNvSpPr/>
      </xdr:nvSpPr>
      <xdr:spPr>
        <a:xfrm rot="10800000">
          <a:off x="1154430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83820</xdr:colOff>
      <xdr:row>490</xdr:row>
      <xdr:rowOff>114300</xdr:rowOff>
    </xdr:to>
    <xdr:sp macro="" textlink="">
      <xdr:nvSpPr>
        <xdr:cNvPr id="3701" name="Arrow: Down 3700">
          <a:extLst>
            <a:ext uri="{FF2B5EF4-FFF2-40B4-BE49-F238E27FC236}">
              <a16:creationId xmlns:a16="http://schemas.microsoft.com/office/drawing/2014/main" id="{3E88FC87-4992-4000-934E-CFB943D43288}"/>
            </a:ext>
          </a:extLst>
        </xdr:cNvPr>
        <xdr:cNvSpPr/>
      </xdr:nvSpPr>
      <xdr:spPr>
        <a:xfrm>
          <a:off x="192786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490</xdr:row>
      <xdr:rowOff>0</xdr:rowOff>
    </xdr:from>
    <xdr:to>
      <xdr:col>11</xdr:col>
      <xdr:colOff>83820</xdr:colOff>
      <xdr:row>490</xdr:row>
      <xdr:rowOff>114300</xdr:rowOff>
    </xdr:to>
    <xdr:sp macro="" textlink="">
      <xdr:nvSpPr>
        <xdr:cNvPr id="3703" name="Arrow: Down 3702">
          <a:extLst>
            <a:ext uri="{FF2B5EF4-FFF2-40B4-BE49-F238E27FC236}">
              <a16:creationId xmlns:a16="http://schemas.microsoft.com/office/drawing/2014/main" id="{9DEB0C9F-1152-45D6-B193-8CF03900DC89}"/>
            </a:ext>
          </a:extLst>
        </xdr:cNvPr>
        <xdr:cNvSpPr/>
      </xdr:nvSpPr>
      <xdr:spPr>
        <a:xfrm>
          <a:off x="369570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489</xdr:row>
      <xdr:rowOff>0</xdr:rowOff>
    </xdr:from>
    <xdr:to>
      <xdr:col>60</xdr:col>
      <xdr:colOff>83820</xdr:colOff>
      <xdr:row>489</xdr:row>
      <xdr:rowOff>114300</xdr:rowOff>
    </xdr:to>
    <xdr:sp macro="" textlink="">
      <xdr:nvSpPr>
        <xdr:cNvPr id="3706" name="Arrow: Down 3705">
          <a:extLst>
            <a:ext uri="{FF2B5EF4-FFF2-40B4-BE49-F238E27FC236}">
              <a16:creationId xmlns:a16="http://schemas.microsoft.com/office/drawing/2014/main" id="{0C0E2EB6-7442-4436-B162-C595F3649F44}"/>
            </a:ext>
          </a:extLst>
        </xdr:cNvPr>
        <xdr:cNvSpPr/>
      </xdr:nvSpPr>
      <xdr:spPr>
        <a:xfrm rot="10800000">
          <a:off x="190804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08" name="Arrow: Down 3707">
          <a:extLst>
            <a:ext uri="{FF2B5EF4-FFF2-40B4-BE49-F238E27FC236}">
              <a16:creationId xmlns:a16="http://schemas.microsoft.com/office/drawing/2014/main" id="{37D08B10-C122-41F6-AEFC-8E832743C7F4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10" name="Arrow: Down 3709">
          <a:extLst>
            <a:ext uri="{FF2B5EF4-FFF2-40B4-BE49-F238E27FC236}">
              <a16:creationId xmlns:a16="http://schemas.microsoft.com/office/drawing/2014/main" id="{3610747A-8E96-4CF2-9A0F-DCF2F15E8389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491</xdr:row>
      <xdr:rowOff>0</xdr:rowOff>
    </xdr:from>
    <xdr:to>
      <xdr:col>24</xdr:col>
      <xdr:colOff>83820</xdr:colOff>
      <xdr:row>491</xdr:row>
      <xdr:rowOff>114300</xdr:rowOff>
    </xdr:to>
    <xdr:sp macro="" textlink="">
      <xdr:nvSpPr>
        <xdr:cNvPr id="3715" name="Arrow: Down 3714">
          <a:extLst>
            <a:ext uri="{FF2B5EF4-FFF2-40B4-BE49-F238E27FC236}">
              <a16:creationId xmlns:a16="http://schemas.microsoft.com/office/drawing/2014/main" id="{6531AA3B-5CEE-47C8-9C7D-7DCC45887BE9}"/>
            </a:ext>
          </a:extLst>
        </xdr:cNvPr>
        <xdr:cNvSpPr/>
      </xdr:nvSpPr>
      <xdr:spPr>
        <a:xfrm>
          <a:off x="83362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489</xdr:row>
      <xdr:rowOff>0</xdr:rowOff>
    </xdr:from>
    <xdr:to>
      <xdr:col>71</xdr:col>
      <xdr:colOff>83820</xdr:colOff>
      <xdr:row>489</xdr:row>
      <xdr:rowOff>114300</xdr:rowOff>
    </xdr:to>
    <xdr:sp macro="" textlink="">
      <xdr:nvSpPr>
        <xdr:cNvPr id="3716" name="Arrow: Down 3715">
          <a:extLst>
            <a:ext uri="{FF2B5EF4-FFF2-40B4-BE49-F238E27FC236}">
              <a16:creationId xmlns:a16="http://schemas.microsoft.com/office/drawing/2014/main" id="{92026720-61BC-4F16-9A85-8C0D025AD5D2}"/>
            </a:ext>
          </a:extLst>
        </xdr:cNvPr>
        <xdr:cNvSpPr/>
      </xdr:nvSpPr>
      <xdr:spPr>
        <a:xfrm rot="10800000">
          <a:off x="216331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491</xdr:row>
      <xdr:rowOff>0</xdr:rowOff>
    </xdr:from>
    <xdr:to>
      <xdr:col>60</xdr:col>
      <xdr:colOff>83820</xdr:colOff>
      <xdr:row>491</xdr:row>
      <xdr:rowOff>114300</xdr:rowOff>
    </xdr:to>
    <xdr:sp macro="" textlink="">
      <xdr:nvSpPr>
        <xdr:cNvPr id="3717" name="Arrow: Down 3716">
          <a:extLst>
            <a:ext uri="{FF2B5EF4-FFF2-40B4-BE49-F238E27FC236}">
              <a16:creationId xmlns:a16="http://schemas.microsoft.com/office/drawing/2014/main" id="{FD52346B-E7C2-4B5A-B10B-56CBF269D9DB}"/>
            </a:ext>
          </a:extLst>
        </xdr:cNvPr>
        <xdr:cNvSpPr/>
      </xdr:nvSpPr>
      <xdr:spPr>
        <a:xfrm rot="10800000">
          <a:off x="190804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83820</xdr:colOff>
      <xdr:row>491</xdr:row>
      <xdr:rowOff>114300</xdr:rowOff>
    </xdr:to>
    <xdr:sp macro="" textlink="">
      <xdr:nvSpPr>
        <xdr:cNvPr id="3718" name="Arrow: Down 3717">
          <a:extLst>
            <a:ext uri="{FF2B5EF4-FFF2-40B4-BE49-F238E27FC236}">
              <a16:creationId xmlns:a16="http://schemas.microsoft.com/office/drawing/2014/main" id="{9FE6B9FF-934D-45F7-B559-55052443F9FF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490</xdr:row>
      <xdr:rowOff>0</xdr:rowOff>
    </xdr:from>
    <xdr:to>
      <xdr:col>24</xdr:col>
      <xdr:colOff>83820</xdr:colOff>
      <xdr:row>490</xdr:row>
      <xdr:rowOff>114300</xdr:rowOff>
    </xdr:to>
    <xdr:sp macro="" textlink="">
      <xdr:nvSpPr>
        <xdr:cNvPr id="3719" name="Arrow: Down 3718">
          <a:extLst>
            <a:ext uri="{FF2B5EF4-FFF2-40B4-BE49-F238E27FC236}">
              <a16:creationId xmlns:a16="http://schemas.microsoft.com/office/drawing/2014/main" id="{78330655-C610-499B-A664-51A5B4D35D5B}"/>
            </a:ext>
          </a:extLst>
        </xdr:cNvPr>
        <xdr:cNvSpPr/>
      </xdr:nvSpPr>
      <xdr:spPr>
        <a:xfrm rot="10800000">
          <a:off x="83362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491</xdr:row>
      <xdr:rowOff>0</xdr:rowOff>
    </xdr:from>
    <xdr:to>
      <xdr:col>39</xdr:col>
      <xdr:colOff>83820</xdr:colOff>
      <xdr:row>491</xdr:row>
      <xdr:rowOff>114300</xdr:rowOff>
    </xdr:to>
    <xdr:sp macro="" textlink="">
      <xdr:nvSpPr>
        <xdr:cNvPr id="3720" name="Arrow: Down 3719">
          <a:extLst>
            <a:ext uri="{FF2B5EF4-FFF2-40B4-BE49-F238E27FC236}">
              <a16:creationId xmlns:a16="http://schemas.microsoft.com/office/drawing/2014/main" id="{76AF3164-04BD-42F9-856E-E595A080BD72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487</xdr:row>
      <xdr:rowOff>0</xdr:rowOff>
    </xdr:from>
    <xdr:to>
      <xdr:col>45</xdr:col>
      <xdr:colOff>83820</xdr:colOff>
      <xdr:row>487</xdr:row>
      <xdr:rowOff>114300</xdr:rowOff>
    </xdr:to>
    <xdr:sp macro="" textlink="">
      <xdr:nvSpPr>
        <xdr:cNvPr id="3722" name="Arrow: Down 3721">
          <a:extLst>
            <a:ext uri="{FF2B5EF4-FFF2-40B4-BE49-F238E27FC236}">
              <a16:creationId xmlns:a16="http://schemas.microsoft.com/office/drawing/2014/main" id="{A861752D-5019-4AC7-B245-8D39E449F9E0}"/>
            </a:ext>
          </a:extLst>
        </xdr:cNvPr>
        <xdr:cNvSpPr/>
      </xdr:nvSpPr>
      <xdr:spPr>
        <a:xfrm>
          <a:off x="13403580" y="8916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489</xdr:row>
      <xdr:rowOff>0</xdr:rowOff>
    </xdr:from>
    <xdr:to>
      <xdr:col>45</xdr:col>
      <xdr:colOff>83820</xdr:colOff>
      <xdr:row>489</xdr:row>
      <xdr:rowOff>114300</xdr:rowOff>
    </xdr:to>
    <xdr:sp macro="" textlink="">
      <xdr:nvSpPr>
        <xdr:cNvPr id="3723" name="Arrow: Down 3722">
          <a:extLst>
            <a:ext uri="{FF2B5EF4-FFF2-40B4-BE49-F238E27FC236}">
              <a16:creationId xmlns:a16="http://schemas.microsoft.com/office/drawing/2014/main" id="{35B47623-1B67-4303-9ECD-E0B2D9410A6F}"/>
            </a:ext>
          </a:extLst>
        </xdr:cNvPr>
        <xdr:cNvSpPr/>
      </xdr:nvSpPr>
      <xdr:spPr>
        <a:xfrm>
          <a:off x="134035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490</xdr:row>
      <xdr:rowOff>0</xdr:rowOff>
    </xdr:from>
    <xdr:to>
      <xdr:col>45</xdr:col>
      <xdr:colOff>83820</xdr:colOff>
      <xdr:row>490</xdr:row>
      <xdr:rowOff>114300</xdr:rowOff>
    </xdr:to>
    <xdr:sp macro="" textlink="">
      <xdr:nvSpPr>
        <xdr:cNvPr id="3724" name="Arrow: Down 3723">
          <a:extLst>
            <a:ext uri="{FF2B5EF4-FFF2-40B4-BE49-F238E27FC236}">
              <a16:creationId xmlns:a16="http://schemas.microsoft.com/office/drawing/2014/main" id="{90CA69D2-199E-4CB3-AE87-56DF1CDDBA8D}"/>
            </a:ext>
          </a:extLst>
        </xdr:cNvPr>
        <xdr:cNvSpPr/>
      </xdr:nvSpPr>
      <xdr:spPr>
        <a:xfrm>
          <a:off x="134035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491</xdr:row>
      <xdr:rowOff>0</xdr:rowOff>
    </xdr:from>
    <xdr:to>
      <xdr:col>45</xdr:col>
      <xdr:colOff>83820</xdr:colOff>
      <xdr:row>491</xdr:row>
      <xdr:rowOff>114300</xdr:rowOff>
    </xdr:to>
    <xdr:sp macro="" textlink="">
      <xdr:nvSpPr>
        <xdr:cNvPr id="3725" name="Arrow: Down 3724">
          <a:extLst>
            <a:ext uri="{FF2B5EF4-FFF2-40B4-BE49-F238E27FC236}">
              <a16:creationId xmlns:a16="http://schemas.microsoft.com/office/drawing/2014/main" id="{780693C7-BE51-4696-A68D-F5B2394BFF5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6" name="Arrow: Down 3725">
          <a:extLst>
            <a:ext uri="{FF2B5EF4-FFF2-40B4-BE49-F238E27FC236}">
              <a16:creationId xmlns:a16="http://schemas.microsoft.com/office/drawing/2014/main" id="{546CD945-5F8C-4DE0-BD13-8BCC822DF212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7" name="Arrow: Down 3726">
          <a:extLst>
            <a:ext uri="{FF2B5EF4-FFF2-40B4-BE49-F238E27FC236}">
              <a16:creationId xmlns:a16="http://schemas.microsoft.com/office/drawing/2014/main" id="{3E6EF53E-2CBB-49A5-B3D9-9219E7307476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492</xdr:row>
      <xdr:rowOff>0</xdr:rowOff>
    </xdr:from>
    <xdr:to>
      <xdr:col>24</xdr:col>
      <xdr:colOff>83820</xdr:colOff>
      <xdr:row>492</xdr:row>
      <xdr:rowOff>114300</xdr:rowOff>
    </xdr:to>
    <xdr:sp macro="" textlink="">
      <xdr:nvSpPr>
        <xdr:cNvPr id="3729" name="Arrow: Down 3728">
          <a:extLst>
            <a:ext uri="{FF2B5EF4-FFF2-40B4-BE49-F238E27FC236}">
              <a16:creationId xmlns:a16="http://schemas.microsoft.com/office/drawing/2014/main" id="{ABE702EB-F454-492B-A2B1-62D32958FA75}"/>
            </a:ext>
          </a:extLst>
        </xdr:cNvPr>
        <xdr:cNvSpPr/>
      </xdr:nvSpPr>
      <xdr:spPr>
        <a:xfrm>
          <a:off x="83362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492</xdr:row>
      <xdr:rowOff>0</xdr:rowOff>
    </xdr:from>
    <xdr:to>
      <xdr:col>5</xdr:col>
      <xdr:colOff>83820</xdr:colOff>
      <xdr:row>492</xdr:row>
      <xdr:rowOff>114300</xdr:rowOff>
    </xdr:to>
    <xdr:sp macro="" textlink="">
      <xdr:nvSpPr>
        <xdr:cNvPr id="3731" name="Arrow: Down 3730">
          <a:extLst>
            <a:ext uri="{FF2B5EF4-FFF2-40B4-BE49-F238E27FC236}">
              <a16:creationId xmlns:a16="http://schemas.microsoft.com/office/drawing/2014/main" id="{190A8F44-C957-47E4-B463-D10CD1E96236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492</xdr:row>
      <xdr:rowOff>0</xdr:rowOff>
    </xdr:from>
    <xdr:to>
      <xdr:col>39</xdr:col>
      <xdr:colOff>83820</xdr:colOff>
      <xdr:row>492</xdr:row>
      <xdr:rowOff>114300</xdr:rowOff>
    </xdr:to>
    <xdr:sp macro="" textlink="">
      <xdr:nvSpPr>
        <xdr:cNvPr id="3732" name="Arrow: Down 3731">
          <a:extLst>
            <a:ext uri="{FF2B5EF4-FFF2-40B4-BE49-F238E27FC236}">
              <a16:creationId xmlns:a16="http://schemas.microsoft.com/office/drawing/2014/main" id="{12385760-9844-47B9-A520-376AD9D82588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492</xdr:row>
      <xdr:rowOff>0</xdr:rowOff>
    </xdr:from>
    <xdr:to>
      <xdr:col>45</xdr:col>
      <xdr:colOff>83820</xdr:colOff>
      <xdr:row>492</xdr:row>
      <xdr:rowOff>114300</xdr:rowOff>
    </xdr:to>
    <xdr:sp macro="" textlink="">
      <xdr:nvSpPr>
        <xdr:cNvPr id="3733" name="Arrow: Down 3732">
          <a:extLst>
            <a:ext uri="{FF2B5EF4-FFF2-40B4-BE49-F238E27FC236}">
              <a16:creationId xmlns:a16="http://schemas.microsoft.com/office/drawing/2014/main" id="{3D8A3549-6DBB-44F2-9ED9-ADEC1BAF959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492</xdr:row>
      <xdr:rowOff>0</xdr:rowOff>
    </xdr:from>
    <xdr:to>
      <xdr:col>60</xdr:col>
      <xdr:colOff>83820</xdr:colOff>
      <xdr:row>492</xdr:row>
      <xdr:rowOff>114300</xdr:rowOff>
    </xdr:to>
    <xdr:sp macro="" textlink="">
      <xdr:nvSpPr>
        <xdr:cNvPr id="3735" name="Arrow: Down 3734">
          <a:extLst>
            <a:ext uri="{FF2B5EF4-FFF2-40B4-BE49-F238E27FC236}">
              <a16:creationId xmlns:a16="http://schemas.microsoft.com/office/drawing/2014/main" id="{885D8EAF-9D44-429E-9A9E-1AA98390B51B}"/>
            </a:ext>
          </a:extLst>
        </xdr:cNvPr>
        <xdr:cNvSpPr/>
      </xdr:nvSpPr>
      <xdr:spPr>
        <a:xfrm>
          <a:off x="190804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83820</xdr:colOff>
      <xdr:row>493</xdr:row>
      <xdr:rowOff>114300</xdr:rowOff>
    </xdr:to>
    <xdr:sp macro="" textlink="">
      <xdr:nvSpPr>
        <xdr:cNvPr id="3738" name="Arrow: Down 3737">
          <a:extLst>
            <a:ext uri="{FF2B5EF4-FFF2-40B4-BE49-F238E27FC236}">
              <a16:creationId xmlns:a16="http://schemas.microsoft.com/office/drawing/2014/main" id="{DB1471D5-B755-43BD-B1FC-AD1BE51E207F}"/>
            </a:ext>
          </a:extLst>
        </xdr:cNvPr>
        <xdr:cNvSpPr/>
      </xdr:nvSpPr>
      <xdr:spPr>
        <a:xfrm>
          <a:off x="369570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493</xdr:row>
      <xdr:rowOff>0</xdr:rowOff>
    </xdr:from>
    <xdr:to>
      <xdr:col>24</xdr:col>
      <xdr:colOff>83820</xdr:colOff>
      <xdr:row>493</xdr:row>
      <xdr:rowOff>114300</xdr:rowOff>
    </xdr:to>
    <xdr:sp macro="" textlink="">
      <xdr:nvSpPr>
        <xdr:cNvPr id="3739" name="Arrow: Down 3738">
          <a:extLst>
            <a:ext uri="{FF2B5EF4-FFF2-40B4-BE49-F238E27FC236}">
              <a16:creationId xmlns:a16="http://schemas.microsoft.com/office/drawing/2014/main" id="{6AF86430-97E2-40A2-A21D-B49FB9D1AB30}"/>
            </a:ext>
          </a:extLst>
        </xdr:cNvPr>
        <xdr:cNvSpPr/>
      </xdr:nvSpPr>
      <xdr:spPr>
        <a:xfrm>
          <a:off x="83362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493</xdr:row>
      <xdr:rowOff>0</xdr:rowOff>
    </xdr:from>
    <xdr:to>
      <xdr:col>39</xdr:col>
      <xdr:colOff>83820</xdr:colOff>
      <xdr:row>493</xdr:row>
      <xdr:rowOff>114300</xdr:rowOff>
    </xdr:to>
    <xdr:sp macro="" textlink="">
      <xdr:nvSpPr>
        <xdr:cNvPr id="3741" name="Arrow: Down 3740">
          <a:extLst>
            <a:ext uri="{FF2B5EF4-FFF2-40B4-BE49-F238E27FC236}">
              <a16:creationId xmlns:a16="http://schemas.microsoft.com/office/drawing/2014/main" id="{E2F76ED0-6F6B-4324-A922-9FB71CCCF7A8}"/>
            </a:ext>
          </a:extLst>
        </xdr:cNvPr>
        <xdr:cNvSpPr/>
      </xdr:nvSpPr>
      <xdr:spPr>
        <a:xfrm>
          <a:off x="115443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493</xdr:row>
      <xdr:rowOff>0</xdr:rowOff>
    </xdr:from>
    <xdr:to>
      <xdr:col>45</xdr:col>
      <xdr:colOff>83820</xdr:colOff>
      <xdr:row>493</xdr:row>
      <xdr:rowOff>114300</xdr:rowOff>
    </xdr:to>
    <xdr:sp macro="" textlink="">
      <xdr:nvSpPr>
        <xdr:cNvPr id="3742" name="Arrow: Down 3741">
          <a:extLst>
            <a:ext uri="{FF2B5EF4-FFF2-40B4-BE49-F238E27FC236}">
              <a16:creationId xmlns:a16="http://schemas.microsoft.com/office/drawing/2014/main" id="{C275CF86-DE2F-47F6-8377-CD43DBCEFFFF}"/>
            </a:ext>
          </a:extLst>
        </xdr:cNvPr>
        <xdr:cNvSpPr/>
      </xdr:nvSpPr>
      <xdr:spPr>
        <a:xfrm>
          <a:off x="1340358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493</xdr:row>
      <xdr:rowOff>0</xdr:rowOff>
    </xdr:from>
    <xdr:to>
      <xdr:col>60</xdr:col>
      <xdr:colOff>83820</xdr:colOff>
      <xdr:row>493</xdr:row>
      <xdr:rowOff>114300</xdr:rowOff>
    </xdr:to>
    <xdr:sp macro="" textlink="">
      <xdr:nvSpPr>
        <xdr:cNvPr id="3744" name="Arrow: Down 3743">
          <a:extLst>
            <a:ext uri="{FF2B5EF4-FFF2-40B4-BE49-F238E27FC236}">
              <a16:creationId xmlns:a16="http://schemas.microsoft.com/office/drawing/2014/main" id="{47A20CA7-AA77-4B6A-9551-A9D9E6A00B0D}"/>
            </a:ext>
          </a:extLst>
        </xdr:cNvPr>
        <xdr:cNvSpPr/>
      </xdr:nvSpPr>
      <xdr:spPr>
        <a:xfrm rot="10800000">
          <a:off x="190804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493</xdr:row>
      <xdr:rowOff>0</xdr:rowOff>
    </xdr:from>
    <xdr:to>
      <xdr:col>71</xdr:col>
      <xdr:colOff>83820</xdr:colOff>
      <xdr:row>493</xdr:row>
      <xdr:rowOff>114300</xdr:rowOff>
    </xdr:to>
    <xdr:sp macro="" textlink="">
      <xdr:nvSpPr>
        <xdr:cNvPr id="3746" name="Arrow: Down 3745">
          <a:extLst>
            <a:ext uri="{FF2B5EF4-FFF2-40B4-BE49-F238E27FC236}">
              <a16:creationId xmlns:a16="http://schemas.microsoft.com/office/drawing/2014/main" id="{DBD3AA3E-81DE-4456-9944-E971CDE8D1D2}"/>
            </a:ext>
          </a:extLst>
        </xdr:cNvPr>
        <xdr:cNvSpPr/>
      </xdr:nvSpPr>
      <xdr:spPr>
        <a:xfrm rot="10800000">
          <a:off x="216331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491</xdr:row>
      <xdr:rowOff>0</xdr:rowOff>
    </xdr:from>
    <xdr:to>
      <xdr:col>11</xdr:col>
      <xdr:colOff>83820</xdr:colOff>
      <xdr:row>491</xdr:row>
      <xdr:rowOff>114300</xdr:rowOff>
    </xdr:to>
    <xdr:sp macro="" textlink="">
      <xdr:nvSpPr>
        <xdr:cNvPr id="3748" name="Arrow: Down 3747">
          <a:extLst>
            <a:ext uri="{FF2B5EF4-FFF2-40B4-BE49-F238E27FC236}">
              <a16:creationId xmlns:a16="http://schemas.microsoft.com/office/drawing/2014/main" id="{9F3DFA5D-8438-47F4-96BF-E2FC437C6DBC}"/>
            </a:ext>
          </a:extLst>
        </xdr:cNvPr>
        <xdr:cNvSpPr/>
      </xdr:nvSpPr>
      <xdr:spPr>
        <a:xfrm rot="10800000">
          <a:off x="36957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492</xdr:row>
      <xdr:rowOff>0</xdr:rowOff>
    </xdr:from>
    <xdr:to>
      <xdr:col>11</xdr:col>
      <xdr:colOff>83820</xdr:colOff>
      <xdr:row>492</xdr:row>
      <xdr:rowOff>114300</xdr:rowOff>
    </xdr:to>
    <xdr:sp macro="" textlink="">
      <xdr:nvSpPr>
        <xdr:cNvPr id="3750" name="Arrow: Down 3749">
          <a:extLst>
            <a:ext uri="{FF2B5EF4-FFF2-40B4-BE49-F238E27FC236}">
              <a16:creationId xmlns:a16="http://schemas.microsoft.com/office/drawing/2014/main" id="{A9D20D00-61E4-44E3-90F5-FC404A1335FF}"/>
            </a:ext>
          </a:extLst>
        </xdr:cNvPr>
        <xdr:cNvSpPr/>
      </xdr:nvSpPr>
      <xdr:spPr>
        <a:xfrm rot="10800000">
          <a:off x="36957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493</xdr:row>
      <xdr:rowOff>0</xdr:rowOff>
    </xdr:from>
    <xdr:to>
      <xdr:col>5</xdr:col>
      <xdr:colOff>83820</xdr:colOff>
      <xdr:row>493</xdr:row>
      <xdr:rowOff>114300</xdr:rowOff>
    </xdr:to>
    <xdr:sp macro="" textlink="">
      <xdr:nvSpPr>
        <xdr:cNvPr id="3751" name="Arrow: Down 3750">
          <a:extLst>
            <a:ext uri="{FF2B5EF4-FFF2-40B4-BE49-F238E27FC236}">
              <a16:creationId xmlns:a16="http://schemas.microsoft.com/office/drawing/2014/main" id="{11E2550C-FEEF-4023-9205-2ACABC76C847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494</xdr:row>
      <xdr:rowOff>0</xdr:rowOff>
    </xdr:from>
    <xdr:to>
      <xdr:col>11</xdr:col>
      <xdr:colOff>83820</xdr:colOff>
      <xdr:row>494</xdr:row>
      <xdr:rowOff>114300</xdr:rowOff>
    </xdr:to>
    <xdr:sp macro="" textlink="">
      <xdr:nvSpPr>
        <xdr:cNvPr id="3752" name="Arrow: Down 3751">
          <a:extLst>
            <a:ext uri="{FF2B5EF4-FFF2-40B4-BE49-F238E27FC236}">
              <a16:creationId xmlns:a16="http://schemas.microsoft.com/office/drawing/2014/main" id="{085CB1E6-0949-4918-BA8D-7BAB522BA59D}"/>
            </a:ext>
          </a:extLst>
        </xdr:cNvPr>
        <xdr:cNvSpPr/>
      </xdr:nvSpPr>
      <xdr:spPr>
        <a:xfrm>
          <a:off x="369570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494</xdr:row>
      <xdr:rowOff>0</xdr:rowOff>
    </xdr:from>
    <xdr:to>
      <xdr:col>24</xdr:col>
      <xdr:colOff>83820</xdr:colOff>
      <xdr:row>494</xdr:row>
      <xdr:rowOff>114300</xdr:rowOff>
    </xdr:to>
    <xdr:sp macro="" textlink="">
      <xdr:nvSpPr>
        <xdr:cNvPr id="3753" name="Arrow: Down 3752">
          <a:extLst>
            <a:ext uri="{FF2B5EF4-FFF2-40B4-BE49-F238E27FC236}">
              <a16:creationId xmlns:a16="http://schemas.microsoft.com/office/drawing/2014/main" id="{2EFF8081-7640-4381-9E05-819F60209B42}"/>
            </a:ext>
          </a:extLst>
        </xdr:cNvPr>
        <xdr:cNvSpPr/>
      </xdr:nvSpPr>
      <xdr:spPr>
        <a:xfrm>
          <a:off x="833628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494</xdr:row>
      <xdr:rowOff>0</xdr:rowOff>
    </xdr:from>
    <xdr:to>
      <xdr:col>5</xdr:col>
      <xdr:colOff>83820</xdr:colOff>
      <xdr:row>494</xdr:row>
      <xdr:rowOff>114300</xdr:rowOff>
    </xdr:to>
    <xdr:sp macro="" textlink="">
      <xdr:nvSpPr>
        <xdr:cNvPr id="3758" name="Arrow: Down 3757">
          <a:extLst>
            <a:ext uri="{FF2B5EF4-FFF2-40B4-BE49-F238E27FC236}">
              <a16:creationId xmlns:a16="http://schemas.microsoft.com/office/drawing/2014/main" id="{1A4D70F7-8968-4A98-8345-D9C3EBC0116F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494</xdr:row>
      <xdr:rowOff>0</xdr:rowOff>
    </xdr:from>
    <xdr:to>
      <xdr:col>71</xdr:col>
      <xdr:colOff>83820</xdr:colOff>
      <xdr:row>494</xdr:row>
      <xdr:rowOff>114300</xdr:rowOff>
    </xdr:to>
    <xdr:sp macro="" textlink="">
      <xdr:nvSpPr>
        <xdr:cNvPr id="3759" name="Arrow: Down 3758">
          <a:extLst>
            <a:ext uri="{FF2B5EF4-FFF2-40B4-BE49-F238E27FC236}">
              <a16:creationId xmlns:a16="http://schemas.microsoft.com/office/drawing/2014/main" id="{F90AB740-8D59-4FA7-8123-FB1E92EAF657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494</xdr:row>
      <xdr:rowOff>0</xdr:rowOff>
    </xdr:from>
    <xdr:to>
      <xdr:col>39</xdr:col>
      <xdr:colOff>83820</xdr:colOff>
      <xdr:row>494</xdr:row>
      <xdr:rowOff>114300</xdr:rowOff>
    </xdr:to>
    <xdr:sp macro="" textlink="">
      <xdr:nvSpPr>
        <xdr:cNvPr id="3761" name="Arrow: Down 3760">
          <a:extLst>
            <a:ext uri="{FF2B5EF4-FFF2-40B4-BE49-F238E27FC236}">
              <a16:creationId xmlns:a16="http://schemas.microsoft.com/office/drawing/2014/main" id="{1E25D1BB-4009-4B15-94BD-CB017A84CBA5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494</xdr:row>
      <xdr:rowOff>0</xdr:rowOff>
    </xdr:from>
    <xdr:to>
      <xdr:col>60</xdr:col>
      <xdr:colOff>83820</xdr:colOff>
      <xdr:row>494</xdr:row>
      <xdr:rowOff>114300</xdr:rowOff>
    </xdr:to>
    <xdr:sp macro="" textlink="">
      <xdr:nvSpPr>
        <xdr:cNvPr id="3763" name="Arrow: Down 3762">
          <a:extLst>
            <a:ext uri="{FF2B5EF4-FFF2-40B4-BE49-F238E27FC236}">
              <a16:creationId xmlns:a16="http://schemas.microsoft.com/office/drawing/2014/main" id="{50B638DE-BFBB-40AE-AD78-45E39F0426ED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495</xdr:row>
      <xdr:rowOff>0</xdr:rowOff>
    </xdr:from>
    <xdr:to>
      <xdr:col>71</xdr:col>
      <xdr:colOff>83820</xdr:colOff>
      <xdr:row>495</xdr:row>
      <xdr:rowOff>114300</xdr:rowOff>
    </xdr:to>
    <xdr:sp macro="" textlink="">
      <xdr:nvSpPr>
        <xdr:cNvPr id="3767" name="Arrow: Down 3766">
          <a:extLst>
            <a:ext uri="{FF2B5EF4-FFF2-40B4-BE49-F238E27FC236}">
              <a16:creationId xmlns:a16="http://schemas.microsoft.com/office/drawing/2014/main" id="{75C5D6C2-B5D6-436A-ABB4-A2CDE30A6C59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495</xdr:row>
      <xdr:rowOff>0</xdr:rowOff>
    </xdr:from>
    <xdr:to>
      <xdr:col>39</xdr:col>
      <xdr:colOff>83820</xdr:colOff>
      <xdr:row>495</xdr:row>
      <xdr:rowOff>114300</xdr:rowOff>
    </xdr:to>
    <xdr:sp macro="" textlink="">
      <xdr:nvSpPr>
        <xdr:cNvPr id="3768" name="Arrow: Down 3767">
          <a:extLst>
            <a:ext uri="{FF2B5EF4-FFF2-40B4-BE49-F238E27FC236}">
              <a16:creationId xmlns:a16="http://schemas.microsoft.com/office/drawing/2014/main" id="{DB1C7CC1-56C4-4BBE-9EC7-B1997B3A8140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495</xdr:row>
      <xdr:rowOff>0</xdr:rowOff>
    </xdr:from>
    <xdr:to>
      <xdr:col>45</xdr:col>
      <xdr:colOff>83820</xdr:colOff>
      <xdr:row>495</xdr:row>
      <xdr:rowOff>114300</xdr:rowOff>
    </xdr:to>
    <xdr:sp macro="" textlink="">
      <xdr:nvSpPr>
        <xdr:cNvPr id="3769" name="Arrow: Down 3768">
          <a:extLst>
            <a:ext uri="{FF2B5EF4-FFF2-40B4-BE49-F238E27FC236}">
              <a16:creationId xmlns:a16="http://schemas.microsoft.com/office/drawing/2014/main" id="{C1B2CE0C-EB42-449C-AB20-BC67CB122858}"/>
            </a:ext>
          </a:extLst>
        </xdr:cNvPr>
        <xdr:cNvSpPr/>
      </xdr:nvSpPr>
      <xdr:spPr>
        <a:xfrm rot="10800000">
          <a:off x="134035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495</xdr:row>
      <xdr:rowOff>0</xdr:rowOff>
    </xdr:from>
    <xdr:to>
      <xdr:col>60</xdr:col>
      <xdr:colOff>83820</xdr:colOff>
      <xdr:row>495</xdr:row>
      <xdr:rowOff>114300</xdr:rowOff>
    </xdr:to>
    <xdr:sp macro="" textlink="">
      <xdr:nvSpPr>
        <xdr:cNvPr id="3770" name="Arrow: Down 3769">
          <a:extLst>
            <a:ext uri="{FF2B5EF4-FFF2-40B4-BE49-F238E27FC236}">
              <a16:creationId xmlns:a16="http://schemas.microsoft.com/office/drawing/2014/main" id="{503C4AA2-8A0D-4E33-B391-9591EB6E1612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497</xdr:row>
      <xdr:rowOff>0</xdr:rowOff>
    </xdr:from>
    <xdr:to>
      <xdr:col>39</xdr:col>
      <xdr:colOff>83820</xdr:colOff>
      <xdr:row>497</xdr:row>
      <xdr:rowOff>114300</xdr:rowOff>
    </xdr:to>
    <xdr:sp macro="" textlink="">
      <xdr:nvSpPr>
        <xdr:cNvPr id="3782" name="Arrow: Down 3781">
          <a:extLst>
            <a:ext uri="{FF2B5EF4-FFF2-40B4-BE49-F238E27FC236}">
              <a16:creationId xmlns:a16="http://schemas.microsoft.com/office/drawing/2014/main" id="{32FDA1A9-B2CD-4084-ACBF-6114F13AE479}"/>
            </a:ext>
          </a:extLst>
        </xdr:cNvPr>
        <xdr:cNvSpPr/>
      </xdr:nvSpPr>
      <xdr:spPr>
        <a:xfrm rot="10800000">
          <a:off x="11544300" y="9080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495</xdr:row>
      <xdr:rowOff>0</xdr:rowOff>
    </xdr:from>
    <xdr:to>
      <xdr:col>5</xdr:col>
      <xdr:colOff>83820</xdr:colOff>
      <xdr:row>495</xdr:row>
      <xdr:rowOff>114300</xdr:rowOff>
    </xdr:to>
    <xdr:sp macro="" textlink="">
      <xdr:nvSpPr>
        <xdr:cNvPr id="3785" name="Arrow: Down 3784">
          <a:extLst>
            <a:ext uri="{FF2B5EF4-FFF2-40B4-BE49-F238E27FC236}">
              <a16:creationId xmlns:a16="http://schemas.microsoft.com/office/drawing/2014/main" id="{5D1B9FAE-2372-4990-AC25-95DAAEA89B74}"/>
            </a:ext>
          </a:extLst>
        </xdr:cNvPr>
        <xdr:cNvSpPr/>
      </xdr:nvSpPr>
      <xdr:spPr>
        <a:xfrm rot="10800000">
          <a:off x="192786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495</xdr:row>
      <xdr:rowOff>0</xdr:rowOff>
    </xdr:from>
    <xdr:to>
      <xdr:col>11</xdr:col>
      <xdr:colOff>83820</xdr:colOff>
      <xdr:row>495</xdr:row>
      <xdr:rowOff>114300</xdr:rowOff>
    </xdr:to>
    <xdr:sp macro="" textlink="">
      <xdr:nvSpPr>
        <xdr:cNvPr id="3787" name="Arrow: Down 3786">
          <a:extLst>
            <a:ext uri="{FF2B5EF4-FFF2-40B4-BE49-F238E27FC236}">
              <a16:creationId xmlns:a16="http://schemas.microsoft.com/office/drawing/2014/main" id="{56B1C970-96C0-48EE-AC54-2ECC0200759F}"/>
            </a:ext>
          </a:extLst>
        </xdr:cNvPr>
        <xdr:cNvSpPr/>
      </xdr:nvSpPr>
      <xdr:spPr>
        <a:xfrm rot="10800000">
          <a:off x="369570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496</xdr:row>
      <xdr:rowOff>0</xdr:rowOff>
    </xdr:from>
    <xdr:to>
      <xdr:col>5</xdr:col>
      <xdr:colOff>83820</xdr:colOff>
      <xdr:row>496</xdr:row>
      <xdr:rowOff>114300</xdr:rowOff>
    </xdr:to>
    <xdr:sp macro="" textlink="">
      <xdr:nvSpPr>
        <xdr:cNvPr id="3788" name="Arrow: Down 3787">
          <a:extLst>
            <a:ext uri="{FF2B5EF4-FFF2-40B4-BE49-F238E27FC236}">
              <a16:creationId xmlns:a16="http://schemas.microsoft.com/office/drawing/2014/main" id="{4635D51E-91AC-4DF5-8A27-A032ECBB5DA3}"/>
            </a:ext>
          </a:extLst>
        </xdr:cNvPr>
        <xdr:cNvSpPr/>
      </xdr:nvSpPr>
      <xdr:spPr>
        <a:xfrm rot="10800000">
          <a:off x="192786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496</xdr:row>
      <xdr:rowOff>0</xdr:rowOff>
    </xdr:from>
    <xdr:to>
      <xdr:col>11</xdr:col>
      <xdr:colOff>83820</xdr:colOff>
      <xdr:row>496</xdr:row>
      <xdr:rowOff>114300</xdr:rowOff>
    </xdr:to>
    <xdr:sp macro="" textlink="">
      <xdr:nvSpPr>
        <xdr:cNvPr id="3789" name="Arrow: Down 3788">
          <a:extLst>
            <a:ext uri="{FF2B5EF4-FFF2-40B4-BE49-F238E27FC236}">
              <a16:creationId xmlns:a16="http://schemas.microsoft.com/office/drawing/2014/main" id="{2F5FE8DF-3184-4B4D-958B-C3F05411DCAD}"/>
            </a:ext>
          </a:extLst>
        </xdr:cNvPr>
        <xdr:cNvSpPr/>
      </xdr:nvSpPr>
      <xdr:spPr>
        <a:xfrm rot="10800000">
          <a:off x="36957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497</xdr:row>
      <xdr:rowOff>0</xdr:rowOff>
    </xdr:from>
    <xdr:to>
      <xdr:col>5</xdr:col>
      <xdr:colOff>83820</xdr:colOff>
      <xdr:row>497</xdr:row>
      <xdr:rowOff>114300</xdr:rowOff>
    </xdr:to>
    <xdr:sp macro="" textlink="">
      <xdr:nvSpPr>
        <xdr:cNvPr id="3790" name="Arrow: Down 3789">
          <a:extLst>
            <a:ext uri="{FF2B5EF4-FFF2-40B4-BE49-F238E27FC236}">
              <a16:creationId xmlns:a16="http://schemas.microsoft.com/office/drawing/2014/main" id="{56D9E1A8-4E99-4AD0-82B6-246E52930E6E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497</xdr:row>
      <xdr:rowOff>0</xdr:rowOff>
    </xdr:from>
    <xdr:to>
      <xdr:col>11</xdr:col>
      <xdr:colOff>83820</xdr:colOff>
      <xdr:row>497</xdr:row>
      <xdr:rowOff>114300</xdr:rowOff>
    </xdr:to>
    <xdr:sp macro="" textlink="">
      <xdr:nvSpPr>
        <xdr:cNvPr id="3792" name="Arrow: Down 3791">
          <a:extLst>
            <a:ext uri="{FF2B5EF4-FFF2-40B4-BE49-F238E27FC236}">
              <a16:creationId xmlns:a16="http://schemas.microsoft.com/office/drawing/2014/main" id="{D2215BB8-382E-4A6D-9DA0-AB77743FA296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495</xdr:row>
      <xdr:rowOff>0</xdr:rowOff>
    </xdr:from>
    <xdr:to>
      <xdr:col>24</xdr:col>
      <xdr:colOff>83820</xdr:colOff>
      <xdr:row>495</xdr:row>
      <xdr:rowOff>114300</xdr:rowOff>
    </xdr:to>
    <xdr:sp macro="" textlink="">
      <xdr:nvSpPr>
        <xdr:cNvPr id="3793" name="Arrow: Down 3792">
          <a:extLst>
            <a:ext uri="{FF2B5EF4-FFF2-40B4-BE49-F238E27FC236}">
              <a16:creationId xmlns:a16="http://schemas.microsoft.com/office/drawing/2014/main" id="{4222F034-99FA-4BAA-B281-35753F99B236}"/>
            </a:ext>
          </a:extLst>
        </xdr:cNvPr>
        <xdr:cNvSpPr/>
      </xdr:nvSpPr>
      <xdr:spPr>
        <a:xfrm rot="10800000">
          <a:off x="833628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496</xdr:row>
      <xdr:rowOff>0</xdr:rowOff>
    </xdr:from>
    <xdr:to>
      <xdr:col>24</xdr:col>
      <xdr:colOff>83820</xdr:colOff>
      <xdr:row>496</xdr:row>
      <xdr:rowOff>114300</xdr:rowOff>
    </xdr:to>
    <xdr:sp macro="" textlink="">
      <xdr:nvSpPr>
        <xdr:cNvPr id="3794" name="Arrow: Down 3793">
          <a:extLst>
            <a:ext uri="{FF2B5EF4-FFF2-40B4-BE49-F238E27FC236}">
              <a16:creationId xmlns:a16="http://schemas.microsoft.com/office/drawing/2014/main" id="{94E0A9EE-96AB-4105-B922-4EDC20FD3209}"/>
            </a:ext>
          </a:extLst>
        </xdr:cNvPr>
        <xdr:cNvSpPr/>
      </xdr:nvSpPr>
      <xdr:spPr>
        <a:xfrm rot="10800000">
          <a:off x="83362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497</xdr:row>
      <xdr:rowOff>0</xdr:rowOff>
    </xdr:from>
    <xdr:to>
      <xdr:col>24</xdr:col>
      <xdr:colOff>83820</xdr:colOff>
      <xdr:row>497</xdr:row>
      <xdr:rowOff>114300</xdr:rowOff>
    </xdr:to>
    <xdr:sp macro="" textlink="">
      <xdr:nvSpPr>
        <xdr:cNvPr id="3795" name="Arrow: Down 3794">
          <a:extLst>
            <a:ext uri="{FF2B5EF4-FFF2-40B4-BE49-F238E27FC236}">
              <a16:creationId xmlns:a16="http://schemas.microsoft.com/office/drawing/2014/main" id="{49A262E3-35D0-44BD-9856-212C17DD66B5}"/>
            </a:ext>
          </a:extLst>
        </xdr:cNvPr>
        <xdr:cNvSpPr/>
      </xdr:nvSpPr>
      <xdr:spPr>
        <a:xfrm rot="10800000">
          <a:off x="83362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496</xdr:row>
      <xdr:rowOff>0</xdr:rowOff>
    </xdr:from>
    <xdr:to>
      <xdr:col>39</xdr:col>
      <xdr:colOff>83820</xdr:colOff>
      <xdr:row>496</xdr:row>
      <xdr:rowOff>114300</xdr:rowOff>
    </xdr:to>
    <xdr:sp macro="" textlink="">
      <xdr:nvSpPr>
        <xdr:cNvPr id="3796" name="Arrow: Down 3795">
          <a:extLst>
            <a:ext uri="{FF2B5EF4-FFF2-40B4-BE49-F238E27FC236}">
              <a16:creationId xmlns:a16="http://schemas.microsoft.com/office/drawing/2014/main" id="{59B9CE03-5BE9-4D51-8E72-2122D8DBA095}"/>
            </a:ext>
          </a:extLst>
        </xdr:cNvPr>
        <xdr:cNvSpPr/>
      </xdr:nvSpPr>
      <xdr:spPr>
        <a:xfrm>
          <a:off x="115443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494</xdr:row>
      <xdr:rowOff>0</xdr:rowOff>
    </xdr:from>
    <xdr:to>
      <xdr:col>45</xdr:col>
      <xdr:colOff>83820</xdr:colOff>
      <xdr:row>494</xdr:row>
      <xdr:rowOff>114300</xdr:rowOff>
    </xdr:to>
    <xdr:sp macro="" textlink="">
      <xdr:nvSpPr>
        <xdr:cNvPr id="3797" name="Arrow: Down 3796">
          <a:extLst>
            <a:ext uri="{FF2B5EF4-FFF2-40B4-BE49-F238E27FC236}">
              <a16:creationId xmlns:a16="http://schemas.microsoft.com/office/drawing/2014/main" id="{2FBCA5DA-92F5-4CD0-9ECD-AB25CFF6A181}"/>
            </a:ext>
          </a:extLst>
        </xdr:cNvPr>
        <xdr:cNvSpPr/>
      </xdr:nvSpPr>
      <xdr:spPr>
        <a:xfrm>
          <a:off x="13403580" y="9044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496</xdr:row>
      <xdr:rowOff>0</xdr:rowOff>
    </xdr:from>
    <xdr:to>
      <xdr:col>45</xdr:col>
      <xdr:colOff>83820</xdr:colOff>
      <xdr:row>496</xdr:row>
      <xdr:rowOff>114300</xdr:rowOff>
    </xdr:to>
    <xdr:sp macro="" textlink="">
      <xdr:nvSpPr>
        <xdr:cNvPr id="3798" name="Arrow: Down 3797">
          <a:extLst>
            <a:ext uri="{FF2B5EF4-FFF2-40B4-BE49-F238E27FC236}">
              <a16:creationId xmlns:a16="http://schemas.microsoft.com/office/drawing/2014/main" id="{25612134-8DFF-447B-87D6-702CD05FFAD9}"/>
            </a:ext>
          </a:extLst>
        </xdr:cNvPr>
        <xdr:cNvSpPr/>
      </xdr:nvSpPr>
      <xdr:spPr>
        <a:xfrm>
          <a:off x="134035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497</xdr:row>
      <xdr:rowOff>0</xdr:rowOff>
    </xdr:from>
    <xdr:to>
      <xdr:col>45</xdr:col>
      <xdr:colOff>83820</xdr:colOff>
      <xdr:row>497</xdr:row>
      <xdr:rowOff>114300</xdr:rowOff>
    </xdr:to>
    <xdr:sp macro="" textlink="">
      <xdr:nvSpPr>
        <xdr:cNvPr id="3799" name="Arrow: Down 3798">
          <a:extLst>
            <a:ext uri="{FF2B5EF4-FFF2-40B4-BE49-F238E27FC236}">
              <a16:creationId xmlns:a16="http://schemas.microsoft.com/office/drawing/2014/main" id="{560DB7B4-E8C7-450E-B36E-815A03BF1AF3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497</xdr:row>
      <xdr:rowOff>0</xdr:rowOff>
    </xdr:from>
    <xdr:to>
      <xdr:col>60</xdr:col>
      <xdr:colOff>83820</xdr:colOff>
      <xdr:row>497</xdr:row>
      <xdr:rowOff>114300</xdr:rowOff>
    </xdr:to>
    <xdr:sp macro="" textlink="">
      <xdr:nvSpPr>
        <xdr:cNvPr id="3800" name="Arrow: Down 3799">
          <a:extLst>
            <a:ext uri="{FF2B5EF4-FFF2-40B4-BE49-F238E27FC236}">
              <a16:creationId xmlns:a16="http://schemas.microsoft.com/office/drawing/2014/main" id="{DB8AC3EA-0086-44E3-B4D8-29A688133D85}"/>
            </a:ext>
          </a:extLst>
        </xdr:cNvPr>
        <xdr:cNvSpPr/>
      </xdr:nvSpPr>
      <xdr:spPr>
        <a:xfrm rot="10800000">
          <a:off x="190804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496</xdr:row>
      <xdr:rowOff>0</xdr:rowOff>
    </xdr:from>
    <xdr:to>
      <xdr:col>60</xdr:col>
      <xdr:colOff>83820</xdr:colOff>
      <xdr:row>496</xdr:row>
      <xdr:rowOff>114300</xdr:rowOff>
    </xdr:to>
    <xdr:sp macro="" textlink="">
      <xdr:nvSpPr>
        <xdr:cNvPr id="3802" name="Arrow: Down 3801">
          <a:extLst>
            <a:ext uri="{FF2B5EF4-FFF2-40B4-BE49-F238E27FC236}">
              <a16:creationId xmlns:a16="http://schemas.microsoft.com/office/drawing/2014/main" id="{5E4244D0-1815-4D8F-AA28-0055170FD68A}"/>
            </a:ext>
          </a:extLst>
        </xdr:cNvPr>
        <xdr:cNvSpPr/>
      </xdr:nvSpPr>
      <xdr:spPr>
        <a:xfrm rot="10800000">
          <a:off x="190804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497</xdr:row>
      <xdr:rowOff>0</xdr:rowOff>
    </xdr:from>
    <xdr:to>
      <xdr:col>71</xdr:col>
      <xdr:colOff>83820</xdr:colOff>
      <xdr:row>497</xdr:row>
      <xdr:rowOff>114300</xdr:rowOff>
    </xdr:to>
    <xdr:sp macro="" textlink="">
      <xdr:nvSpPr>
        <xdr:cNvPr id="3803" name="Arrow: Down 3802">
          <a:extLst>
            <a:ext uri="{FF2B5EF4-FFF2-40B4-BE49-F238E27FC236}">
              <a16:creationId xmlns:a16="http://schemas.microsoft.com/office/drawing/2014/main" id="{EAF8C33F-84B3-445D-BD71-31336D62A3E1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496</xdr:row>
      <xdr:rowOff>0</xdr:rowOff>
    </xdr:from>
    <xdr:to>
      <xdr:col>71</xdr:col>
      <xdr:colOff>83820</xdr:colOff>
      <xdr:row>496</xdr:row>
      <xdr:rowOff>114300</xdr:rowOff>
    </xdr:to>
    <xdr:sp macro="" textlink="">
      <xdr:nvSpPr>
        <xdr:cNvPr id="3805" name="Arrow: Down 3804">
          <a:extLst>
            <a:ext uri="{FF2B5EF4-FFF2-40B4-BE49-F238E27FC236}">
              <a16:creationId xmlns:a16="http://schemas.microsoft.com/office/drawing/2014/main" id="{ACB65F93-5B79-4758-85D8-E56768F249C4}"/>
            </a:ext>
          </a:extLst>
        </xdr:cNvPr>
        <xdr:cNvSpPr/>
      </xdr:nvSpPr>
      <xdr:spPr>
        <a:xfrm rot="10800000">
          <a:off x="216331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498</xdr:row>
      <xdr:rowOff>0</xdr:rowOff>
    </xdr:from>
    <xdr:to>
      <xdr:col>5</xdr:col>
      <xdr:colOff>83820</xdr:colOff>
      <xdr:row>498</xdr:row>
      <xdr:rowOff>114300</xdr:rowOff>
    </xdr:to>
    <xdr:sp macro="" textlink="">
      <xdr:nvSpPr>
        <xdr:cNvPr id="3807" name="Arrow: Down 3806">
          <a:extLst>
            <a:ext uri="{FF2B5EF4-FFF2-40B4-BE49-F238E27FC236}">
              <a16:creationId xmlns:a16="http://schemas.microsoft.com/office/drawing/2014/main" id="{A7C86C41-FD1A-4A66-A598-D918F0D2DBCA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498</xdr:row>
      <xdr:rowOff>0</xdr:rowOff>
    </xdr:from>
    <xdr:to>
      <xdr:col>11</xdr:col>
      <xdr:colOff>83820</xdr:colOff>
      <xdr:row>498</xdr:row>
      <xdr:rowOff>114300</xdr:rowOff>
    </xdr:to>
    <xdr:sp macro="" textlink="">
      <xdr:nvSpPr>
        <xdr:cNvPr id="3808" name="Arrow: Down 3807">
          <a:extLst>
            <a:ext uri="{FF2B5EF4-FFF2-40B4-BE49-F238E27FC236}">
              <a16:creationId xmlns:a16="http://schemas.microsoft.com/office/drawing/2014/main" id="{AAF2D148-60BD-4151-9534-458D2B97533C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498</xdr:row>
      <xdr:rowOff>0</xdr:rowOff>
    </xdr:from>
    <xdr:to>
      <xdr:col>45</xdr:col>
      <xdr:colOff>83820</xdr:colOff>
      <xdr:row>498</xdr:row>
      <xdr:rowOff>114300</xdr:rowOff>
    </xdr:to>
    <xdr:sp macro="" textlink="">
      <xdr:nvSpPr>
        <xdr:cNvPr id="3810" name="Arrow: Down 3809">
          <a:extLst>
            <a:ext uri="{FF2B5EF4-FFF2-40B4-BE49-F238E27FC236}">
              <a16:creationId xmlns:a16="http://schemas.microsoft.com/office/drawing/2014/main" id="{501541AB-7907-4D4F-ABD8-4659B2E4A6B4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498</xdr:row>
      <xdr:rowOff>0</xdr:rowOff>
    </xdr:from>
    <xdr:to>
      <xdr:col>71</xdr:col>
      <xdr:colOff>83820</xdr:colOff>
      <xdr:row>498</xdr:row>
      <xdr:rowOff>114300</xdr:rowOff>
    </xdr:to>
    <xdr:sp macro="" textlink="">
      <xdr:nvSpPr>
        <xdr:cNvPr id="3812" name="Arrow: Down 3811">
          <a:extLst>
            <a:ext uri="{FF2B5EF4-FFF2-40B4-BE49-F238E27FC236}">
              <a16:creationId xmlns:a16="http://schemas.microsoft.com/office/drawing/2014/main" id="{116C65F8-9AE8-43DE-9048-6955A539E7D6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498</xdr:row>
      <xdr:rowOff>0</xdr:rowOff>
    </xdr:from>
    <xdr:to>
      <xdr:col>24</xdr:col>
      <xdr:colOff>83820</xdr:colOff>
      <xdr:row>498</xdr:row>
      <xdr:rowOff>114300</xdr:rowOff>
    </xdr:to>
    <xdr:sp macro="" textlink="">
      <xdr:nvSpPr>
        <xdr:cNvPr id="3813" name="Arrow: Down 3812">
          <a:extLst>
            <a:ext uri="{FF2B5EF4-FFF2-40B4-BE49-F238E27FC236}">
              <a16:creationId xmlns:a16="http://schemas.microsoft.com/office/drawing/2014/main" id="{3842D30B-9C9B-4EE4-916B-829C56A8EA54}"/>
            </a:ext>
          </a:extLst>
        </xdr:cNvPr>
        <xdr:cNvSpPr/>
      </xdr:nvSpPr>
      <xdr:spPr>
        <a:xfrm>
          <a:off x="83362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498</xdr:row>
      <xdr:rowOff>0</xdr:rowOff>
    </xdr:from>
    <xdr:to>
      <xdr:col>39</xdr:col>
      <xdr:colOff>83820</xdr:colOff>
      <xdr:row>498</xdr:row>
      <xdr:rowOff>114300</xdr:rowOff>
    </xdr:to>
    <xdr:sp macro="" textlink="">
      <xdr:nvSpPr>
        <xdr:cNvPr id="3814" name="Arrow: Down 3813">
          <a:extLst>
            <a:ext uri="{FF2B5EF4-FFF2-40B4-BE49-F238E27FC236}">
              <a16:creationId xmlns:a16="http://schemas.microsoft.com/office/drawing/2014/main" id="{9DBB91CA-D593-433A-9423-24DCFF248D7B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498</xdr:row>
      <xdr:rowOff>0</xdr:rowOff>
    </xdr:from>
    <xdr:to>
      <xdr:col>60</xdr:col>
      <xdr:colOff>83820</xdr:colOff>
      <xdr:row>498</xdr:row>
      <xdr:rowOff>114300</xdr:rowOff>
    </xdr:to>
    <xdr:sp macro="" textlink="">
      <xdr:nvSpPr>
        <xdr:cNvPr id="3816" name="Arrow: Down 3815">
          <a:extLst>
            <a:ext uri="{FF2B5EF4-FFF2-40B4-BE49-F238E27FC236}">
              <a16:creationId xmlns:a16="http://schemas.microsoft.com/office/drawing/2014/main" id="{71E2B152-BD33-480C-9ED4-725707443FF8}"/>
            </a:ext>
          </a:extLst>
        </xdr:cNvPr>
        <xdr:cNvSpPr/>
      </xdr:nvSpPr>
      <xdr:spPr>
        <a:xfrm>
          <a:off x="190804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499</xdr:row>
      <xdr:rowOff>0</xdr:rowOff>
    </xdr:from>
    <xdr:to>
      <xdr:col>5</xdr:col>
      <xdr:colOff>83820</xdr:colOff>
      <xdr:row>499</xdr:row>
      <xdr:rowOff>114300</xdr:rowOff>
    </xdr:to>
    <xdr:sp macro="" textlink="">
      <xdr:nvSpPr>
        <xdr:cNvPr id="3824" name="Arrow: Down 3823">
          <a:extLst>
            <a:ext uri="{FF2B5EF4-FFF2-40B4-BE49-F238E27FC236}">
              <a16:creationId xmlns:a16="http://schemas.microsoft.com/office/drawing/2014/main" id="{A7D24ECF-49BC-4E7D-9AED-2C783C4DB717}"/>
            </a:ext>
          </a:extLst>
        </xdr:cNvPr>
        <xdr:cNvSpPr/>
      </xdr:nvSpPr>
      <xdr:spPr>
        <a:xfrm rot="10800000">
          <a:off x="192786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499</xdr:row>
      <xdr:rowOff>0</xdr:rowOff>
    </xdr:from>
    <xdr:to>
      <xdr:col>11</xdr:col>
      <xdr:colOff>83820</xdr:colOff>
      <xdr:row>499</xdr:row>
      <xdr:rowOff>114300</xdr:rowOff>
    </xdr:to>
    <xdr:sp macro="" textlink="">
      <xdr:nvSpPr>
        <xdr:cNvPr id="3825" name="Arrow: Down 3824">
          <a:extLst>
            <a:ext uri="{FF2B5EF4-FFF2-40B4-BE49-F238E27FC236}">
              <a16:creationId xmlns:a16="http://schemas.microsoft.com/office/drawing/2014/main" id="{9BC93DA8-F14E-4909-925C-A21BB5032788}"/>
            </a:ext>
          </a:extLst>
        </xdr:cNvPr>
        <xdr:cNvSpPr/>
      </xdr:nvSpPr>
      <xdr:spPr>
        <a:xfrm rot="10800000">
          <a:off x="36957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499</xdr:row>
      <xdr:rowOff>0</xdr:rowOff>
    </xdr:from>
    <xdr:to>
      <xdr:col>45</xdr:col>
      <xdr:colOff>83820</xdr:colOff>
      <xdr:row>499</xdr:row>
      <xdr:rowOff>114300</xdr:rowOff>
    </xdr:to>
    <xdr:sp macro="" textlink="">
      <xdr:nvSpPr>
        <xdr:cNvPr id="3826" name="Arrow: Down 3825">
          <a:extLst>
            <a:ext uri="{FF2B5EF4-FFF2-40B4-BE49-F238E27FC236}">
              <a16:creationId xmlns:a16="http://schemas.microsoft.com/office/drawing/2014/main" id="{6A389DDA-DC21-4A16-9374-7F7696EDA8DF}"/>
            </a:ext>
          </a:extLst>
        </xdr:cNvPr>
        <xdr:cNvSpPr/>
      </xdr:nvSpPr>
      <xdr:spPr>
        <a:xfrm>
          <a:off x="134035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499</xdr:row>
      <xdr:rowOff>0</xdr:rowOff>
    </xdr:from>
    <xdr:to>
      <xdr:col>71</xdr:col>
      <xdr:colOff>83820</xdr:colOff>
      <xdr:row>499</xdr:row>
      <xdr:rowOff>114300</xdr:rowOff>
    </xdr:to>
    <xdr:sp macro="" textlink="">
      <xdr:nvSpPr>
        <xdr:cNvPr id="3827" name="Arrow: Down 3826">
          <a:extLst>
            <a:ext uri="{FF2B5EF4-FFF2-40B4-BE49-F238E27FC236}">
              <a16:creationId xmlns:a16="http://schemas.microsoft.com/office/drawing/2014/main" id="{B3CF9090-1FB7-4B31-B183-19280EED6809}"/>
            </a:ext>
          </a:extLst>
        </xdr:cNvPr>
        <xdr:cNvSpPr/>
      </xdr:nvSpPr>
      <xdr:spPr>
        <a:xfrm rot="10800000">
          <a:off x="216331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499</xdr:row>
      <xdr:rowOff>0</xdr:rowOff>
    </xdr:from>
    <xdr:to>
      <xdr:col>39</xdr:col>
      <xdr:colOff>83820</xdr:colOff>
      <xdr:row>499</xdr:row>
      <xdr:rowOff>114300</xdr:rowOff>
    </xdr:to>
    <xdr:sp macro="" textlink="">
      <xdr:nvSpPr>
        <xdr:cNvPr id="3829" name="Arrow: Down 3828">
          <a:extLst>
            <a:ext uri="{FF2B5EF4-FFF2-40B4-BE49-F238E27FC236}">
              <a16:creationId xmlns:a16="http://schemas.microsoft.com/office/drawing/2014/main" id="{4B9C42C8-F184-4DFC-944D-28EF9E2CA80E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499</xdr:row>
      <xdr:rowOff>0</xdr:rowOff>
    </xdr:from>
    <xdr:to>
      <xdr:col>60</xdr:col>
      <xdr:colOff>83820</xdr:colOff>
      <xdr:row>499</xdr:row>
      <xdr:rowOff>114300</xdr:rowOff>
    </xdr:to>
    <xdr:sp macro="" textlink="">
      <xdr:nvSpPr>
        <xdr:cNvPr id="3831" name="Arrow: Down 3830">
          <a:extLst>
            <a:ext uri="{FF2B5EF4-FFF2-40B4-BE49-F238E27FC236}">
              <a16:creationId xmlns:a16="http://schemas.microsoft.com/office/drawing/2014/main" id="{B99FAB53-5BF7-409E-AB6E-989EE34344B4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499</xdr:row>
      <xdr:rowOff>0</xdr:rowOff>
    </xdr:from>
    <xdr:to>
      <xdr:col>24</xdr:col>
      <xdr:colOff>83820</xdr:colOff>
      <xdr:row>499</xdr:row>
      <xdr:rowOff>114300</xdr:rowOff>
    </xdr:to>
    <xdr:sp macro="" textlink="">
      <xdr:nvSpPr>
        <xdr:cNvPr id="3832" name="Arrow: Down 3831">
          <a:extLst>
            <a:ext uri="{FF2B5EF4-FFF2-40B4-BE49-F238E27FC236}">
              <a16:creationId xmlns:a16="http://schemas.microsoft.com/office/drawing/2014/main" id="{D6841296-448E-4D46-8B38-9CA268669629}"/>
            </a:ext>
          </a:extLst>
        </xdr:cNvPr>
        <xdr:cNvSpPr/>
      </xdr:nvSpPr>
      <xdr:spPr>
        <a:xfrm rot="10800000">
          <a:off x="83362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500</xdr:row>
      <xdr:rowOff>0</xdr:rowOff>
    </xdr:from>
    <xdr:to>
      <xdr:col>71</xdr:col>
      <xdr:colOff>83820</xdr:colOff>
      <xdr:row>500</xdr:row>
      <xdr:rowOff>114300</xdr:rowOff>
    </xdr:to>
    <xdr:sp macro="" textlink="">
      <xdr:nvSpPr>
        <xdr:cNvPr id="3836" name="Arrow: Down 3835">
          <a:extLst>
            <a:ext uri="{FF2B5EF4-FFF2-40B4-BE49-F238E27FC236}">
              <a16:creationId xmlns:a16="http://schemas.microsoft.com/office/drawing/2014/main" id="{0CC49CF4-3737-400C-8FB2-DBCED7EFAD1A}"/>
            </a:ext>
          </a:extLst>
        </xdr:cNvPr>
        <xdr:cNvSpPr/>
      </xdr:nvSpPr>
      <xdr:spPr>
        <a:xfrm rot="10800000">
          <a:off x="216331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500</xdr:row>
      <xdr:rowOff>0</xdr:rowOff>
    </xdr:from>
    <xdr:to>
      <xdr:col>39</xdr:col>
      <xdr:colOff>83820</xdr:colOff>
      <xdr:row>500</xdr:row>
      <xdr:rowOff>114300</xdr:rowOff>
    </xdr:to>
    <xdr:sp macro="" textlink="">
      <xdr:nvSpPr>
        <xdr:cNvPr id="3837" name="Arrow: Down 3836">
          <a:extLst>
            <a:ext uri="{FF2B5EF4-FFF2-40B4-BE49-F238E27FC236}">
              <a16:creationId xmlns:a16="http://schemas.microsoft.com/office/drawing/2014/main" id="{BA97A1F6-532F-4978-B0FA-FF4D4402DDC5}"/>
            </a:ext>
          </a:extLst>
        </xdr:cNvPr>
        <xdr:cNvSpPr/>
      </xdr:nvSpPr>
      <xdr:spPr>
        <a:xfrm>
          <a:off x="1154430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500</xdr:row>
      <xdr:rowOff>0</xdr:rowOff>
    </xdr:from>
    <xdr:to>
      <xdr:col>60</xdr:col>
      <xdr:colOff>83820</xdr:colOff>
      <xdr:row>500</xdr:row>
      <xdr:rowOff>114300</xdr:rowOff>
    </xdr:to>
    <xdr:sp macro="" textlink="">
      <xdr:nvSpPr>
        <xdr:cNvPr id="3838" name="Arrow: Down 3837">
          <a:extLst>
            <a:ext uri="{FF2B5EF4-FFF2-40B4-BE49-F238E27FC236}">
              <a16:creationId xmlns:a16="http://schemas.microsoft.com/office/drawing/2014/main" id="{C78B6A2D-4E74-4965-B7BB-6DBAAA18FEE0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500</xdr:row>
      <xdr:rowOff>0</xdr:rowOff>
    </xdr:from>
    <xdr:to>
      <xdr:col>24</xdr:col>
      <xdr:colOff>83820</xdr:colOff>
      <xdr:row>500</xdr:row>
      <xdr:rowOff>114300</xdr:rowOff>
    </xdr:to>
    <xdr:sp macro="" textlink="">
      <xdr:nvSpPr>
        <xdr:cNvPr id="3840" name="Arrow: Down 3839">
          <a:extLst>
            <a:ext uri="{FF2B5EF4-FFF2-40B4-BE49-F238E27FC236}">
              <a16:creationId xmlns:a16="http://schemas.microsoft.com/office/drawing/2014/main" id="{065F812B-94E1-4FF8-9720-589F25FD84DD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500</xdr:row>
      <xdr:rowOff>0</xdr:rowOff>
    </xdr:from>
    <xdr:to>
      <xdr:col>11</xdr:col>
      <xdr:colOff>83820</xdr:colOff>
      <xdr:row>500</xdr:row>
      <xdr:rowOff>114300</xdr:rowOff>
    </xdr:to>
    <xdr:sp macro="" textlink="">
      <xdr:nvSpPr>
        <xdr:cNvPr id="3841" name="Arrow: Down 3840">
          <a:extLst>
            <a:ext uri="{FF2B5EF4-FFF2-40B4-BE49-F238E27FC236}">
              <a16:creationId xmlns:a16="http://schemas.microsoft.com/office/drawing/2014/main" id="{A73359F2-16E8-40E3-86A4-BCFF82EA25E9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500</xdr:row>
      <xdr:rowOff>0</xdr:rowOff>
    </xdr:from>
    <xdr:to>
      <xdr:col>5</xdr:col>
      <xdr:colOff>83820</xdr:colOff>
      <xdr:row>500</xdr:row>
      <xdr:rowOff>114300</xdr:rowOff>
    </xdr:to>
    <xdr:sp macro="" textlink="">
      <xdr:nvSpPr>
        <xdr:cNvPr id="3843" name="Arrow: Down 3842">
          <a:extLst>
            <a:ext uri="{FF2B5EF4-FFF2-40B4-BE49-F238E27FC236}">
              <a16:creationId xmlns:a16="http://schemas.microsoft.com/office/drawing/2014/main" id="{07647007-B587-4FF0-B402-7FEA962A89C1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501</xdr:row>
      <xdr:rowOff>0</xdr:rowOff>
    </xdr:from>
    <xdr:to>
      <xdr:col>39</xdr:col>
      <xdr:colOff>83820</xdr:colOff>
      <xdr:row>501</xdr:row>
      <xdr:rowOff>114300</xdr:rowOff>
    </xdr:to>
    <xdr:sp macro="" textlink="">
      <xdr:nvSpPr>
        <xdr:cNvPr id="3846" name="Arrow: Down 3845">
          <a:extLst>
            <a:ext uri="{FF2B5EF4-FFF2-40B4-BE49-F238E27FC236}">
              <a16:creationId xmlns:a16="http://schemas.microsoft.com/office/drawing/2014/main" id="{0C86E9AD-BB67-4F3F-9821-7076D25B41FB}"/>
            </a:ext>
          </a:extLst>
        </xdr:cNvPr>
        <xdr:cNvSpPr/>
      </xdr:nvSpPr>
      <xdr:spPr>
        <a:xfrm>
          <a:off x="11544300" y="915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501</xdr:row>
      <xdr:rowOff>0</xdr:rowOff>
    </xdr:from>
    <xdr:to>
      <xdr:col>24</xdr:col>
      <xdr:colOff>83820</xdr:colOff>
      <xdr:row>501</xdr:row>
      <xdr:rowOff>114300</xdr:rowOff>
    </xdr:to>
    <xdr:sp macro="" textlink="">
      <xdr:nvSpPr>
        <xdr:cNvPr id="3848" name="Arrow: Down 3847">
          <a:extLst>
            <a:ext uri="{FF2B5EF4-FFF2-40B4-BE49-F238E27FC236}">
              <a16:creationId xmlns:a16="http://schemas.microsoft.com/office/drawing/2014/main" id="{7E7C2D16-1FB7-44B2-B8FA-F262CD4396FC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501</xdr:row>
      <xdr:rowOff>0</xdr:rowOff>
    </xdr:from>
    <xdr:to>
      <xdr:col>11</xdr:col>
      <xdr:colOff>83820</xdr:colOff>
      <xdr:row>501</xdr:row>
      <xdr:rowOff>114300</xdr:rowOff>
    </xdr:to>
    <xdr:sp macro="" textlink="">
      <xdr:nvSpPr>
        <xdr:cNvPr id="3849" name="Arrow: Down 3848">
          <a:extLst>
            <a:ext uri="{FF2B5EF4-FFF2-40B4-BE49-F238E27FC236}">
              <a16:creationId xmlns:a16="http://schemas.microsoft.com/office/drawing/2014/main" id="{CFE33308-290B-40BD-92D0-B2C6840AFD27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501</xdr:row>
      <xdr:rowOff>0</xdr:rowOff>
    </xdr:from>
    <xdr:to>
      <xdr:col>5</xdr:col>
      <xdr:colOff>83820</xdr:colOff>
      <xdr:row>501</xdr:row>
      <xdr:rowOff>114300</xdr:rowOff>
    </xdr:to>
    <xdr:sp macro="" textlink="">
      <xdr:nvSpPr>
        <xdr:cNvPr id="3850" name="Arrow: Down 3849">
          <a:extLst>
            <a:ext uri="{FF2B5EF4-FFF2-40B4-BE49-F238E27FC236}">
              <a16:creationId xmlns:a16="http://schemas.microsoft.com/office/drawing/2014/main" id="{83926C1E-672A-4C8C-B33D-BE85A434F9D4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500</xdr:row>
      <xdr:rowOff>0</xdr:rowOff>
    </xdr:from>
    <xdr:to>
      <xdr:col>45</xdr:col>
      <xdr:colOff>83820</xdr:colOff>
      <xdr:row>500</xdr:row>
      <xdr:rowOff>114300</xdr:rowOff>
    </xdr:to>
    <xdr:sp macro="" textlink="">
      <xdr:nvSpPr>
        <xdr:cNvPr id="3851" name="Arrow: Down 3850">
          <a:extLst>
            <a:ext uri="{FF2B5EF4-FFF2-40B4-BE49-F238E27FC236}">
              <a16:creationId xmlns:a16="http://schemas.microsoft.com/office/drawing/2014/main" id="{118523EF-8EBF-48C1-BF51-1F7A5FC8EDBA}"/>
            </a:ext>
          </a:extLst>
        </xdr:cNvPr>
        <xdr:cNvSpPr/>
      </xdr:nvSpPr>
      <xdr:spPr>
        <a:xfrm rot="10800000">
          <a:off x="134035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501</xdr:row>
      <xdr:rowOff>0</xdr:rowOff>
    </xdr:from>
    <xdr:to>
      <xdr:col>60</xdr:col>
      <xdr:colOff>83820</xdr:colOff>
      <xdr:row>501</xdr:row>
      <xdr:rowOff>114300</xdr:rowOff>
    </xdr:to>
    <xdr:sp macro="" textlink="">
      <xdr:nvSpPr>
        <xdr:cNvPr id="3854" name="Arrow: Down 3853">
          <a:extLst>
            <a:ext uri="{FF2B5EF4-FFF2-40B4-BE49-F238E27FC236}">
              <a16:creationId xmlns:a16="http://schemas.microsoft.com/office/drawing/2014/main" id="{257939EC-B358-4A9B-8A55-44DADBFE760A}"/>
            </a:ext>
          </a:extLst>
        </xdr:cNvPr>
        <xdr:cNvSpPr/>
      </xdr:nvSpPr>
      <xdr:spPr>
        <a:xfrm>
          <a:off x="190804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501</xdr:row>
      <xdr:rowOff>0</xdr:rowOff>
    </xdr:from>
    <xdr:to>
      <xdr:col>71</xdr:col>
      <xdr:colOff>83820</xdr:colOff>
      <xdr:row>501</xdr:row>
      <xdr:rowOff>114300</xdr:rowOff>
    </xdr:to>
    <xdr:sp macro="" textlink="">
      <xdr:nvSpPr>
        <xdr:cNvPr id="3855" name="Arrow: Down 3854">
          <a:extLst>
            <a:ext uri="{FF2B5EF4-FFF2-40B4-BE49-F238E27FC236}">
              <a16:creationId xmlns:a16="http://schemas.microsoft.com/office/drawing/2014/main" id="{60ECAE3C-BCF3-4589-AA5D-9D42C711B461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501</xdr:row>
      <xdr:rowOff>0</xdr:rowOff>
    </xdr:from>
    <xdr:to>
      <xdr:col>45</xdr:col>
      <xdr:colOff>83820</xdr:colOff>
      <xdr:row>501</xdr:row>
      <xdr:rowOff>114300</xdr:rowOff>
    </xdr:to>
    <xdr:sp macro="" textlink="">
      <xdr:nvSpPr>
        <xdr:cNvPr id="3857" name="Arrow: Down 3856">
          <a:extLst>
            <a:ext uri="{FF2B5EF4-FFF2-40B4-BE49-F238E27FC236}">
              <a16:creationId xmlns:a16="http://schemas.microsoft.com/office/drawing/2014/main" id="{3C889A9E-4D4D-4434-980D-C9561D8B2771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502</xdr:row>
      <xdr:rowOff>0</xdr:rowOff>
    </xdr:from>
    <xdr:to>
      <xdr:col>71</xdr:col>
      <xdr:colOff>83820</xdr:colOff>
      <xdr:row>502</xdr:row>
      <xdr:rowOff>114300</xdr:rowOff>
    </xdr:to>
    <xdr:sp macro="" textlink="">
      <xdr:nvSpPr>
        <xdr:cNvPr id="3863" name="Arrow: Down 3862">
          <a:extLst>
            <a:ext uri="{FF2B5EF4-FFF2-40B4-BE49-F238E27FC236}">
              <a16:creationId xmlns:a16="http://schemas.microsoft.com/office/drawing/2014/main" id="{8C5BDFD9-FCF8-4AF2-B6FE-40BEA0A7DC5E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502</xdr:row>
      <xdr:rowOff>0</xdr:rowOff>
    </xdr:from>
    <xdr:to>
      <xdr:col>45</xdr:col>
      <xdr:colOff>83820</xdr:colOff>
      <xdr:row>502</xdr:row>
      <xdr:rowOff>114300</xdr:rowOff>
    </xdr:to>
    <xdr:sp macro="" textlink="">
      <xdr:nvSpPr>
        <xdr:cNvPr id="3864" name="Arrow: Down 3863">
          <a:extLst>
            <a:ext uri="{FF2B5EF4-FFF2-40B4-BE49-F238E27FC236}">
              <a16:creationId xmlns:a16="http://schemas.microsoft.com/office/drawing/2014/main" id="{3C701EC4-13D4-4F81-B0A6-00C6FEB0A45F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502</xdr:row>
      <xdr:rowOff>0</xdr:rowOff>
    </xdr:from>
    <xdr:to>
      <xdr:col>60</xdr:col>
      <xdr:colOff>83820</xdr:colOff>
      <xdr:row>502</xdr:row>
      <xdr:rowOff>114300</xdr:rowOff>
    </xdr:to>
    <xdr:sp macro="" textlink="">
      <xdr:nvSpPr>
        <xdr:cNvPr id="3866" name="Arrow: Down 3865">
          <a:extLst>
            <a:ext uri="{FF2B5EF4-FFF2-40B4-BE49-F238E27FC236}">
              <a16:creationId xmlns:a16="http://schemas.microsoft.com/office/drawing/2014/main" id="{CE646AAC-C477-42FC-9698-567DA1D2C1FE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502</xdr:row>
      <xdr:rowOff>0</xdr:rowOff>
    </xdr:from>
    <xdr:to>
      <xdr:col>39</xdr:col>
      <xdr:colOff>83820</xdr:colOff>
      <xdr:row>502</xdr:row>
      <xdr:rowOff>114300</xdr:rowOff>
    </xdr:to>
    <xdr:sp macro="" textlink="">
      <xdr:nvSpPr>
        <xdr:cNvPr id="3867" name="Arrow: Down 3866">
          <a:extLst>
            <a:ext uri="{FF2B5EF4-FFF2-40B4-BE49-F238E27FC236}">
              <a16:creationId xmlns:a16="http://schemas.microsoft.com/office/drawing/2014/main" id="{22948619-876C-47FD-BEFB-2F5FD21EA613}"/>
            </a:ext>
          </a:extLst>
        </xdr:cNvPr>
        <xdr:cNvSpPr/>
      </xdr:nvSpPr>
      <xdr:spPr>
        <a:xfrm rot="10800000">
          <a:off x="11544300" y="9190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502</xdr:row>
      <xdr:rowOff>0</xdr:rowOff>
    </xdr:from>
    <xdr:to>
      <xdr:col>11</xdr:col>
      <xdr:colOff>83820</xdr:colOff>
      <xdr:row>502</xdr:row>
      <xdr:rowOff>114300</xdr:rowOff>
    </xdr:to>
    <xdr:sp macro="" textlink="">
      <xdr:nvSpPr>
        <xdr:cNvPr id="3868" name="Arrow: Down 3867">
          <a:extLst>
            <a:ext uri="{FF2B5EF4-FFF2-40B4-BE49-F238E27FC236}">
              <a16:creationId xmlns:a16="http://schemas.microsoft.com/office/drawing/2014/main" id="{7BA253AB-D6DB-4466-9C7D-97E5D5430ADE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502</xdr:row>
      <xdr:rowOff>0</xdr:rowOff>
    </xdr:from>
    <xdr:to>
      <xdr:col>24</xdr:col>
      <xdr:colOff>83820</xdr:colOff>
      <xdr:row>502</xdr:row>
      <xdr:rowOff>114300</xdr:rowOff>
    </xdr:to>
    <xdr:sp macro="" textlink="">
      <xdr:nvSpPr>
        <xdr:cNvPr id="3870" name="Arrow: Down 3869">
          <a:extLst>
            <a:ext uri="{FF2B5EF4-FFF2-40B4-BE49-F238E27FC236}">
              <a16:creationId xmlns:a16="http://schemas.microsoft.com/office/drawing/2014/main" id="{CE50E83C-082C-4771-828E-FF05326F8980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502</xdr:row>
      <xdr:rowOff>0</xdr:rowOff>
    </xdr:from>
    <xdr:to>
      <xdr:col>5</xdr:col>
      <xdr:colOff>83820</xdr:colOff>
      <xdr:row>502</xdr:row>
      <xdr:rowOff>114300</xdr:rowOff>
    </xdr:to>
    <xdr:sp macro="" textlink="">
      <xdr:nvSpPr>
        <xdr:cNvPr id="3871" name="Arrow: Down 3870">
          <a:extLst>
            <a:ext uri="{FF2B5EF4-FFF2-40B4-BE49-F238E27FC236}">
              <a16:creationId xmlns:a16="http://schemas.microsoft.com/office/drawing/2014/main" id="{51619980-1464-4E7B-B5A6-BF616F4123D3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503</xdr:row>
      <xdr:rowOff>0</xdr:rowOff>
    </xdr:from>
    <xdr:to>
      <xdr:col>45</xdr:col>
      <xdr:colOff>83820</xdr:colOff>
      <xdr:row>503</xdr:row>
      <xdr:rowOff>114300</xdr:rowOff>
    </xdr:to>
    <xdr:sp macro="" textlink="">
      <xdr:nvSpPr>
        <xdr:cNvPr id="3873" name="Arrow: Down 3872">
          <a:extLst>
            <a:ext uri="{FF2B5EF4-FFF2-40B4-BE49-F238E27FC236}">
              <a16:creationId xmlns:a16="http://schemas.microsoft.com/office/drawing/2014/main" id="{25A74736-F0BE-4E6E-9FAA-52EA677355CB}"/>
            </a:ext>
          </a:extLst>
        </xdr:cNvPr>
        <xdr:cNvSpPr/>
      </xdr:nvSpPr>
      <xdr:spPr>
        <a:xfrm>
          <a:off x="134035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503</xdr:row>
      <xdr:rowOff>0</xdr:rowOff>
    </xdr:from>
    <xdr:to>
      <xdr:col>60</xdr:col>
      <xdr:colOff>83820</xdr:colOff>
      <xdr:row>503</xdr:row>
      <xdr:rowOff>114300</xdr:rowOff>
    </xdr:to>
    <xdr:sp macro="" textlink="">
      <xdr:nvSpPr>
        <xdr:cNvPr id="3874" name="Arrow: Down 3873">
          <a:extLst>
            <a:ext uri="{FF2B5EF4-FFF2-40B4-BE49-F238E27FC236}">
              <a16:creationId xmlns:a16="http://schemas.microsoft.com/office/drawing/2014/main" id="{D7F029FB-22DB-426F-A88E-DFB63225C6DC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503</xdr:row>
      <xdr:rowOff>0</xdr:rowOff>
    </xdr:from>
    <xdr:to>
      <xdr:col>11</xdr:col>
      <xdr:colOff>83820</xdr:colOff>
      <xdr:row>503</xdr:row>
      <xdr:rowOff>114300</xdr:rowOff>
    </xdr:to>
    <xdr:sp macro="" textlink="">
      <xdr:nvSpPr>
        <xdr:cNvPr id="3876" name="Arrow: Down 3875">
          <a:extLst>
            <a:ext uri="{FF2B5EF4-FFF2-40B4-BE49-F238E27FC236}">
              <a16:creationId xmlns:a16="http://schemas.microsoft.com/office/drawing/2014/main" id="{8C5855C0-4300-4ED1-8871-FF24EC566772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503</xdr:row>
      <xdr:rowOff>0</xdr:rowOff>
    </xdr:from>
    <xdr:to>
      <xdr:col>24</xdr:col>
      <xdr:colOff>83820</xdr:colOff>
      <xdr:row>503</xdr:row>
      <xdr:rowOff>114300</xdr:rowOff>
    </xdr:to>
    <xdr:sp macro="" textlink="">
      <xdr:nvSpPr>
        <xdr:cNvPr id="3877" name="Arrow: Down 3876">
          <a:extLst>
            <a:ext uri="{FF2B5EF4-FFF2-40B4-BE49-F238E27FC236}">
              <a16:creationId xmlns:a16="http://schemas.microsoft.com/office/drawing/2014/main" id="{E72456F4-1B83-4B91-ACA0-72123A18813B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503</xdr:row>
      <xdr:rowOff>0</xdr:rowOff>
    </xdr:from>
    <xdr:to>
      <xdr:col>5</xdr:col>
      <xdr:colOff>83820</xdr:colOff>
      <xdr:row>503</xdr:row>
      <xdr:rowOff>114300</xdr:rowOff>
    </xdr:to>
    <xdr:sp macro="" textlink="">
      <xdr:nvSpPr>
        <xdr:cNvPr id="3878" name="Arrow: Down 3877">
          <a:extLst>
            <a:ext uri="{FF2B5EF4-FFF2-40B4-BE49-F238E27FC236}">
              <a16:creationId xmlns:a16="http://schemas.microsoft.com/office/drawing/2014/main" id="{BA50387C-A12E-46D4-AAE8-4AD3775C2C4E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503</xdr:row>
      <xdr:rowOff>0</xdr:rowOff>
    </xdr:from>
    <xdr:to>
      <xdr:col>39</xdr:col>
      <xdr:colOff>83820</xdr:colOff>
      <xdr:row>503</xdr:row>
      <xdr:rowOff>114300</xdr:rowOff>
    </xdr:to>
    <xdr:sp macro="" textlink="">
      <xdr:nvSpPr>
        <xdr:cNvPr id="3879" name="Arrow: Down 3878">
          <a:extLst>
            <a:ext uri="{FF2B5EF4-FFF2-40B4-BE49-F238E27FC236}">
              <a16:creationId xmlns:a16="http://schemas.microsoft.com/office/drawing/2014/main" id="{6825C708-01A7-4452-A6AF-7016AEFAA949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504</xdr:row>
      <xdr:rowOff>0</xdr:rowOff>
    </xdr:from>
    <xdr:to>
      <xdr:col>45</xdr:col>
      <xdr:colOff>83820</xdr:colOff>
      <xdr:row>504</xdr:row>
      <xdr:rowOff>114300</xdr:rowOff>
    </xdr:to>
    <xdr:sp macro="" textlink="">
      <xdr:nvSpPr>
        <xdr:cNvPr id="3881" name="Arrow: Down 3880">
          <a:extLst>
            <a:ext uri="{FF2B5EF4-FFF2-40B4-BE49-F238E27FC236}">
              <a16:creationId xmlns:a16="http://schemas.microsoft.com/office/drawing/2014/main" id="{E5AD0A99-8829-4A11-8585-DEC55A6D015A}"/>
            </a:ext>
          </a:extLst>
        </xdr:cNvPr>
        <xdr:cNvSpPr/>
      </xdr:nvSpPr>
      <xdr:spPr>
        <a:xfrm>
          <a:off x="134035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504</xdr:row>
      <xdr:rowOff>0</xdr:rowOff>
    </xdr:from>
    <xdr:to>
      <xdr:col>60</xdr:col>
      <xdr:colOff>83820</xdr:colOff>
      <xdr:row>504</xdr:row>
      <xdr:rowOff>114300</xdr:rowOff>
    </xdr:to>
    <xdr:sp macro="" textlink="">
      <xdr:nvSpPr>
        <xdr:cNvPr id="3882" name="Arrow: Down 3881">
          <a:extLst>
            <a:ext uri="{FF2B5EF4-FFF2-40B4-BE49-F238E27FC236}">
              <a16:creationId xmlns:a16="http://schemas.microsoft.com/office/drawing/2014/main" id="{8F663840-EA1F-49AE-B6AE-32ED4AB9CC1B}"/>
            </a:ext>
          </a:extLst>
        </xdr:cNvPr>
        <xdr:cNvSpPr/>
      </xdr:nvSpPr>
      <xdr:spPr>
        <a:xfrm rot="10800000">
          <a:off x="190804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504</xdr:row>
      <xdr:rowOff>0</xdr:rowOff>
    </xdr:from>
    <xdr:to>
      <xdr:col>11</xdr:col>
      <xdr:colOff>83820</xdr:colOff>
      <xdr:row>504</xdr:row>
      <xdr:rowOff>114300</xdr:rowOff>
    </xdr:to>
    <xdr:sp macro="" textlink="">
      <xdr:nvSpPr>
        <xdr:cNvPr id="3883" name="Arrow: Down 3882">
          <a:extLst>
            <a:ext uri="{FF2B5EF4-FFF2-40B4-BE49-F238E27FC236}">
              <a16:creationId xmlns:a16="http://schemas.microsoft.com/office/drawing/2014/main" id="{A4AB65F5-F123-4FC6-AD9A-AC772BA843F4}"/>
            </a:ext>
          </a:extLst>
        </xdr:cNvPr>
        <xdr:cNvSpPr/>
      </xdr:nvSpPr>
      <xdr:spPr>
        <a:xfrm rot="10800000">
          <a:off x="36957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504</xdr:row>
      <xdr:rowOff>0</xdr:rowOff>
    </xdr:from>
    <xdr:to>
      <xdr:col>24</xdr:col>
      <xdr:colOff>83820</xdr:colOff>
      <xdr:row>504</xdr:row>
      <xdr:rowOff>114300</xdr:rowOff>
    </xdr:to>
    <xdr:sp macro="" textlink="">
      <xdr:nvSpPr>
        <xdr:cNvPr id="3884" name="Arrow: Down 3883">
          <a:extLst>
            <a:ext uri="{FF2B5EF4-FFF2-40B4-BE49-F238E27FC236}">
              <a16:creationId xmlns:a16="http://schemas.microsoft.com/office/drawing/2014/main" id="{862A1E1C-1A80-4B26-A371-DC7DA1740780}"/>
            </a:ext>
          </a:extLst>
        </xdr:cNvPr>
        <xdr:cNvSpPr/>
      </xdr:nvSpPr>
      <xdr:spPr>
        <a:xfrm rot="10800000">
          <a:off x="83362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504</xdr:row>
      <xdr:rowOff>0</xdr:rowOff>
    </xdr:from>
    <xdr:to>
      <xdr:col>5</xdr:col>
      <xdr:colOff>83820</xdr:colOff>
      <xdr:row>504</xdr:row>
      <xdr:rowOff>114300</xdr:rowOff>
    </xdr:to>
    <xdr:sp macro="" textlink="">
      <xdr:nvSpPr>
        <xdr:cNvPr id="3885" name="Arrow: Down 3884">
          <a:extLst>
            <a:ext uri="{FF2B5EF4-FFF2-40B4-BE49-F238E27FC236}">
              <a16:creationId xmlns:a16="http://schemas.microsoft.com/office/drawing/2014/main" id="{D6493298-BE13-41E5-8701-086BD68D5271}"/>
            </a:ext>
          </a:extLst>
        </xdr:cNvPr>
        <xdr:cNvSpPr/>
      </xdr:nvSpPr>
      <xdr:spPr>
        <a:xfrm rot="10800000">
          <a:off x="192786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504</xdr:row>
      <xdr:rowOff>0</xdr:rowOff>
    </xdr:from>
    <xdr:to>
      <xdr:col>39</xdr:col>
      <xdr:colOff>83820</xdr:colOff>
      <xdr:row>504</xdr:row>
      <xdr:rowOff>114300</xdr:rowOff>
    </xdr:to>
    <xdr:sp macro="" textlink="">
      <xdr:nvSpPr>
        <xdr:cNvPr id="3886" name="Arrow: Down 3885">
          <a:extLst>
            <a:ext uri="{FF2B5EF4-FFF2-40B4-BE49-F238E27FC236}">
              <a16:creationId xmlns:a16="http://schemas.microsoft.com/office/drawing/2014/main" id="{9771886D-E6CA-46EF-8BF2-6A52C09DA244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503</xdr:row>
      <xdr:rowOff>0</xdr:rowOff>
    </xdr:from>
    <xdr:to>
      <xdr:col>71</xdr:col>
      <xdr:colOff>83820</xdr:colOff>
      <xdr:row>503</xdr:row>
      <xdr:rowOff>114300</xdr:rowOff>
    </xdr:to>
    <xdr:sp macro="" textlink="">
      <xdr:nvSpPr>
        <xdr:cNvPr id="3887" name="Arrow: Down 3886">
          <a:extLst>
            <a:ext uri="{FF2B5EF4-FFF2-40B4-BE49-F238E27FC236}">
              <a16:creationId xmlns:a16="http://schemas.microsoft.com/office/drawing/2014/main" id="{37C1E501-1B87-4BB8-A2A5-21AFA450B2C6}"/>
            </a:ext>
          </a:extLst>
        </xdr:cNvPr>
        <xdr:cNvSpPr/>
      </xdr:nvSpPr>
      <xdr:spPr>
        <a:xfrm rot="10800000">
          <a:off x="216331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504</xdr:row>
      <xdr:rowOff>0</xdr:rowOff>
    </xdr:from>
    <xdr:to>
      <xdr:col>71</xdr:col>
      <xdr:colOff>83820</xdr:colOff>
      <xdr:row>504</xdr:row>
      <xdr:rowOff>114300</xdr:rowOff>
    </xdr:to>
    <xdr:sp macro="" textlink="">
      <xdr:nvSpPr>
        <xdr:cNvPr id="3888" name="Arrow: Down 3887">
          <a:extLst>
            <a:ext uri="{FF2B5EF4-FFF2-40B4-BE49-F238E27FC236}">
              <a16:creationId xmlns:a16="http://schemas.microsoft.com/office/drawing/2014/main" id="{0F0E4666-7653-4EF7-B240-6879C285ECFE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505</xdr:row>
      <xdr:rowOff>0</xdr:rowOff>
    </xdr:from>
    <xdr:to>
      <xdr:col>45</xdr:col>
      <xdr:colOff>83820</xdr:colOff>
      <xdr:row>505</xdr:row>
      <xdr:rowOff>114300</xdr:rowOff>
    </xdr:to>
    <xdr:sp macro="" textlink="">
      <xdr:nvSpPr>
        <xdr:cNvPr id="3896" name="Arrow: Down 3895">
          <a:extLst>
            <a:ext uri="{FF2B5EF4-FFF2-40B4-BE49-F238E27FC236}">
              <a16:creationId xmlns:a16="http://schemas.microsoft.com/office/drawing/2014/main" id="{97088C7B-C404-4B0B-8B96-0DD6105B54BF}"/>
            </a:ext>
          </a:extLst>
        </xdr:cNvPr>
        <xdr:cNvSpPr/>
      </xdr:nvSpPr>
      <xdr:spPr>
        <a:xfrm>
          <a:off x="134035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505</xdr:row>
      <xdr:rowOff>0</xdr:rowOff>
    </xdr:from>
    <xdr:to>
      <xdr:col>11</xdr:col>
      <xdr:colOff>83820</xdr:colOff>
      <xdr:row>505</xdr:row>
      <xdr:rowOff>114300</xdr:rowOff>
    </xdr:to>
    <xdr:sp macro="" textlink="">
      <xdr:nvSpPr>
        <xdr:cNvPr id="3898" name="Arrow: Down 3897">
          <a:extLst>
            <a:ext uri="{FF2B5EF4-FFF2-40B4-BE49-F238E27FC236}">
              <a16:creationId xmlns:a16="http://schemas.microsoft.com/office/drawing/2014/main" id="{E6698A16-288A-460D-AA40-A7B64247AB69}"/>
            </a:ext>
          </a:extLst>
        </xdr:cNvPr>
        <xdr:cNvSpPr/>
      </xdr:nvSpPr>
      <xdr:spPr>
        <a:xfrm rot="10800000">
          <a:off x="369570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505</xdr:row>
      <xdr:rowOff>0</xdr:rowOff>
    </xdr:from>
    <xdr:to>
      <xdr:col>24</xdr:col>
      <xdr:colOff>83820</xdr:colOff>
      <xdr:row>505</xdr:row>
      <xdr:rowOff>114300</xdr:rowOff>
    </xdr:to>
    <xdr:sp macro="" textlink="">
      <xdr:nvSpPr>
        <xdr:cNvPr id="3899" name="Arrow: Down 3898">
          <a:extLst>
            <a:ext uri="{FF2B5EF4-FFF2-40B4-BE49-F238E27FC236}">
              <a16:creationId xmlns:a16="http://schemas.microsoft.com/office/drawing/2014/main" id="{4930FD20-4FC3-4790-AD77-1C7850C6CA12}"/>
            </a:ext>
          </a:extLst>
        </xdr:cNvPr>
        <xdr:cNvSpPr/>
      </xdr:nvSpPr>
      <xdr:spPr>
        <a:xfrm rot="10800000">
          <a:off x="83362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505</xdr:row>
      <xdr:rowOff>0</xdr:rowOff>
    </xdr:from>
    <xdr:to>
      <xdr:col>5</xdr:col>
      <xdr:colOff>83820</xdr:colOff>
      <xdr:row>505</xdr:row>
      <xdr:rowOff>114300</xdr:rowOff>
    </xdr:to>
    <xdr:sp macro="" textlink="">
      <xdr:nvSpPr>
        <xdr:cNvPr id="3900" name="Arrow: Down 3899">
          <a:extLst>
            <a:ext uri="{FF2B5EF4-FFF2-40B4-BE49-F238E27FC236}">
              <a16:creationId xmlns:a16="http://schemas.microsoft.com/office/drawing/2014/main" id="{A71FEAEB-2EEE-4BB8-99D3-466D50C0BF02}"/>
            </a:ext>
          </a:extLst>
        </xdr:cNvPr>
        <xdr:cNvSpPr/>
      </xdr:nvSpPr>
      <xdr:spPr>
        <a:xfrm rot="10800000">
          <a:off x="192786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505</xdr:row>
      <xdr:rowOff>0</xdr:rowOff>
    </xdr:from>
    <xdr:to>
      <xdr:col>71</xdr:col>
      <xdr:colOff>83820</xdr:colOff>
      <xdr:row>505</xdr:row>
      <xdr:rowOff>114300</xdr:rowOff>
    </xdr:to>
    <xdr:sp macro="" textlink="">
      <xdr:nvSpPr>
        <xdr:cNvPr id="3902" name="Arrow: Down 3901">
          <a:extLst>
            <a:ext uri="{FF2B5EF4-FFF2-40B4-BE49-F238E27FC236}">
              <a16:creationId xmlns:a16="http://schemas.microsoft.com/office/drawing/2014/main" id="{E10613E4-4B91-44B2-AF86-43084E129FBA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505</xdr:row>
      <xdr:rowOff>0</xdr:rowOff>
    </xdr:from>
    <xdr:to>
      <xdr:col>39</xdr:col>
      <xdr:colOff>83820</xdr:colOff>
      <xdr:row>505</xdr:row>
      <xdr:rowOff>114300</xdr:rowOff>
    </xdr:to>
    <xdr:sp macro="" textlink="">
      <xdr:nvSpPr>
        <xdr:cNvPr id="3904" name="Arrow: Down 3903">
          <a:extLst>
            <a:ext uri="{FF2B5EF4-FFF2-40B4-BE49-F238E27FC236}">
              <a16:creationId xmlns:a16="http://schemas.microsoft.com/office/drawing/2014/main" id="{C4800284-2545-467D-BE3D-79EE110FACED}"/>
            </a:ext>
          </a:extLst>
        </xdr:cNvPr>
        <xdr:cNvSpPr/>
      </xdr:nvSpPr>
      <xdr:spPr>
        <a:xfrm rot="10800000">
          <a:off x="1154430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506</xdr:row>
      <xdr:rowOff>0</xdr:rowOff>
    </xdr:from>
    <xdr:to>
      <xdr:col>45</xdr:col>
      <xdr:colOff>83820</xdr:colOff>
      <xdr:row>506</xdr:row>
      <xdr:rowOff>114300</xdr:rowOff>
    </xdr:to>
    <xdr:sp macro="" textlink="">
      <xdr:nvSpPr>
        <xdr:cNvPr id="3905" name="Arrow: Down 3904">
          <a:extLst>
            <a:ext uri="{FF2B5EF4-FFF2-40B4-BE49-F238E27FC236}">
              <a16:creationId xmlns:a16="http://schemas.microsoft.com/office/drawing/2014/main" id="{1AE0580F-E422-475D-8922-86631010DB10}"/>
            </a:ext>
          </a:extLst>
        </xdr:cNvPr>
        <xdr:cNvSpPr/>
      </xdr:nvSpPr>
      <xdr:spPr>
        <a:xfrm>
          <a:off x="134035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506</xdr:row>
      <xdr:rowOff>0</xdr:rowOff>
    </xdr:from>
    <xdr:to>
      <xdr:col>11</xdr:col>
      <xdr:colOff>83820</xdr:colOff>
      <xdr:row>506</xdr:row>
      <xdr:rowOff>114300</xdr:rowOff>
    </xdr:to>
    <xdr:sp macro="" textlink="">
      <xdr:nvSpPr>
        <xdr:cNvPr id="3907" name="Arrow: Down 3906">
          <a:extLst>
            <a:ext uri="{FF2B5EF4-FFF2-40B4-BE49-F238E27FC236}">
              <a16:creationId xmlns:a16="http://schemas.microsoft.com/office/drawing/2014/main" id="{12E893C9-3D31-47FA-B71E-447BAA8F9F67}"/>
            </a:ext>
          </a:extLst>
        </xdr:cNvPr>
        <xdr:cNvSpPr/>
      </xdr:nvSpPr>
      <xdr:spPr>
        <a:xfrm rot="10800000">
          <a:off x="369570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506</xdr:row>
      <xdr:rowOff>0</xdr:rowOff>
    </xdr:from>
    <xdr:to>
      <xdr:col>24</xdr:col>
      <xdr:colOff>83820</xdr:colOff>
      <xdr:row>506</xdr:row>
      <xdr:rowOff>114300</xdr:rowOff>
    </xdr:to>
    <xdr:sp macro="" textlink="">
      <xdr:nvSpPr>
        <xdr:cNvPr id="3908" name="Arrow: Down 3907">
          <a:extLst>
            <a:ext uri="{FF2B5EF4-FFF2-40B4-BE49-F238E27FC236}">
              <a16:creationId xmlns:a16="http://schemas.microsoft.com/office/drawing/2014/main" id="{FFBE416B-CCDF-4063-8C52-E60F4DDC9EF3}"/>
            </a:ext>
          </a:extLst>
        </xdr:cNvPr>
        <xdr:cNvSpPr/>
      </xdr:nvSpPr>
      <xdr:spPr>
        <a:xfrm rot="10800000">
          <a:off x="83362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506</xdr:row>
      <xdr:rowOff>0</xdr:rowOff>
    </xdr:from>
    <xdr:to>
      <xdr:col>5</xdr:col>
      <xdr:colOff>83820</xdr:colOff>
      <xdr:row>506</xdr:row>
      <xdr:rowOff>114300</xdr:rowOff>
    </xdr:to>
    <xdr:sp macro="" textlink="">
      <xdr:nvSpPr>
        <xdr:cNvPr id="3909" name="Arrow: Down 3908">
          <a:extLst>
            <a:ext uri="{FF2B5EF4-FFF2-40B4-BE49-F238E27FC236}">
              <a16:creationId xmlns:a16="http://schemas.microsoft.com/office/drawing/2014/main" id="{D321B410-5025-464F-A021-7824C7EBD732}"/>
            </a:ext>
          </a:extLst>
        </xdr:cNvPr>
        <xdr:cNvSpPr/>
      </xdr:nvSpPr>
      <xdr:spPr>
        <a:xfrm rot="10800000">
          <a:off x="192786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506</xdr:row>
      <xdr:rowOff>0</xdr:rowOff>
    </xdr:from>
    <xdr:to>
      <xdr:col>39</xdr:col>
      <xdr:colOff>83820</xdr:colOff>
      <xdr:row>506</xdr:row>
      <xdr:rowOff>114300</xdr:rowOff>
    </xdr:to>
    <xdr:sp macro="" textlink="">
      <xdr:nvSpPr>
        <xdr:cNvPr id="3912" name="Arrow: Down 3911">
          <a:extLst>
            <a:ext uri="{FF2B5EF4-FFF2-40B4-BE49-F238E27FC236}">
              <a16:creationId xmlns:a16="http://schemas.microsoft.com/office/drawing/2014/main" id="{3C31E7E5-97F5-4837-A064-1AA87DD4966A}"/>
            </a:ext>
          </a:extLst>
        </xdr:cNvPr>
        <xdr:cNvSpPr/>
      </xdr:nvSpPr>
      <xdr:spPr>
        <a:xfrm>
          <a:off x="1154430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506</xdr:row>
      <xdr:rowOff>0</xdr:rowOff>
    </xdr:from>
    <xdr:to>
      <xdr:col>71</xdr:col>
      <xdr:colOff>83820</xdr:colOff>
      <xdr:row>506</xdr:row>
      <xdr:rowOff>114300</xdr:rowOff>
    </xdr:to>
    <xdr:sp macro="" textlink="">
      <xdr:nvSpPr>
        <xdr:cNvPr id="3913" name="Arrow: Down 3912">
          <a:extLst>
            <a:ext uri="{FF2B5EF4-FFF2-40B4-BE49-F238E27FC236}">
              <a16:creationId xmlns:a16="http://schemas.microsoft.com/office/drawing/2014/main" id="{82FE3A62-A893-4AB2-8D75-83CC83F0B528}"/>
            </a:ext>
          </a:extLst>
        </xdr:cNvPr>
        <xdr:cNvSpPr/>
      </xdr:nvSpPr>
      <xdr:spPr>
        <a:xfrm>
          <a:off x="216331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507</xdr:row>
      <xdr:rowOff>0</xdr:rowOff>
    </xdr:from>
    <xdr:to>
      <xdr:col>45</xdr:col>
      <xdr:colOff>83820</xdr:colOff>
      <xdr:row>507</xdr:row>
      <xdr:rowOff>114300</xdr:rowOff>
    </xdr:to>
    <xdr:sp macro="" textlink="">
      <xdr:nvSpPr>
        <xdr:cNvPr id="3914" name="Arrow: Down 3913">
          <a:extLst>
            <a:ext uri="{FF2B5EF4-FFF2-40B4-BE49-F238E27FC236}">
              <a16:creationId xmlns:a16="http://schemas.microsoft.com/office/drawing/2014/main" id="{F091E01C-2F67-45F3-8CF8-F280C3F08919}"/>
            </a:ext>
          </a:extLst>
        </xdr:cNvPr>
        <xdr:cNvSpPr/>
      </xdr:nvSpPr>
      <xdr:spPr>
        <a:xfrm>
          <a:off x="134035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507</xdr:row>
      <xdr:rowOff>0</xdr:rowOff>
    </xdr:from>
    <xdr:to>
      <xdr:col>60</xdr:col>
      <xdr:colOff>83820</xdr:colOff>
      <xdr:row>507</xdr:row>
      <xdr:rowOff>114300</xdr:rowOff>
    </xdr:to>
    <xdr:sp macro="" textlink="">
      <xdr:nvSpPr>
        <xdr:cNvPr id="3915" name="Arrow: Down 3914">
          <a:extLst>
            <a:ext uri="{FF2B5EF4-FFF2-40B4-BE49-F238E27FC236}">
              <a16:creationId xmlns:a16="http://schemas.microsoft.com/office/drawing/2014/main" id="{29E86EDF-5C8D-483A-BAB7-5EC17AEB07FE}"/>
            </a:ext>
          </a:extLst>
        </xdr:cNvPr>
        <xdr:cNvSpPr/>
      </xdr:nvSpPr>
      <xdr:spPr>
        <a:xfrm rot="10800000">
          <a:off x="190804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507</xdr:row>
      <xdr:rowOff>0</xdr:rowOff>
    </xdr:from>
    <xdr:to>
      <xdr:col>71</xdr:col>
      <xdr:colOff>83820</xdr:colOff>
      <xdr:row>507</xdr:row>
      <xdr:rowOff>114300</xdr:rowOff>
    </xdr:to>
    <xdr:sp macro="" textlink="">
      <xdr:nvSpPr>
        <xdr:cNvPr id="3921" name="Arrow: Down 3920">
          <a:extLst>
            <a:ext uri="{FF2B5EF4-FFF2-40B4-BE49-F238E27FC236}">
              <a16:creationId xmlns:a16="http://schemas.microsoft.com/office/drawing/2014/main" id="{12228DCC-3D69-42E3-8F82-2E2ABABA8DB1}"/>
            </a:ext>
          </a:extLst>
        </xdr:cNvPr>
        <xdr:cNvSpPr/>
      </xdr:nvSpPr>
      <xdr:spPr>
        <a:xfrm rot="10800000">
          <a:off x="216331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507</xdr:row>
      <xdr:rowOff>0</xdr:rowOff>
    </xdr:from>
    <xdr:to>
      <xdr:col>5</xdr:col>
      <xdr:colOff>83820</xdr:colOff>
      <xdr:row>507</xdr:row>
      <xdr:rowOff>114300</xdr:rowOff>
    </xdr:to>
    <xdr:sp macro="" textlink="">
      <xdr:nvSpPr>
        <xdr:cNvPr id="3922" name="Arrow: Down 3921">
          <a:extLst>
            <a:ext uri="{FF2B5EF4-FFF2-40B4-BE49-F238E27FC236}">
              <a16:creationId xmlns:a16="http://schemas.microsoft.com/office/drawing/2014/main" id="{44974784-51B4-4DFF-BBAA-99CE777DB970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507</xdr:row>
      <xdr:rowOff>0</xdr:rowOff>
    </xdr:from>
    <xdr:to>
      <xdr:col>11</xdr:col>
      <xdr:colOff>83820</xdr:colOff>
      <xdr:row>507</xdr:row>
      <xdr:rowOff>114300</xdr:rowOff>
    </xdr:to>
    <xdr:sp macro="" textlink="">
      <xdr:nvSpPr>
        <xdr:cNvPr id="3923" name="Arrow: Down 3922">
          <a:extLst>
            <a:ext uri="{FF2B5EF4-FFF2-40B4-BE49-F238E27FC236}">
              <a16:creationId xmlns:a16="http://schemas.microsoft.com/office/drawing/2014/main" id="{BA418423-4504-4DDA-824A-8EB31019A5F1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507</xdr:row>
      <xdr:rowOff>0</xdr:rowOff>
    </xdr:from>
    <xdr:to>
      <xdr:col>24</xdr:col>
      <xdr:colOff>83820</xdr:colOff>
      <xdr:row>507</xdr:row>
      <xdr:rowOff>114300</xdr:rowOff>
    </xdr:to>
    <xdr:sp macro="" textlink="">
      <xdr:nvSpPr>
        <xdr:cNvPr id="3924" name="Arrow: Down 3923">
          <a:extLst>
            <a:ext uri="{FF2B5EF4-FFF2-40B4-BE49-F238E27FC236}">
              <a16:creationId xmlns:a16="http://schemas.microsoft.com/office/drawing/2014/main" id="{4E4A4D3C-6559-4780-9534-373C049D3B28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507</xdr:row>
      <xdr:rowOff>0</xdr:rowOff>
    </xdr:from>
    <xdr:to>
      <xdr:col>39</xdr:col>
      <xdr:colOff>83820</xdr:colOff>
      <xdr:row>507</xdr:row>
      <xdr:rowOff>114300</xdr:rowOff>
    </xdr:to>
    <xdr:sp macro="" textlink="">
      <xdr:nvSpPr>
        <xdr:cNvPr id="3926" name="Arrow: Down 3925">
          <a:extLst>
            <a:ext uri="{FF2B5EF4-FFF2-40B4-BE49-F238E27FC236}">
              <a16:creationId xmlns:a16="http://schemas.microsoft.com/office/drawing/2014/main" id="{F65509A8-2B6D-4581-B61D-EE64BCE8AA7F}"/>
            </a:ext>
          </a:extLst>
        </xdr:cNvPr>
        <xdr:cNvSpPr/>
      </xdr:nvSpPr>
      <xdr:spPr>
        <a:xfrm rot="10800000">
          <a:off x="115443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505</xdr:row>
      <xdr:rowOff>0</xdr:rowOff>
    </xdr:from>
    <xdr:to>
      <xdr:col>60</xdr:col>
      <xdr:colOff>83820</xdr:colOff>
      <xdr:row>505</xdr:row>
      <xdr:rowOff>114300</xdr:rowOff>
    </xdr:to>
    <xdr:sp macro="" textlink="">
      <xdr:nvSpPr>
        <xdr:cNvPr id="3928" name="Arrow: Down 3927">
          <a:extLst>
            <a:ext uri="{FF2B5EF4-FFF2-40B4-BE49-F238E27FC236}">
              <a16:creationId xmlns:a16="http://schemas.microsoft.com/office/drawing/2014/main" id="{CD74943D-A3D7-4683-968A-0DB7ADFFFD04}"/>
            </a:ext>
          </a:extLst>
        </xdr:cNvPr>
        <xdr:cNvSpPr/>
      </xdr:nvSpPr>
      <xdr:spPr>
        <a:xfrm>
          <a:off x="1908048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506</xdr:row>
      <xdr:rowOff>0</xdr:rowOff>
    </xdr:from>
    <xdr:to>
      <xdr:col>60</xdr:col>
      <xdr:colOff>83820</xdr:colOff>
      <xdr:row>506</xdr:row>
      <xdr:rowOff>114300</xdr:rowOff>
    </xdr:to>
    <xdr:sp macro="" textlink="">
      <xdr:nvSpPr>
        <xdr:cNvPr id="3929" name="Arrow: Down 3928">
          <a:extLst>
            <a:ext uri="{FF2B5EF4-FFF2-40B4-BE49-F238E27FC236}">
              <a16:creationId xmlns:a16="http://schemas.microsoft.com/office/drawing/2014/main" id="{CA1CC9F9-4BC9-4B15-A208-09F48C47F74E}"/>
            </a:ext>
          </a:extLst>
        </xdr:cNvPr>
        <xdr:cNvSpPr/>
      </xdr:nvSpPr>
      <xdr:spPr>
        <a:xfrm>
          <a:off x="190804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508</xdr:row>
      <xdr:rowOff>0</xdr:rowOff>
    </xdr:from>
    <xdr:to>
      <xdr:col>45</xdr:col>
      <xdr:colOff>83820</xdr:colOff>
      <xdr:row>508</xdr:row>
      <xdr:rowOff>114300</xdr:rowOff>
    </xdr:to>
    <xdr:sp macro="" textlink="">
      <xdr:nvSpPr>
        <xdr:cNvPr id="3930" name="Arrow: Down 3929">
          <a:extLst>
            <a:ext uri="{FF2B5EF4-FFF2-40B4-BE49-F238E27FC236}">
              <a16:creationId xmlns:a16="http://schemas.microsoft.com/office/drawing/2014/main" id="{AB875D2E-BE6C-41A0-A104-D264969AAB84}"/>
            </a:ext>
          </a:extLst>
        </xdr:cNvPr>
        <xdr:cNvSpPr/>
      </xdr:nvSpPr>
      <xdr:spPr>
        <a:xfrm>
          <a:off x="134035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508</xdr:row>
      <xdr:rowOff>0</xdr:rowOff>
    </xdr:from>
    <xdr:to>
      <xdr:col>5</xdr:col>
      <xdr:colOff>83820</xdr:colOff>
      <xdr:row>508</xdr:row>
      <xdr:rowOff>114300</xdr:rowOff>
    </xdr:to>
    <xdr:sp macro="" textlink="">
      <xdr:nvSpPr>
        <xdr:cNvPr id="3933" name="Arrow: Down 3932">
          <a:extLst>
            <a:ext uri="{FF2B5EF4-FFF2-40B4-BE49-F238E27FC236}">
              <a16:creationId xmlns:a16="http://schemas.microsoft.com/office/drawing/2014/main" id="{DC5856A3-E427-446C-93AC-5911F211A093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508</xdr:row>
      <xdr:rowOff>0</xdr:rowOff>
    </xdr:from>
    <xdr:to>
      <xdr:col>11</xdr:col>
      <xdr:colOff>83820</xdr:colOff>
      <xdr:row>508</xdr:row>
      <xdr:rowOff>114300</xdr:rowOff>
    </xdr:to>
    <xdr:sp macro="" textlink="">
      <xdr:nvSpPr>
        <xdr:cNvPr id="3934" name="Arrow: Down 3933">
          <a:extLst>
            <a:ext uri="{FF2B5EF4-FFF2-40B4-BE49-F238E27FC236}">
              <a16:creationId xmlns:a16="http://schemas.microsoft.com/office/drawing/2014/main" id="{8A06AC97-4557-4CAB-9C55-3A60DB7FB37D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508</xdr:row>
      <xdr:rowOff>0</xdr:rowOff>
    </xdr:from>
    <xdr:to>
      <xdr:col>24</xdr:col>
      <xdr:colOff>83820</xdr:colOff>
      <xdr:row>508</xdr:row>
      <xdr:rowOff>114300</xdr:rowOff>
    </xdr:to>
    <xdr:sp macro="" textlink="">
      <xdr:nvSpPr>
        <xdr:cNvPr id="3935" name="Arrow: Down 3934">
          <a:extLst>
            <a:ext uri="{FF2B5EF4-FFF2-40B4-BE49-F238E27FC236}">
              <a16:creationId xmlns:a16="http://schemas.microsoft.com/office/drawing/2014/main" id="{6355A8DE-DF69-4A67-A6E5-4AFA4C4E21F5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508</xdr:row>
      <xdr:rowOff>0</xdr:rowOff>
    </xdr:from>
    <xdr:to>
      <xdr:col>60</xdr:col>
      <xdr:colOff>83820</xdr:colOff>
      <xdr:row>508</xdr:row>
      <xdr:rowOff>114300</xdr:rowOff>
    </xdr:to>
    <xdr:sp macro="" textlink="">
      <xdr:nvSpPr>
        <xdr:cNvPr id="3939" name="Arrow: Down 3938">
          <a:extLst>
            <a:ext uri="{FF2B5EF4-FFF2-40B4-BE49-F238E27FC236}">
              <a16:creationId xmlns:a16="http://schemas.microsoft.com/office/drawing/2014/main" id="{335343DD-7DA8-4DA8-A025-19EF72369B9E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508</xdr:row>
      <xdr:rowOff>0</xdr:rowOff>
    </xdr:from>
    <xdr:to>
      <xdr:col>71</xdr:col>
      <xdr:colOff>83820</xdr:colOff>
      <xdr:row>508</xdr:row>
      <xdr:rowOff>114300</xdr:rowOff>
    </xdr:to>
    <xdr:sp macro="" textlink="">
      <xdr:nvSpPr>
        <xdr:cNvPr id="3941" name="Arrow: Down 3940">
          <a:extLst>
            <a:ext uri="{FF2B5EF4-FFF2-40B4-BE49-F238E27FC236}">
              <a16:creationId xmlns:a16="http://schemas.microsoft.com/office/drawing/2014/main" id="{BF119AA2-82B1-432A-BDC0-3A8979EF250D}"/>
            </a:ext>
          </a:extLst>
        </xdr:cNvPr>
        <xdr:cNvSpPr/>
      </xdr:nvSpPr>
      <xdr:spPr>
        <a:xfrm rot="10800000">
          <a:off x="216331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508</xdr:row>
      <xdr:rowOff>0</xdr:rowOff>
    </xdr:from>
    <xdr:to>
      <xdr:col>39</xdr:col>
      <xdr:colOff>83820</xdr:colOff>
      <xdr:row>508</xdr:row>
      <xdr:rowOff>114300</xdr:rowOff>
    </xdr:to>
    <xdr:sp macro="" textlink="">
      <xdr:nvSpPr>
        <xdr:cNvPr id="3943" name="Arrow: Down 3942">
          <a:extLst>
            <a:ext uri="{FF2B5EF4-FFF2-40B4-BE49-F238E27FC236}">
              <a16:creationId xmlns:a16="http://schemas.microsoft.com/office/drawing/2014/main" id="{1F1658C3-ACF7-4C27-8F6F-40A409F5A9EC}"/>
            </a:ext>
          </a:extLst>
        </xdr:cNvPr>
        <xdr:cNvSpPr/>
      </xdr:nvSpPr>
      <xdr:spPr>
        <a:xfrm>
          <a:off x="1154430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468</xdr:row>
      <xdr:rowOff>0</xdr:rowOff>
    </xdr:from>
    <xdr:to>
      <xdr:col>14</xdr:col>
      <xdr:colOff>83820</xdr:colOff>
      <xdr:row>468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C8A6B14-71A1-42D7-9655-36542FBD278D}"/>
            </a:ext>
          </a:extLst>
        </xdr:cNvPr>
        <xdr:cNvSpPr/>
      </xdr:nvSpPr>
      <xdr:spPr>
        <a:xfrm>
          <a:off x="5295900" y="5725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471</xdr:row>
      <xdr:rowOff>0</xdr:rowOff>
    </xdr:from>
    <xdr:to>
      <xdr:col>14</xdr:col>
      <xdr:colOff>83820</xdr:colOff>
      <xdr:row>471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80F0F5B6-16AE-47D5-B110-897D3EEF22C6}"/>
            </a:ext>
          </a:extLst>
        </xdr:cNvPr>
        <xdr:cNvSpPr/>
      </xdr:nvSpPr>
      <xdr:spPr>
        <a:xfrm>
          <a:off x="5295900" y="5743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472</xdr:row>
      <xdr:rowOff>0</xdr:rowOff>
    </xdr:from>
    <xdr:to>
      <xdr:col>14</xdr:col>
      <xdr:colOff>83820</xdr:colOff>
      <xdr:row>472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899FFAE-195F-4802-BBC2-321CF62C20A8}"/>
            </a:ext>
          </a:extLst>
        </xdr:cNvPr>
        <xdr:cNvSpPr/>
      </xdr:nvSpPr>
      <xdr:spPr>
        <a:xfrm>
          <a:off x="5295900" y="5798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473</xdr:row>
      <xdr:rowOff>0</xdr:rowOff>
    </xdr:from>
    <xdr:to>
      <xdr:col>14</xdr:col>
      <xdr:colOff>83820</xdr:colOff>
      <xdr:row>473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6E6AC867-6B72-4CFC-8150-E0343600DC84}"/>
            </a:ext>
          </a:extLst>
        </xdr:cNvPr>
        <xdr:cNvSpPr/>
      </xdr:nvSpPr>
      <xdr:spPr>
        <a:xfrm>
          <a:off x="5295900" y="5817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474</xdr:row>
      <xdr:rowOff>0</xdr:rowOff>
    </xdr:from>
    <xdr:to>
      <xdr:col>14</xdr:col>
      <xdr:colOff>83820</xdr:colOff>
      <xdr:row>474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282B27EF-A19B-49D8-A78D-31667A5DBFBE}"/>
            </a:ext>
          </a:extLst>
        </xdr:cNvPr>
        <xdr:cNvSpPr/>
      </xdr:nvSpPr>
      <xdr:spPr>
        <a:xfrm>
          <a:off x="5295900" y="5835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470</xdr:row>
      <xdr:rowOff>0</xdr:rowOff>
    </xdr:from>
    <xdr:to>
      <xdr:col>14</xdr:col>
      <xdr:colOff>83820</xdr:colOff>
      <xdr:row>470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C9D29F54-65F7-49FB-A8FD-7608B52C12F2}"/>
            </a:ext>
          </a:extLst>
        </xdr:cNvPr>
        <xdr:cNvSpPr/>
      </xdr:nvSpPr>
      <xdr:spPr>
        <a:xfrm rot="10800000">
          <a:off x="5295900" y="5780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469</xdr:row>
      <xdr:rowOff>0</xdr:rowOff>
    </xdr:from>
    <xdr:to>
      <xdr:col>14</xdr:col>
      <xdr:colOff>83820</xdr:colOff>
      <xdr:row>469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9B9458C0-B57F-4CE1-B9D3-D8B7142FEF05}"/>
            </a:ext>
          </a:extLst>
        </xdr:cNvPr>
        <xdr:cNvSpPr/>
      </xdr:nvSpPr>
      <xdr:spPr>
        <a:xfrm rot="10800000">
          <a:off x="5295900" y="5762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475</xdr:row>
      <xdr:rowOff>0</xdr:rowOff>
    </xdr:from>
    <xdr:to>
      <xdr:col>14</xdr:col>
      <xdr:colOff>83820</xdr:colOff>
      <xdr:row>475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1E327AA4-C16E-485E-8F88-6359DCDE046A}"/>
            </a:ext>
          </a:extLst>
        </xdr:cNvPr>
        <xdr:cNvSpPr/>
      </xdr:nvSpPr>
      <xdr:spPr>
        <a:xfrm>
          <a:off x="5295900" y="5853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477</xdr:row>
      <xdr:rowOff>0</xdr:rowOff>
    </xdr:from>
    <xdr:to>
      <xdr:col>14</xdr:col>
      <xdr:colOff>83820</xdr:colOff>
      <xdr:row>477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F08E7E4A-27A0-4A95-B2A2-85DCAFB576EF}"/>
            </a:ext>
          </a:extLst>
        </xdr:cNvPr>
        <xdr:cNvSpPr/>
      </xdr:nvSpPr>
      <xdr:spPr>
        <a:xfrm>
          <a:off x="5295900" y="5890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480</xdr:row>
      <xdr:rowOff>0</xdr:rowOff>
    </xdr:from>
    <xdr:to>
      <xdr:col>14</xdr:col>
      <xdr:colOff>83820</xdr:colOff>
      <xdr:row>480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96A0275C-4532-4252-B260-D104FDBD5EF9}"/>
            </a:ext>
          </a:extLst>
        </xdr:cNvPr>
        <xdr:cNvSpPr/>
      </xdr:nvSpPr>
      <xdr:spPr>
        <a:xfrm>
          <a:off x="5295900" y="5945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481</xdr:row>
      <xdr:rowOff>0</xdr:rowOff>
    </xdr:from>
    <xdr:to>
      <xdr:col>14</xdr:col>
      <xdr:colOff>83820</xdr:colOff>
      <xdr:row>481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CEDB7D0C-B77A-4C6C-A1AE-E005B46F124E}"/>
            </a:ext>
          </a:extLst>
        </xdr:cNvPr>
        <xdr:cNvSpPr/>
      </xdr:nvSpPr>
      <xdr:spPr>
        <a:xfrm>
          <a:off x="5295900" y="5963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479</xdr:row>
      <xdr:rowOff>0</xdr:rowOff>
    </xdr:from>
    <xdr:to>
      <xdr:col>14</xdr:col>
      <xdr:colOff>83820</xdr:colOff>
      <xdr:row>479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1D17D828-51A4-4AAA-9D8C-236B691667D0}"/>
            </a:ext>
          </a:extLst>
        </xdr:cNvPr>
        <xdr:cNvSpPr/>
      </xdr:nvSpPr>
      <xdr:spPr>
        <a:xfrm rot="10800000">
          <a:off x="5295900" y="5945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476</xdr:row>
      <xdr:rowOff>0</xdr:rowOff>
    </xdr:from>
    <xdr:to>
      <xdr:col>14</xdr:col>
      <xdr:colOff>83820</xdr:colOff>
      <xdr:row>476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ABED47C8-DE19-400D-827E-E7915F9A2D4E}"/>
            </a:ext>
          </a:extLst>
        </xdr:cNvPr>
        <xdr:cNvSpPr/>
      </xdr:nvSpPr>
      <xdr:spPr>
        <a:xfrm rot="10800000">
          <a:off x="5295900" y="5890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478</xdr:row>
      <xdr:rowOff>0</xdr:rowOff>
    </xdr:from>
    <xdr:to>
      <xdr:col>14</xdr:col>
      <xdr:colOff>83820</xdr:colOff>
      <xdr:row>478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DAB15983-5FE0-4907-B3A1-8A28B91E5814}"/>
            </a:ext>
          </a:extLst>
        </xdr:cNvPr>
        <xdr:cNvSpPr/>
      </xdr:nvSpPr>
      <xdr:spPr>
        <a:xfrm rot="10800000">
          <a:off x="5295900" y="5926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482</xdr:row>
      <xdr:rowOff>0</xdr:rowOff>
    </xdr:from>
    <xdr:to>
      <xdr:col>14</xdr:col>
      <xdr:colOff>83820</xdr:colOff>
      <xdr:row>482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8A0483C-62FC-4815-A036-B489DDBEC88C}"/>
            </a:ext>
          </a:extLst>
        </xdr:cNvPr>
        <xdr:cNvSpPr/>
      </xdr:nvSpPr>
      <xdr:spPr>
        <a:xfrm>
          <a:off x="5295900" y="5981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487</xdr:row>
      <xdr:rowOff>0</xdr:rowOff>
    </xdr:from>
    <xdr:to>
      <xdr:col>14</xdr:col>
      <xdr:colOff>83820</xdr:colOff>
      <xdr:row>487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83D3214E-9978-4665-842A-5E0440A30541}"/>
            </a:ext>
          </a:extLst>
        </xdr:cNvPr>
        <xdr:cNvSpPr/>
      </xdr:nvSpPr>
      <xdr:spPr>
        <a:xfrm>
          <a:off x="5295900" y="6073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488</xdr:row>
      <xdr:rowOff>0</xdr:rowOff>
    </xdr:from>
    <xdr:to>
      <xdr:col>14</xdr:col>
      <xdr:colOff>83820</xdr:colOff>
      <xdr:row>488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1C5375A4-02A5-4382-B3C6-6A9C7A1D85CA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483</xdr:row>
      <xdr:rowOff>0</xdr:rowOff>
    </xdr:from>
    <xdr:to>
      <xdr:col>14</xdr:col>
      <xdr:colOff>83820</xdr:colOff>
      <xdr:row>483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1DFC3D1E-08A1-4922-90B7-1117DC6C022E}"/>
            </a:ext>
          </a:extLst>
        </xdr:cNvPr>
        <xdr:cNvSpPr/>
      </xdr:nvSpPr>
      <xdr:spPr>
        <a:xfrm rot="10800000">
          <a:off x="5295900" y="6018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486</xdr:row>
      <xdr:rowOff>0</xdr:rowOff>
    </xdr:from>
    <xdr:to>
      <xdr:col>14</xdr:col>
      <xdr:colOff>83820</xdr:colOff>
      <xdr:row>486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9573719-F348-466B-9CA3-4E425059BACD}"/>
            </a:ext>
          </a:extLst>
        </xdr:cNvPr>
        <xdr:cNvSpPr/>
      </xdr:nvSpPr>
      <xdr:spPr>
        <a:xfrm rot="10800000">
          <a:off x="5295900" y="6073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484</xdr:row>
      <xdr:rowOff>0</xdr:rowOff>
    </xdr:from>
    <xdr:to>
      <xdr:col>14</xdr:col>
      <xdr:colOff>83820</xdr:colOff>
      <xdr:row>484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CEED08F-6898-476F-8841-FF21EB6B4403}"/>
            </a:ext>
          </a:extLst>
        </xdr:cNvPr>
        <xdr:cNvSpPr/>
      </xdr:nvSpPr>
      <xdr:spPr>
        <a:xfrm rot="10800000">
          <a:off x="5295900" y="6036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485</xdr:row>
      <xdr:rowOff>0</xdr:rowOff>
    </xdr:from>
    <xdr:to>
      <xdr:col>14</xdr:col>
      <xdr:colOff>83820</xdr:colOff>
      <xdr:row>485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4AC88682-C6B1-4DBA-A247-C7CDA56A1B73}"/>
            </a:ext>
          </a:extLst>
        </xdr:cNvPr>
        <xdr:cNvSpPr/>
      </xdr:nvSpPr>
      <xdr:spPr>
        <a:xfrm rot="10800000">
          <a:off x="5295900" y="6054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489</xdr:row>
      <xdr:rowOff>0</xdr:rowOff>
    </xdr:from>
    <xdr:to>
      <xdr:col>14</xdr:col>
      <xdr:colOff>83820</xdr:colOff>
      <xdr:row>489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245F0D9-B689-481E-BF2E-06B1491FB418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493</xdr:row>
      <xdr:rowOff>0</xdr:rowOff>
    </xdr:from>
    <xdr:to>
      <xdr:col>14</xdr:col>
      <xdr:colOff>83820</xdr:colOff>
      <xdr:row>493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ED60972-1C78-4FF4-B2C1-D24E199009E9}"/>
            </a:ext>
          </a:extLst>
        </xdr:cNvPr>
        <xdr:cNvSpPr/>
      </xdr:nvSpPr>
      <xdr:spPr>
        <a:xfrm>
          <a:off x="5295900" y="61828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495</xdr:row>
      <xdr:rowOff>0</xdr:rowOff>
    </xdr:from>
    <xdr:to>
      <xdr:col>14</xdr:col>
      <xdr:colOff>83820</xdr:colOff>
      <xdr:row>495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78279D9F-9688-452A-B850-3734E1372F2B}"/>
            </a:ext>
          </a:extLst>
        </xdr:cNvPr>
        <xdr:cNvSpPr/>
      </xdr:nvSpPr>
      <xdr:spPr>
        <a:xfrm>
          <a:off x="5295900" y="6219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494</xdr:row>
      <xdr:rowOff>0</xdr:rowOff>
    </xdr:from>
    <xdr:to>
      <xdr:col>14</xdr:col>
      <xdr:colOff>83820</xdr:colOff>
      <xdr:row>494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466899-1945-4A25-858D-F8D4D562A6A6}"/>
            </a:ext>
          </a:extLst>
        </xdr:cNvPr>
        <xdr:cNvSpPr/>
      </xdr:nvSpPr>
      <xdr:spPr>
        <a:xfrm rot="10800000">
          <a:off x="5295900" y="6219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490</xdr:row>
      <xdr:rowOff>0</xdr:rowOff>
    </xdr:from>
    <xdr:to>
      <xdr:col>14</xdr:col>
      <xdr:colOff>83820</xdr:colOff>
      <xdr:row>490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C4C2BE3B-F416-4A4D-B483-FDFE4045719F}"/>
            </a:ext>
          </a:extLst>
        </xdr:cNvPr>
        <xdr:cNvSpPr/>
      </xdr:nvSpPr>
      <xdr:spPr>
        <a:xfrm rot="10800000">
          <a:off x="5295900" y="6146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491</xdr:row>
      <xdr:rowOff>0</xdr:rowOff>
    </xdr:from>
    <xdr:to>
      <xdr:col>14</xdr:col>
      <xdr:colOff>83820</xdr:colOff>
      <xdr:row>491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27ECBCDA-BB51-4779-86E4-384DCC011ED8}"/>
            </a:ext>
          </a:extLst>
        </xdr:cNvPr>
        <xdr:cNvSpPr/>
      </xdr:nvSpPr>
      <xdr:spPr>
        <a:xfrm rot="10800000">
          <a:off x="5295900" y="6164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492</xdr:row>
      <xdr:rowOff>0</xdr:rowOff>
    </xdr:from>
    <xdr:to>
      <xdr:col>14</xdr:col>
      <xdr:colOff>83820</xdr:colOff>
      <xdr:row>492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4BCACAA-E003-45D1-907A-70AD85FB8011}"/>
            </a:ext>
          </a:extLst>
        </xdr:cNvPr>
        <xdr:cNvSpPr/>
      </xdr:nvSpPr>
      <xdr:spPr>
        <a:xfrm rot="10800000">
          <a:off x="5295900" y="6182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501</xdr:row>
      <xdr:rowOff>0</xdr:rowOff>
    </xdr:from>
    <xdr:to>
      <xdr:col>14</xdr:col>
      <xdr:colOff>83820</xdr:colOff>
      <xdr:row>501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06AECD08-3019-4EE3-A611-3E256F778477}"/>
            </a:ext>
          </a:extLst>
        </xdr:cNvPr>
        <xdr:cNvSpPr/>
      </xdr:nvSpPr>
      <xdr:spPr>
        <a:xfrm>
          <a:off x="5295900" y="6329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502</xdr:row>
      <xdr:rowOff>0</xdr:rowOff>
    </xdr:from>
    <xdr:to>
      <xdr:col>14</xdr:col>
      <xdr:colOff>83820</xdr:colOff>
      <xdr:row>502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9FAE4259-61D4-4AB4-B0DA-F74441A36828}"/>
            </a:ext>
          </a:extLst>
        </xdr:cNvPr>
        <xdr:cNvSpPr/>
      </xdr:nvSpPr>
      <xdr:spPr>
        <a:xfrm>
          <a:off x="5295900" y="6347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496</xdr:row>
      <xdr:rowOff>0</xdr:rowOff>
    </xdr:from>
    <xdr:to>
      <xdr:col>14</xdr:col>
      <xdr:colOff>83820</xdr:colOff>
      <xdr:row>496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F980A036-A5D2-4EF7-80B4-FB643B3C28C5}"/>
            </a:ext>
          </a:extLst>
        </xdr:cNvPr>
        <xdr:cNvSpPr/>
      </xdr:nvSpPr>
      <xdr:spPr>
        <a:xfrm rot="10800000">
          <a:off x="5295900" y="6256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500</xdr:row>
      <xdr:rowOff>0</xdr:rowOff>
    </xdr:from>
    <xdr:to>
      <xdr:col>14</xdr:col>
      <xdr:colOff>83820</xdr:colOff>
      <xdr:row>500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6BFB05A5-8659-492E-A489-30B32A2B0C00}"/>
            </a:ext>
          </a:extLst>
        </xdr:cNvPr>
        <xdr:cNvSpPr/>
      </xdr:nvSpPr>
      <xdr:spPr>
        <a:xfrm rot="10800000">
          <a:off x="5295900" y="6329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497</xdr:row>
      <xdr:rowOff>0</xdr:rowOff>
    </xdr:from>
    <xdr:to>
      <xdr:col>14</xdr:col>
      <xdr:colOff>83820</xdr:colOff>
      <xdr:row>497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7CB70AB7-077B-4AE1-99B9-5649E5C6A84D}"/>
            </a:ext>
          </a:extLst>
        </xdr:cNvPr>
        <xdr:cNvSpPr/>
      </xdr:nvSpPr>
      <xdr:spPr>
        <a:xfrm rot="10800000">
          <a:off x="5295900" y="6274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498</xdr:row>
      <xdr:rowOff>0</xdr:rowOff>
    </xdr:from>
    <xdr:to>
      <xdr:col>14</xdr:col>
      <xdr:colOff>83820</xdr:colOff>
      <xdr:row>498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C0751631-F78E-46BD-A09E-87B26B970589}"/>
            </a:ext>
          </a:extLst>
        </xdr:cNvPr>
        <xdr:cNvSpPr/>
      </xdr:nvSpPr>
      <xdr:spPr>
        <a:xfrm rot="10800000">
          <a:off x="5295900" y="6292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499</xdr:row>
      <xdr:rowOff>0</xdr:rowOff>
    </xdr:from>
    <xdr:to>
      <xdr:col>14</xdr:col>
      <xdr:colOff>83820</xdr:colOff>
      <xdr:row>499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E4163A4D-53C2-41E7-9D15-589A96C10ADB}"/>
            </a:ext>
          </a:extLst>
        </xdr:cNvPr>
        <xdr:cNvSpPr/>
      </xdr:nvSpPr>
      <xdr:spPr>
        <a:xfrm rot="10800000">
          <a:off x="5295900" y="6310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503</xdr:row>
      <xdr:rowOff>0</xdr:rowOff>
    </xdr:from>
    <xdr:to>
      <xdr:col>14</xdr:col>
      <xdr:colOff>83820</xdr:colOff>
      <xdr:row>503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E5B5B281-F5FE-4DE2-B5B1-86333365E166}"/>
            </a:ext>
          </a:extLst>
        </xdr:cNvPr>
        <xdr:cNvSpPr/>
      </xdr:nvSpPr>
      <xdr:spPr>
        <a:xfrm rot="10800000">
          <a:off x="5295900" y="6384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505</xdr:row>
      <xdr:rowOff>0</xdr:rowOff>
    </xdr:from>
    <xdr:to>
      <xdr:col>14</xdr:col>
      <xdr:colOff>83820</xdr:colOff>
      <xdr:row>505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F16462A8-A2A1-4893-A204-3529C028017E}"/>
            </a:ext>
          </a:extLst>
        </xdr:cNvPr>
        <xdr:cNvSpPr/>
      </xdr:nvSpPr>
      <xdr:spPr>
        <a:xfrm rot="10800000">
          <a:off x="5295900" y="6402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506</xdr:row>
      <xdr:rowOff>0</xdr:rowOff>
    </xdr:from>
    <xdr:to>
      <xdr:col>14</xdr:col>
      <xdr:colOff>83820</xdr:colOff>
      <xdr:row>506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60A1668-1044-403E-8683-30675E9D620C}"/>
            </a:ext>
          </a:extLst>
        </xdr:cNvPr>
        <xdr:cNvSpPr/>
      </xdr:nvSpPr>
      <xdr:spPr>
        <a:xfrm rot="10800000">
          <a:off x="5295900" y="6420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507</xdr:row>
      <xdr:rowOff>0</xdr:rowOff>
    </xdr:from>
    <xdr:to>
      <xdr:col>14</xdr:col>
      <xdr:colOff>83820</xdr:colOff>
      <xdr:row>507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84BFB3F9-9D5E-4056-9196-C78442BDB45B}"/>
            </a:ext>
          </a:extLst>
        </xdr:cNvPr>
        <xdr:cNvSpPr/>
      </xdr:nvSpPr>
      <xdr:spPr>
        <a:xfrm rot="10800000">
          <a:off x="5295900" y="6438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508</xdr:row>
      <xdr:rowOff>0</xdr:rowOff>
    </xdr:from>
    <xdr:to>
      <xdr:col>14</xdr:col>
      <xdr:colOff>83820</xdr:colOff>
      <xdr:row>508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51A46384-4B58-4477-830C-5A419D53B4A3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504</xdr:row>
      <xdr:rowOff>0</xdr:rowOff>
    </xdr:from>
    <xdr:to>
      <xdr:col>14</xdr:col>
      <xdr:colOff>83820</xdr:colOff>
      <xdr:row>504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CB20906C-F26A-4AC8-ABDD-7CB9D2493A4D}"/>
            </a:ext>
          </a:extLst>
        </xdr:cNvPr>
        <xdr:cNvSpPr/>
      </xdr:nvSpPr>
      <xdr:spPr>
        <a:xfrm>
          <a:off x="5295900" y="6402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509</xdr:row>
      <xdr:rowOff>0</xdr:rowOff>
    </xdr:from>
    <xdr:to>
      <xdr:col>14</xdr:col>
      <xdr:colOff>83820</xdr:colOff>
      <xdr:row>509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FD2623D-0967-4460-933D-BD2A0594752C}"/>
            </a:ext>
          </a:extLst>
        </xdr:cNvPr>
        <xdr:cNvSpPr/>
      </xdr:nvSpPr>
      <xdr:spPr>
        <a:xfrm>
          <a:off x="5295900" y="6493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422</xdr:row>
      <xdr:rowOff>0</xdr:rowOff>
    </xdr:from>
    <xdr:to>
      <xdr:col>28</xdr:col>
      <xdr:colOff>83820</xdr:colOff>
      <xdr:row>422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54148B21-C1ED-47DE-A052-401ED0CD37D7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423</xdr:row>
      <xdr:rowOff>0</xdr:rowOff>
    </xdr:from>
    <xdr:to>
      <xdr:col>28</xdr:col>
      <xdr:colOff>83820</xdr:colOff>
      <xdr:row>423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89459B51-6187-4A63-A867-A36B1F84C283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424</xdr:row>
      <xdr:rowOff>0</xdr:rowOff>
    </xdr:from>
    <xdr:to>
      <xdr:col>28</xdr:col>
      <xdr:colOff>83820</xdr:colOff>
      <xdr:row>424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096807A2-747C-4169-8960-5A2142625359}"/>
            </a:ext>
          </a:extLst>
        </xdr:cNvPr>
        <xdr:cNvSpPr/>
      </xdr:nvSpPr>
      <xdr:spPr>
        <a:xfrm rot="10800000">
          <a:off x="11803380" y="6182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425</xdr:row>
      <xdr:rowOff>0</xdr:rowOff>
    </xdr:from>
    <xdr:to>
      <xdr:col>28</xdr:col>
      <xdr:colOff>83820</xdr:colOff>
      <xdr:row>425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2320B268-022F-4465-9F66-3D44282BBED4}"/>
            </a:ext>
          </a:extLst>
        </xdr:cNvPr>
        <xdr:cNvSpPr/>
      </xdr:nvSpPr>
      <xdr:spPr>
        <a:xfrm rot="10800000">
          <a:off x="11803380" y="6200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426</xdr:row>
      <xdr:rowOff>0</xdr:rowOff>
    </xdr:from>
    <xdr:to>
      <xdr:col>28</xdr:col>
      <xdr:colOff>83820</xdr:colOff>
      <xdr:row>426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79BFACF1-9056-469D-87C2-1CB437397F1A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427</xdr:row>
      <xdr:rowOff>0</xdr:rowOff>
    </xdr:from>
    <xdr:to>
      <xdr:col>28</xdr:col>
      <xdr:colOff>83820</xdr:colOff>
      <xdr:row>427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13A51389-4BCB-4C03-A74B-7BFB4E5EC6E8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429</xdr:row>
      <xdr:rowOff>0</xdr:rowOff>
    </xdr:from>
    <xdr:to>
      <xdr:col>28</xdr:col>
      <xdr:colOff>83820</xdr:colOff>
      <xdr:row>429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8C04641B-50EB-4545-A63E-642D5514CDA9}"/>
            </a:ext>
          </a:extLst>
        </xdr:cNvPr>
        <xdr:cNvSpPr/>
      </xdr:nvSpPr>
      <xdr:spPr>
        <a:xfrm rot="10800000">
          <a:off x="11803380" y="6291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430</xdr:row>
      <xdr:rowOff>0</xdr:rowOff>
    </xdr:from>
    <xdr:to>
      <xdr:col>28</xdr:col>
      <xdr:colOff>83820</xdr:colOff>
      <xdr:row>430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99DE3C49-9C76-465B-B464-633411A7538A}"/>
            </a:ext>
          </a:extLst>
        </xdr:cNvPr>
        <xdr:cNvSpPr/>
      </xdr:nvSpPr>
      <xdr:spPr>
        <a:xfrm>
          <a:off x="11803380" y="6310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428</xdr:row>
      <xdr:rowOff>0</xdr:rowOff>
    </xdr:from>
    <xdr:to>
      <xdr:col>28</xdr:col>
      <xdr:colOff>83820</xdr:colOff>
      <xdr:row>428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D1B043D2-AF48-42F2-AB21-73FEC750E892}"/>
            </a:ext>
          </a:extLst>
        </xdr:cNvPr>
        <xdr:cNvSpPr/>
      </xdr:nvSpPr>
      <xdr:spPr>
        <a:xfrm>
          <a:off x="11803380" y="6273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431</xdr:row>
      <xdr:rowOff>0</xdr:rowOff>
    </xdr:from>
    <xdr:to>
      <xdr:col>28</xdr:col>
      <xdr:colOff>83820</xdr:colOff>
      <xdr:row>431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126C2466-3492-40AF-8ABA-203582021066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432</xdr:row>
      <xdr:rowOff>0</xdr:rowOff>
    </xdr:from>
    <xdr:to>
      <xdr:col>28</xdr:col>
      <xdr:colOff>83820</xdr:colOff>
      <xdr:row>432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42BB30C4-4E22-4B8C-B54D-7E154244696E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433</xdr:row>
      <xdr:rowOff>0</xdr:rowOff>
    </xdr:from>
    <xdr:to>
      <xdr:col>28</xdr:col>
      <xdr:colOff>83820</xdr:colOff>
      <xdr:row>433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41C12659-6EC3-4EBA-B106-B471FE3F750B}"/>
            </a:ext>
          </a:extLst>
        </xdr:cNvPr>
        <xdr:cNvSpPr/>
      </xdr:nvSpPr>
      <xdr:spPr>
        <a:xfrm rot="10800000">
          <a:off x="11803380" y="63466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434</xdr:row>
      <xdr:rowOff>0</xdr:rowOff>
    </xdr:from>
    <xdr:to>
      <xdr:col>28</xdr:col>
      <xdr:colOff>83820</xdr:colOff>
      <xdr:row>434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DAA8512C-4888-4439-B363-11502733270B}"/>
            </a:ext>
          </a:extLst>
        </xdr:cNvPr>
        <xdr:cNvSpPr/>
      </xdr:nvSpPr>
      <xdr:spPr>
        <a:xfrm rot="10800000">
          <a:off x="11803380" y="6364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435</xdr:row>
      <xdr:rowOff>0</xdr:rowOff>
    </xdr:from>
    <xdr:to>
      <xdr:col>28</xdr:col>
      <xdr:colOff>83820</xdr:colOff>
      <xdr:row>435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CB1BD0F-8F56-45F6-80F9-4CCBD7953CD0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436</xdr:row>
      <xdr:rowOff>0</xdr:rowOff>
    </xdr:from>
    <xdr:to>
      <xdr:col>28</xdr:col>
      <xdr:colOff>83820</xdr:colOff>
      <xdr:row>436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8E38D8D8-0D9A-45E3-87D8-638C00E020AD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437</xdr:row>
      <xdr:rowOff>0</xdr:rowOff>
    </xdr:from>
    <xdr:to>
      <xdr:col>28</xdr:col>
      <xdr:colOff>83820</xdr:colOff>
      <xdr:row>437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8ECD7734-600C-4F75-9C51-97D5B99F9D89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438</xdr:row>
      <xdr:rowOff>0</xdr:rowOff>
    </xdr:from>
    <xdr:to>
      <xdr:col>28</xdr:col>
      <xdr:colOff>83820</xdr:colOff>
      <xdr:row>438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13AAA2C9-D1D6-4B1D-8CF8-4B161AD1ABE3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439</xdr:row>
      <xdr:rowOff>0</xdr:rowOff>
    </xdr:from>
    <xdr:to>
      <xdr:col>28</xdr:col>
      <xdr:colOff>83820</xdr:colOff>
      <xdr:row>439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D9E704C1-5C1A-4579-9047-0ECDDF945A7C}"/>
            </a:ext>
          </a:extLst>
        </xdr:cNvPr>
        <xdr:cNvSpPr/>
      </xdr:nvSpPr>
      <xdr:spPr>
        <a:xfrm rot="10800000">
          <a:off x="11803380" y="6456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440</xdr:row>
      <xdr:rowOff>0</xdr:rowOff>
    </xdr:from>
    <xdr:to>
      <xdr:col>28</xdr:col>
      <xdr:colOff>83820</xdr:colOff>
      <xdr:row>440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C7FDEF35-F6FA-455E-B806-2910C10BFFED}"/>
            </a:ext>
          </a:extLst>
        </xdr:cNvPr>
        <xdr:cNvSpPr/>
      </xdr:nvSpPr>
      <xdr:spPr>
        <a:xfrm rot="10800000">
          <a:off x="11803380" y="6474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441</xdr:row>
      <xdr:rowOff>0</xdr:rowOff>
    </xdr:from>
    <xdr:to>
      <xdr:col>28</xdr:col>
      <xdr:colOff>83820</xdr:colOff>
      <xdr:row>441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EA05B7A0-D018-43BE-B6EA-8ACBE0564338}"/>
            </a:ext>
          </a:extLst>
        </xdr:cNvPr>
        <xdr:cNvSpPr/>
      </xdr:nvSpPr>
      <xdr:spPr>
        <a:xfrm rot="10800000">
          <a:off x="11803380" y="64930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442</xdr:row>
      <xdr:rowOff>0</xdr:rowOff>
    </xdr:from>
    <xdr:to>
      <xdr:col>28</xdr:col>
      <xdr:colOff>83820</xdr:colOff>
      <xdr:row>442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036F6D1E-64C7-4FD9-8977-20533633121E}"/>
            </a:ext>
          </a:extLst>
        </xdr:cNvPr>
        <xdr:cNvSpPr/>
      </xdr:nvSpPr>
      <xdr:spPr>
        <a:xfrm rot="10800000">
          <a:off x="11803380" y="6511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443</xdr:row>
      <xdr:rowOff>0</xdr:rowOff>
    </xdr:from>
    <xdr:to>
      <xdr:col>28</xdr:col>
      <xdr:colOff>83820</xdr:colOff>
      <xdr:row>443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CF55C70D-71DD-4C01-8DB2-7D0B96317475}"/>
            </a:ext>
          </a:extLst>
        </xdr:cNvPr>
        <xdr:cNvSpPr/>
      </xdr:nvSpPr>
      <xdr:spPr>
        <a:xfrm rot="10800000">
          <a:off x="11803380" y="65295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444</xdr:row>
      <xdr:rowOff>0</xdr:rowOff>
    </xdr:from>
    <xdr:to>
      <xdr:col>28</xdr:col>
      <xdr:colOff>83820</xdr:colOff>
      <xdr:row>444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E15170B8-73F4-41A2-A276-D6608F41682B}"/>
            </a:ext>
          </a:extLst>
        </xdr:cNvPr>
        <xdr:cNvSpPr/>
      </xdr:nvSpPr>
      <xdr:spPr>
        <a:xfrm rot="10800000">
          <a:off x="11803380" y="65478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445</xdr:row>
      <xdr:rowOff>0</xdr:rowOff>
    </xdr:from>
    <xdr:to>
      <xdr:col>28</xdr:col>
      <xdr:colOff>83820</xdr:colOff>
      <xdr:row>445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8D4158D0-219E-4385-9A52-89737E679B20}"/>
            </a:ext>
          </a:extLst>
        </xdr:cNvPr>
        <xdr:cNvSpPr/>
      </xdr:nvSpPr>
      <xdr:spPr>
        <a:xfrm rot="10800000">
          <a:off x="11803380" y="65661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446</xdr:row>
      <xdr:rowOff>0</xdr:rowOff>
    </xdr:from>
    <xdr:to>
      <xdr:col>28</xdr:col>
      <xdr:colOff>83820</xdr:colOff>
      <xdr:row>446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903DE260-17AB-4858-82DF-2AA3021A3CF6}"/>
            </a:ext>
          </a:extLst>
        </xdr:cNvPr>
        <xdr:cNvSpPr/>
      </xdr:nvSpPr>
      <xdr:spPr>
        <a:xfrm rot="10800000">
          <a:off x="11803380" y="6584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447</xdr:row>
      <xdr:rowOff>0</xdr:rowOff>
    </xdr:from>
    <xdr:to>
      <xdr:col>28</xdr:col>
      <xdr:colOff>83820</xdr:colOff>
      <xdr:row>447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317D80D1-7D28-43B4-8C74-E8A7AF021C2A}"/>
            </a:ext>
          </a:extLst>
        </xdr:cNvPr>
        <xdr:cNvSpPr/>
      </xdr:nvSpPr>
      <xdr:spPr>
        <a:xfrm rot="10800000">
          <a:off x="11803380" y="6602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448</xdr:row>
      <xdr:rowOff>0</xdr:rowOff>
    </xdr:from>
    <xdr:to>
      <xdr:col>28</xdr:col>
      <xdr:colOff>83820</xdr:colOff>
      <xdr:row>448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7BBF1FDB-8681-48DC-AA10-69C30A68DE3A}"/>
            </a:ext>
          </a:extLst>
        </xdr:cNvPr>
        <xdr:cNvSpPr/>
      </xdr:nvSpPr>
      <xdr:spPr>
        <a:xfrm>
          <a:off x="11803380" y="6639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449</xdr:row>
      <xdr:rowOff>0</xdr:rowOff>
    </xdr:from>
    <xdr:to>
      <xdr:col>28</xdr:col>
      <xdr:colOff>83820</xdr:colOff>
      <xdr:row>449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F542ACD0-9FA5-4E56-9C6A-8AB41B859D25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450</xdr:row>
      <xdr:rowOff>0</xdr:rowOff>
    </xdr:from>
    <xdr:to>
      <xdr:col>28</xdr:col>
      <xdr:colOff>83820</xdr:colOff>
      <xdr:row>450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1712D9BF-F938-4626-B1C6-700C2145A292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451</xdr:row>
      <xdr:rowOff>0</xdr:rowOff>
    </xdr:from>
    <xdr:to>
      <xdr:col>28</xdr:col>
      <xdr:colOff>83820</xdr:colOff>
      <xdr:row>451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1F92FE58-7947-4867-8E64-E7BB29BBE7A4}"/>
            </a:ext>
          </a:extLst>
        </xdr:cNvPr>
        <xdr:cNvSpPr/>
      </xdr:nvSpPr>
      <xdr:spPr>
        <a:xfrm rot="10800000">
          <a:off x="11803380" y="66758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452</xdr:row>
      <xdr:rowOff>0</xdr:rowOff>
    </xdr:from>
    <xdr:to>
      <xdr:col>28</xdr:col>
      <xdr:colOff>83820</xdr:colOff>
      <xdr:row>452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1BD26300-EA48-4BF0-9CAA-68DBDEF4F79D}"/>
            </a:ext>
          </a:extLst>
        </xdr:cNvPr>
        <xdr:cNvSpPr/>
      </xdr:nvSpPr>
      <xdr:spPr>
        <a:xfrm rot="10800000">
          <a:off x="11803380" y="66941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453</xdr:row>
      <xdr:rowOff>0</xdr:rowOff>
    </xdr:from>
    <xdr:to>
      <xdr:col>28</xdr:col>
      <xdr:colOff>83820</xdr:colOff>
      <xdr:row>453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B9005C7F-5CFB-45F3-BA2E-F263AA869257}"/>
            </a:ext>
          </a:extLst>
        </xdr:cNvPr>
        <xdr:cNvSpPr/>
      </xdr:nvSpPr>
      <xdr:spPr>
        <a:xfrm rot="10800000">
          <a:off x="11803380" y="6712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454</xdr:row>
      <xdr:rowOff>0</xdr:rowOff>
    </xdr:from>
    <xdr:to>
      <xdr:col>28</xdr:col>
      <xdr:colOff>83820</xdr:colOff>
      <xdr:row>454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F6E693C5-DD07-40B0-A5DE-7E944BFC8034}"/>
            </a:ext>
          </a:extLst>
        </xdr:cNvPr>
        <xdr:cNvSpPr/>
      </xdr:nvSpPr>
      <xdr:spPr>
        <a:xfrm rot="10800000">
          <a:off x="11803380" y="67307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455</xdr:row>
      <xdr:rowOff>0</xdr:rowOff>
    </xdr:from>
    <xdr:to>
      <xdr:col>28</xdr:col>
      <xdr:colOff>83820</xdr:colOff>
      <xdr:row>455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2425F973-453E-4BD0-8583-49C7EBBD399A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456</xdr:row>
      <xdr:rowOff>0</xdr:rowOff>
    </xdr:from>
    <xdr:to>
      <xdr:col>28</xdr:col>
      <xdr:colOff>83820</xdr:colOff>
      <xdr:row>456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5803ED72-9F49-4AE2-9571-45A7AE898DD1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457</xdr:row>
      <xdr:rowOff>0</xdr:rowOff>
    </xdr:from>
    <xdr:to>
      <xdr:col>28</xdr:col>
      <xdr:colOff>83820</xdr:colOff>
      <xdr:row>457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D5DB9453-CB73-4583-88D6-D7F30CE5ACE3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458</xdr:row>
      <xdr:rowOff>0</xdr:rowOff>
    </xdr:from>
    <xdr:to>
      <xdr:col>28</xdr:col>
      <xdr:colOff>83820</xdr:colOff>
      <xdr:row>458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9F14A4EA-2B76-4EA0-8E12-1A90BF4FB361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459</xdr:row>
      <xdr:rowOff>0</xdr:rowOff>
    </xdr:from>
    <xdr:to>
      <xdr:col>28</xdr:col>
      <xdr:colOff>83820</xdr:colOff>
      <xdr:row>459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58A4DC36-A44D-45CC-8428-1A2BF38A192A}"/>
            </a:ext>
          </a:extLst>
        </xdr:cNvPr>
        <xdr:cNvSpPr/>
      </xdr:nvSpPr>
      <xdr:spPr>
        <a:xfrm rot="10800000">
          <a:off x="11803380" y="68221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460</xdr:row>
      <xdr:rowOff>0</xdr:rowOff>
    </xdr:from>
    <xdr:to>
      <xdr:col>28</xdr:col>
      <xdr:colOff>83820</xdr:colOff>
      <xdr:row>460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F63A749D-DA54-4E7D-9BE4-715F6D6D00E5}"/>
            </a:ext>
          </a:extLst>
        </xdr:cNvPr>
        <xdr:cNvSpPr/>
      </xdr:nvSpPr>
      <xdr:spPr>
        <a:xfrm rot="10800000">
          <a:off x="11803380" y="6840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461</xdr:row>
      <xdr:rowOff>0</xdr:rowOff>
    </xdr:from>
    <xdr:to>
      <xdr:col>28</xdr:col>
      <xdr:colOff>83820</xdr:colOff>
      <xdr:row>461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96A8284A-F1A3-4713-97D6-B1C3B66C094F}"/>
            </a:ext>
          </a:extLst>
        </xdr:cNvPr>
        <xdr:cNvSpPr/>
      </xdr:nvSpPr>
      <xdr:spPr>
        <a:xfrm rot="10800000">
          <a:off x="11803380" y="68587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462</xdr:row>
      <xdr:rowOff>0</xdr:rowOff>
    </xdr:from>
    <xdr:to>
      <xdr:col>28</xdr:col>
      <xdr:colOff>83820</xdr:colOff>
      <xdr:row>462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FFCC91F8-D871-402E-ADF3-4754A67F47DB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463</xdr:row>
      <xdr:rowOff>0</xdr:rowOff>
    </xdr:from>
    <xdr:to>
      <xdr:col>28</xdr:col>
      <xdr:colOff>83820</xdr:colOff>
      <xdr:row>463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5DEE751F-DDAA-4B95-B853-F77C5392B21A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660"/>
  <sheetViews>
    <sheetView tabSelected="1" topLeftCell="AA612" zoomScaleNormal="100" workbookViewId="0">
      <selection activeCell="BE630" sqref="BE630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2.6640625" customWidth="1"/>
    <col min="56" max="56" width="1.33203125" customWidth="1"/>
    <col min="57" max="57" width="12.21875" customWidth="1"/>
    <col min="58" max="58" width="1.109375" customWidth="1"/>
    <col min="59" max="59" width="12.218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09" t="s">
        <v>5</v>
      </c>
      <c r="C1" s="609"/>
      <c r="D1" s="609"/>
    </row>
    <row r="2" spans="2:90" ht="15.6" x14ac:dyDescent="0.3">
      <c r="B2" s="609" t="s">
        <v>6</v>
      </c>
      <c r="C2" s="609"/>
      <c r="D2" s="609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12" t="s">
        <v>13</v>
      </c>
      <c r="C3" s="612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10" t="s">
        <v>11</v>
      </c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11"/>
      <c r="AE4" s="282"/>
      <c r="AF4" s="404"/>
      <c r="AG4" s="404"/>
      <c r="AH4" s="404"/>
      <c r="AI4" s="404"/>
      <c r="AJ4" s="12"/>
      <c r="AL4" s="593" t="s">
        <v>14</v>
      </c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594"/>
      <c r="BN4" s="594"/>
      <c r="BO4" s="594"/>
      <c r="BP4" s="594"/>
      <c r="BQ4" s="594"/>
      <c r="BR4" s="594"/>
      <c r="BS4" s="594"/>
      <c r="BT4" s="594"/>
      <c r="BU4" s="595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613" t="s">
        <v>12</v>
      </c>
      <c r="G6" s="613"/>
      <c r="H6" s="613"/>
      <c r="I6" s="613"/>
      <c r="J6" s="613"/>
      <c r="K6" s="613"/>
      <c r="L6" s="613"/>
      <c r="M6" s="292"/>
      <c r="N6" s="499"/>
      <c r="O6" s="292"/>
      <c r="P6" s="293"/>
      <c r="Q6" s="619" t="s">
        <v>111</v>
      </c>
      <c r="R6" s="613"/>
      <c r="S6" s="613"/>
      <c r="T6" s="613"/>
      <c r="U6" s="620"/>
      <c r="V6" s="3"/>
      <c r="W6" s="8" t="s">
        <v>7</v>
      </c>
      <c r="X6" s="30"/>
      <c r="Y6" s="614">
        <v>1.2500000000000001E-2</v>
      </c>
      <c r="Z6" s="614"/>
      <c r="AA6" s="614"/>
      <c r="AB6" s="614"/>
      <c r="AC6" s="614"/>
      <c r="AD6" s="614"/>
      <c r="AE6" s="614"/>
      <c r="AF6" s="614"/>
      <c r="AG6" s="614"/>
      <c r="AH6" s="614"/>
      <c r="AI6" s="614"/>
      <c r="AJ6" s="615"/>
      <c r="AK6" s="3"/>
      <c r="AL6" s="601" t="s">
        <v>25</v>
      </c>
      <c r="AM6" s="602"/>
      <c r="AN6" s="602"/>
      <c r="AO6" s="602"/>
      <c r="AP6" s="602"/>
      <c r="AQ6" s="602"/>
      <c r="AR6" s="602"/>
      <c r="AS6" s="602"/>
      <c r="AT6" s="602"/>
      <c r="AU6" s="602"/>
      <c r="AV6" s="602"/>
      <c r="AW6" s="602"/>
      <c r="AX6" s="602"/>
      <c r="AY6" s="603"/>
      <c r="AZ6" s="3"/>
      <c r="BA6" s="604" t="s">
        <v>7</v>
      </c>
      <c r="BB6" s="581"/>
      <c r="BC6" s="581"/>
      <c r="BD6" s="85"/>
      <c r="BE6" s="596" t="s">
        <v>24</v>
      </c>
      <c r="BF6" s="596"/>
      <c r="BG6" s="596"/>
      <c r="BH6" s="596"/>
      <c r="BI6" s="596"/>
      <c r="BJ6" s="596"/>
      <c r="BK6" s="596"/>
      <c r="BL6" s="596"/>
      <c r="BM6" s="596"/>
      <c r="BN6" s="596"/>
      <c r="BO6" s="596"/>
      <c r="BP6" s="596"/>
      <c r="BQ6" s="596"/>
      <c r="BR6" s="581"/>
      <c r="BS6" s="581"/>
      <c r="BT6" s="581"/>
      <c r="BU6" s="597"/>
      <c r="BV6" s="3"/>
    </row>
    <row r="7" spans="2:90" ht="16.2" x14ac:dyDescent="0.3">
      <c r="D7" s="598" t="s">
        <v>20</v>
      </c>
      <c r="E7" s="599"/>
      <c r="F7" s="599"/>
      <c r="G7" s="599"/>
      <c r="H7" s="599"/>
      <c r="I7" s="599"/>
      <c r="J7" s="599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616" t="s">
        <v>33</v>
      </c>
      <c r="X7" s="617"/>
      <c r="Y7" s="617"/>
      <c r="Z7" s="617"/>
      <c r="AA7" s="617"/>
      <c r="AB7" s="617"/>
      <c r="AC7" s="617"/>
      <c r="AD7" s="617"/>
      <c r="AE7" s="617"/>
      <c r="AF7" s="617"/>
      <c r="AG7" s="617"/>
      <c r="AH7" s="617"/>
      <c r="AI7" s="617"/>
      <c r="AJ7" s="618"/>
      <c r="AK7" s="3"/>
      <c r="AL7" s="598" t="s">
        <v>68</v>
      </c>
      <c r="AM7" s="599"/>
      <c r="AN7" s="599"/>
      <c r="AO7" s="599"/>
      <c r="AP7" s="599"/>
      <c r="AQ7" s="599"/>
      <c r="AR7" s="599"/>
      <c r="AS7" s="599"/>
      <c r="AT7" s="599"/>
      <c r="AU7" s="599"/>
      <c r="AV7" s="599"/>
      <c r="AW7" s="599"/>
      <c r="AX7" s="599"/>
      <c r="AY7" s="600"/>
      <c r="BA7" s="598" t="s">
        <v>23</v>
      </c>
      <c r="BB7" s="599"/>
      <c r="BC7" s="599"/>
      <c r="BD7" s="599"/>
      <c r="BE7" s="599"/>
      <c r="BF7" s="599"/>
      <c r="BG7" s="599"/>
      <c r="BH7" s="599"/>
      <c r="BI7" s="599"/>
      <c r="BJ7" s="599"/>
      <c r="BK7" s="599"/>
      <c r="BL7" s="599"/>
      <c r="BM7" s="599"/>
      <c r="BN7" s="599"/>
      <c r="BO7" s="599"/>
      <c r="BP7" s="599"/>
      <c r="BQ7" s="599"/>
      <c r="BR7" s="599"/>
      <c r="BS7" s="599"/>
      <c r="BT7" s="599"/>
      <c r="BU7" s="600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591" t="s">
        <v>1</v>
      </c>
      <c r="BB8" s="592"/>
      <c r="BC8" s="592"/>
      <c r="BD8" s="63"/>
      <c r="BE8" s="592" t="s">
        <v>22</v>
      </c>
      <c r="BF8" s="592"/>
      <c r="BG8" s="592"/>
      <c r="BH8" s="592"/>
      <c r="BI8" s="605"/>
      <c r="BJ8" s="606" t="s">
        <v>111</v>
      </c>
      <c r="BK8" s="607"/>
      <c r="BL8" s="607"/>
      <c r="BM8" s="608"/>
      <c r="BN8" s="591" t="s">
        <v>22</v>
      </c>
      <c r="BO8" s="592"/>
      <c r="BP8" s="592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SUM(D102:D515)</f>
        <v>32209286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SUM(D109:D522)</f>
        <v>32008268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SUM(D116:D529)</f>
        <v>32459943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SUM(D123:D539)</f>
        <v>363065073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SUM(D124:D540)</f>
        <v>363003354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SUM(D125:D541)</f>
        <v>362945005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SUM(D126:D542)</f>
        <v>362879517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SUM(D127:D543)</f>
        <v>362813469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SUM(D128:D544)</f>
        <v>362741474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SUM(D129:D545)</f>
        <v>439668086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SUM(D130:D546)</f>
        <v>439593099.23262841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SUM(D131:D547)</f>
        <v>439529840.23262841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SUM(D132:D548)</f>
        <v>770464561.23262835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SUM(D133:D549)</f>
        <v>814755682.23262835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SUM(D134:D550)</f>
        <v>814688203.30462837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SUM(D135:D551)</f>
        <v>814616236.30462837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SUM(D136:D552)</f>
        <v>814546793.34662843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SUM(D137:D553)</f>
        <v>815469759.34662843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SUM(D138:D554)</f>
        <v>815402346.34662843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SUM(D139:D555)</f>
        <v>815346216.34662843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SUM(D140:D556)</f>
        <v>815284645.34662843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SUM(D141:D557)</f>
        <v>815219916.34662843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SUM(D142:D558)</f>
        <v>815152995.34662843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SUM(D143:D559)</f>
        <v>815084426.34662843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SUM(D144:D560)</f>
        <v>815013343.34662843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SUM(D145:D561)</f>
        <v>814954802.34662843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SUM(D146:D562)</f>
        <v>814905764.34662843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SUM(D147:D563)</f>
        <v>814857118.34662843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SUM(D148:D564)</f>
        <v>814802554.34662843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SUM(D149:D565)</f>
        <v>814747406.34662843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SUM(D150:D566)</f>
        <v>814688696.34662843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SUM(D151:D567)</f>
        <v>814625450.34662843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SUM(D152:D568)</f>
        <v>814571251.34662843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SUM(D153:D569)</f>
        <v>814523402.34662843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SUM(D154:D570)</f>
        <v>814473602.34662843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SUM(D155:D571)</f>
        <v>814419083.34662843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SUM(D156:D572)</f>
        <v>814364738.34662843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SUM(D157:D573)</f>
        <v>814309374.34662843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SUM(D158:D574)</f>
        <v>814248774.34662843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41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SUM(D159:D575)</f>
        <v>814195251.34662843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SUM(D160:D576)</f>
        <v>814158408.34662843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SUM(D161:D577)</f>
        <v>814117796.34662843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3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SUM(D162:D578)</f>
        <v>814073797.34662843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3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SUM(D163:D579)</f>
        <v>814028824.34662843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3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SUM(D164:D580)</f>
        <v>813983467.34662843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3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SUM(D165:D581)</f>
        <v>813932986.34662843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3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SUM(D166:D582)</f>
        <v>813889157.34662843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3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SUM(D167:D583)</f>
        <v>813856439.34662843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3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SUM(D168:D584)</f>
        <v>813814955.34662843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3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SUM(D169:D585)</f>
        <v>813774857.34662843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3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SUM(D170:D586)</f>
        <v>813730220.34662843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3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SUM(D171:D587)</f>
        <v>813684214.34662843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3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SUM(D172:D588)</f>
        <v>813634613.34662843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3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SUM(D173:D589)</f>
        <v>813591953.34662843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3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SUM(D174:D590)</f>
        <v>813557972.34662843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3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SUM(D175:D591)</f>
        <v>813519412.34662843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3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SUM(D176:D592)</f>
        <v>813477433.34662843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3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SUM(D177:D593)</f>
        <v>813436222.34662843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3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SUM(D178:D594)</f>
        <v>813390758.34662843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3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SUM(D179:D595)</f>
        <v>813337909.34662843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3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SUM(D180:D596)</f>
        <v>813295817.34662843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3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SUM(D181:D597)</f>
        <v>813264707.34662843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3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SUM(D182:D601)</f>
        <v>813239287.34662843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3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SUM(D183:D602)</f>
        <v>813210848.34662843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3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SUM(D184:D603)</f>
        <v>813175605.34662843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3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SUM(D185:D604)</f>
        <v>846851080.06091416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3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SUM(D186:D605)</f>
        <v>897661622.91805696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3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SUM(D187:D606)</f>
        <v>966193769.4894855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70" si="186">+BW215+1</f>
        <v>207</v>
      </c>
    </row>
    <row r="217" spans="2:75" x14ac:dyDescent="0.3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SUM(D188:D608)</f>
        <v>966161912.4894855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3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SUM(D189:D609)</f>
        <v>1143709116.060914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3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SUM(D190:D613)</f>
        <v>1143672669.060914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3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SUM(D191:D614)</f>
        <v>1143632515.060914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3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SUM(D192:D615)</f>
        <v>1143586220.060914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3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SUM(D193:D616)</f>
        <v>1143534875.060914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3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SUM(D194:D617)</f>
        <v>1143491262.060914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3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SUM(D195:D618)</f>
        <v>1143457876.060914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3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SUM(D196:D624)</f>
        <v>1143421072.060914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3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SUM(D197:D625)</f>
        <v>1143385376.060914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3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SUM(D198:D626)</f>
        <v>1143343760.060914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3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SUM(D199:D627)</f>
        <v>1143298405.060914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3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SUM(D200:D629)</f>
        <v>1143244776.060914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3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SUM(D201:D630)</f>
        <v>1143201570.060914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3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SUM(D202:D631)</f>
        <v>1143167788.060914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3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SUM(D203:D632)</f>
        <v>1143130370.060914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3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SUM(D204:D633)</f>
        <v>1143086143.060914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3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SUM(D205:D634)</f>
        <v>1143045214.060914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3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SUM(D206:D635)</f>
        <v>1142997825.060914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3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SUM(D207:D636)</f>
        <v>1142946422.060914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3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SUM(D208:D637)</f>
        <v>1142897497.060914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3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SUM(D209:D638)</f>
        <v>1142863431.060914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3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SUM(D210:D639)</f>
        <v>1142825714.060914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3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SUM(D211:D640)</f>
        <v>1142781046.060914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3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SUM(D212:D641)</f>
        <v>1142731688.060914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3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SUM(D213:D642)</f>
        <v>1142674370.060914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3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SUM(D214:D643)</f>
        <v>1142613387.060914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3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SUM(D215:D644)</f>
        <v>1142559152.060914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3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SUM(D216:D645)</f>
        <v>1142517217.060914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3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SUM(D217:D646)</f>
        <v>1142471426.060914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3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SUM(D218:D647)</f>
        <v>1142419892.060914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3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SUM(D219:D648)</f>
        <v>1142360199.060914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3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SUM(D220:D649)</f>
        <v>1142294070.060914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3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SUM(D221:D650)</f>
        <v>1142222383.060914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3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SUM(D222:D651)</f>
        <v>1142168151.060914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3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SUM(D223:D652)</f>
        <v>1142123210.060914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3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SUM(D224:D653)</f>
        <v>1142065883.060914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3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SUM(D225:D654)</f>
        <v>1142003811.060914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3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SUM(D226:D655)</f>
        <v>1141940148.060914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3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SUM(D227:D656)</f>
        <v>1141865847.060914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3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SUM(D228:D657)</f>
        <v>1141784433.060914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3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SUM(D229:D658)</f>
        <v>1141704984.060914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3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SUM(D230:D659)</f>
        <v>1141644095.060914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3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SUM(D231:D660)</f>
        <v>1141574254.060914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3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SUM(D232:D661)</f>
        <v>1141499182.060914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3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SUM(D233:D662)</f>
        <v>1141417601.060914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3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SUM(D234:D663)</f>
        <v>1141326071.060914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3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SUM(D235:D664)</f>
        <v>1141224610.060914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3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SUM(D236:D665)</f>
        <v>1141138317.060914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3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SUM(D237:D666)</f>
        <v>1141066996.060914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3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SUM(D238:D667)</f>
        <v>1140978091.060914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3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SUM(D239:D668)</f>
        <v>1140883624.060914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3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SUM(D240:D669)</f>
        <v>1140775235.060914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3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SUM(D241:D670)</f>
        <v>1140656916.060914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3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SUM(D242:D671)</f>
        <v>1140524375.060914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3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SUM(D243:D672)</f>
        <v>1140399985.060914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3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SUM(D244:D673)</f>
        <v>1140297259.060914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3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SUM(D245:D674)</f>
        <v>1140171570.060914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3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SUM(D246:D675)</f>
        <v>1140035917.060914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3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SUM(D247:D676)</f>
        <v>1139893011.060914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3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SUM(D248:D677)</f>
        <v>1139731470.060914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3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SUM(D249:D678)</f>
        <v>1139547943.060914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3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SUM(D250:D679)</f>
        <v>1139390690.060914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3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SUM(D251:D680)</f>
        <v>1139252441.060914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3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SUM(D252:D681)</f>
        <v>1139090292.060914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3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SUM(D253:D682)</f>
        <v>1138933031.060914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3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SUM(D254:D683)</f>
        <v>1138759263.060914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3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SUM(D255:D684)</f>
        <v>1138567077.060914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3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SUM(D256:D685)</f>
        <v>1138362898.060914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3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SUM(D257:D686)</f>
        <v>1138190059.060914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3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SUM(D258:D687)</f>
        <v>1138053432.060914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3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SUM(D259:D688)</f>
        <v>1137881132.060914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3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SUM(D260:D689)</f>
        <v>1137704050.060914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3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SUM(D261:D690)</f>
        <v>1137523147.060914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3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SUM(D262:D691)</f>
        <v>1137415084.060914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3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SUM(D263:D692)</f>
        <v>1137251072.060914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3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SUM(D264:D693)</f>
        <v>1137107699.060914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3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SUM(D265:D694)</f>
        <v>1136969511.060914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3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SUM(D266:D695)</f>
        <v>1136807943.060914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3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SUM(D267:D696)</f>
        <v>1136625667.060914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3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SUM(D268:D697)</f>
        <v>1136421930.060914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3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SUM(D269:D698)</f>
        <v>1136203354.060914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3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SUM(D270:D699)</f>
        <v>1135968082.060914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3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SUM(D271:D700)</f>
        <v>1135755599.060914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3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SUM(D272:D701)</f>
        <v>1135572820.060914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3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SUM(D273:D702)</f>
        <v>1135372735.060914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3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SUM(D274:D703)</f>
        <v>1135162979.060914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3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SUM(D275:D704)</f>
        <v>1134936026.060914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3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SUM(D276:D705)</f>
        <v>1134708712.060914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3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SUM(D277:D706)</f>
        <v>1134461951.060914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3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SUM(D278:D707)</f>
        <v>1134241653.060914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3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SUM(D279:D708)</f>
        <v>1134053752.060914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3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SUM(D280:D709)</f>
        <v>1133854020.060914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3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SUM(D281:D710)</f>
        <v>1133653985.060914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3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SUM(D282:D711)</f>
        <v>1133403812.060914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3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SUM(D283:D712)</f>
        <v>1133165940.060914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3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SUM(D284:D713)</f>
        <v>1132911260.060914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3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SUM(D285:D714)</f>
        <v>1132721610.060914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3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SUM(D286:D715)</f>
        <v>1132533330.060914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3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SUM(D287:D716)</f>
        <v>1132333221.060914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3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SUM(D288:D717)</f>
        <v>1132134141.060914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3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SUM(D289:D718)</f>
        <v>1131901799.060914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3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SUM(D290:D719)</f>
        <v>1131708769.060914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3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SUM(D291:D720)</f>
        <v>1131609929.060914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3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SUM(D292:D721)</f>
        <v>1131449325.060914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3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SUM(D293:D722)</f>
        <v>1131321585.060914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3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SUM(D294:D723)</f>
        <v>1131135194.060914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3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SUM(D295:D724)</f>
        <v>1130935572.060914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3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SUM(D296:D725)</f>
        <v>1130700797.060914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3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SUM(D297:D726)</f>
        <v>1130472384.060914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3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SUM(D298:D727)</f>
        <v>1130306340.060914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3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SUM(D299:D728)</f>
        <v>1130074113.060914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3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SUM(D300:D729)</f>
        <v>1129879776.060914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3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SUM(D301:D730)</f>
        <v>1129689614.060914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3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SUM(D302:D731)</f>
        <v>1129454903.060914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3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SUM(D303:D732)</f>
        <v>1129193930.060914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3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SUM(D304:D733)</f>
        <v>1128919740.060914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3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SUM(D305:D734)</f>
        <v>1128613291.060914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3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SUM(D306:D735)</f>
        <v>1128363597.060914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3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SUM(D307:D736)</f>
        <v>1128142770.060914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3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SUM(D308:D737)</f>
        <v>1127928087.060914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3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SUM(D309:D738)</f>
        <v>1127704459.060914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3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SUM(D310:D739)</f>
        <v>1127466386.060914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3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SUM(D311:D740)</f>
        <v>1127231967.060914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3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SUM(D312:D741)</f>
        <v>1126983161.060914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3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SUM(D313:D742)</f>
        <v>1126780394.060914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3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SUM(D314:D743)</f>
        <v>1126605834.060914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3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SUM(D315:D744)</f>
        <v>1126456506.060914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3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SUM(D316:D745)</f>
        <v>1126282128.060914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3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SUM(D317:D746)</f>
        <v>1126092047.060914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3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SUM(D318:D747)</f>
        <v>1125898289.060914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3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SUM(D319:D748)</f>
        <v>1125706224.060914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3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SUM(D320:D749)</f>
        <v>1125533157.060914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3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SUM(D321:D750)</f>
        <v>1125397975.060914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3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SUM(D322:D751)</f>
        <v>1125245731.060914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3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SUM(D323:D752)</f>
        <v>1125094004.060914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3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SUM(D324:D753)</f>
        <v>1124933973.060914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3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SUM(D325:D754)</f>
        <v>1124771340.060914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3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SUM(D326:D755)</f>
        <v>1124602307.060914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3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SUM(D327:D756)</f>
        <v>1124461575.060914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3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SUM(D328:D757)</f>
        <v>1124353759.060914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3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SUM(D329:D758)</f>
        <v>1124227307.060914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3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SUM(D330:D759)</f>
        <v>1124111080.060914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3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SUM(D331:D760)</f>
        <v>1123997621.060914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3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SUM(D332:D761)</f>
        <v>1123875884.060914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3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SUM(D333:D762)</f>
        <v>1123749759.060914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3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SUM(D334:D763)</f>
        <v>1123643776.060914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3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SUM(D335:D764)</f>
        <v>1123552520.060914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3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SUM(D336:D765)</f>
        <v>1123462174.060914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3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SUM(D337:D766)</f>
        <v>1123366632.060914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3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SUM(D338:D767)</f>
        <v>1123269826.060914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3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SUM(D339:D768)</f>
        <v>1123165582.060914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3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SUM(D340:D769)</f>
        <v>1123065294.060914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3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SUM(D341:D770)</f>
        <v>1122978810.060914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3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SUM(D342:D771)</f>
        <v>1122914513.060914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3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SUM(D343:D772)</f>
        <v>1122861728.060914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3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SUM(D344:D773)</f>
        <v>1122798330.060914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3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SUM(D345:D774)</f>
        <v>1122726690.060914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3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SUM(D346:D775)</f>
        <v>1122657766.060914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3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SUM(D347:D776)</f>
        <v>1122572227.060914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3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SUM(D348:D777)</f>
        <v>1122502610.060914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3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SUM(D349:D778)</f>
        <v>1122445385.060914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3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SUM(D350:D779)</f>
        <v>1122374331.060914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3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SUM(D351:D780)</f>
        <v>1122300627.060914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3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SUM(D352:D781)</f>
        <v>1122225328.060914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3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SUM(D353:D782)</f>
        <v>1122147951.060914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3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SUM(D354:D783)</f>
        <v>1122067326.060914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3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SUM(D355:D784)</f>
        <v>1122003006.060914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3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SUM(D356:D785)</f>
        <v>1121953594.060914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3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SUM(D357:D786)</f>
        <v>1121898413.060914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3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SUM(D358:D787)</f>
        <v>1121841523.060914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3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SUM(D359:D788)</f>
        <v>1121774298.060914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3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SUM(D360:D789)</f>
        <v>1121705977.060914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3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SUM(D361:D790)</f>
        <v>1121636737.060914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3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SUM(D362:D791)</f>
        <v>1121578509.060914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3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SUM(D363:D792)</f>
        <v>1121536542.060914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3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SUM(D364:D793)</f>
        <v>1121491174.060914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3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SUM(D365:D794)</f>
        <v>1121435491.060914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3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509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SUM(D366:D795)</f>
        <v>1121374131.060914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3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SUM(D367:D796)</f>
        <v>1121311358.060914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3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SUM(D368:D797)</f>
        <v>1121244573.060914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3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SUM(D369:D798)</f>
        <v>1121194855.060914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3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SUM(D370:D799)</f>
        <v>1121157959.060914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3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SUM(D371:D800)</f>
        <v>1121111192.060914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3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SUM(D372:D801)</f>
        <v>1121057961.060914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3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SUM(D373:D802)</f>
        <v>1120994466.060914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3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SUM(D374:D803)</f>
        <v>1120931837.060914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3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SUM(D375:D804)</f>
        <v>1120865424.060914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3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SUM(D376:D805)</f>
        <v>1120809516.060914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3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SUM(D377:D806)</f>
        <v>1120770011.060914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3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SUM(D378:D807)</f>
        <v>1120724263.060914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3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SUM(D379:D808)</f>
        <v>1120665558.060914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3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SUM(D380:D809)</f>
        <v>1120599020.060914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3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SUM(D381:D810)</f>
        <v>1120531974.060914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3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SUM(D382:D811)</f>
        <v>1120454998.060914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3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SUM(D383:D812)</f>
        <v>1120391339.060914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3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SUM(D384:D813)</f>
        <v>1120347243.060914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3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SUM(D385:D814)</f>
        <v>1120287045.060914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3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SUM(D386:D815)</f>
        <v>1120224586.060914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3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SUM(D387:D816)</f>
        <v>1120155830.060914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3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SUM(D388:D817)</f>
        <v>1120111579.060914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3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SUM(D389:D818)</f>
        <v>1120041555.060914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3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SUM(D390:D819)</f>
        <v>1119975401.060914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3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SUM(D391:D820)</f>
        <v>1119938418.060914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3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SUM(D392:D821)</f>
        <v>1119880774.060914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3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SUM(D393:D822)</f>
        <v>1119818491.060914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3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SUM(D394:D823)</f>
        <v>1119743308.060914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3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SUM(D395:D824)</f>
        <v>1119663147.060914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3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SUM(D396:D825)</f>
        <v>1119577779.060914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3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SUM(D397:D826)</f>
        <v>1119510999.060914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3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SUM(D398:D827)</f>
        <v>1119463125.060914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3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SUM(D399:D828)</f>
        <v>1119406603.060914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3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SUM(D400:D829)</f>
        <v>1119328883.060914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3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SUM(D401:D830)</f>
        <v>1119250444.060914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3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SUM(D402:D831)</f>
        <v>1119175965.060914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3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SUM(D403:D832)</f>
        <v>1119094192.060914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3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SUM(D404:D833)</f>
        <v>1119030611.060914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3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SUM(D405:D834)</f>
        <v>1118987430.060914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3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SUM(D406:D835)</f>
        <v>1118935780.060914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3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SUM(D407:D836)</f>
        <v>1118875463.060914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3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SUM(D408:D837)</f>
        <v>1118810406.060914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3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SUM(D409:D838)</f>
        <v>1118743336.060914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3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SUM(D410:D839)</f>
        <v>1118676821.060914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3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" si="374">+H439+D440</f>
        <v>33534078</v>
      </c>
      <c r="I440" s="16"/>
      <c r="J440" s="436">
        <f t="shared" ref="J440" si="375">+D440/H439</f>
        <v>6.0769156218803814E-4</v>
      </c>
      <c r="K440" s="16"/>
      <c r="L440" s="16"/>
      <c r="M440" s="16"/>
      <c r="N440" s="16">
        <f t="shared" ref="N440" si="376">SUM(D434:D440)</f>
        <v>168821</v>
      </c>
      <c r="O440" s="16">
        <f t="shared" ref="O440" si="377">+H440/BW440</f>
        <v>77805.285382830625</v>
      </c>
      <c r="P440" s="41"/>
      <c r="Q440" s="17">
        <f t="shared" ref="Q440" si="378">SUM(D434:D440)</f>
        <v>168821</v>
      </c>
      <c r="R440" s="16"/>
      <c r="S440" s="60">
        <f t="shared" ref="S440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" si="380">SUM(W435:W440)</f>
        <v>3013</v>
      </c>
      <c r="AA440" s="33">
        <f t="shared" ref="AA440" si="381">+AA439+W440</f>
        <v>592562</v>
      </c>
      <c r="AB440" s="33"/>
      <c r="AC440" s="46">
        <f t="shared" ref="AC440" si="382">+AA440/H440</f>
        <v>1.767044258679186E-2</v>
      </c>
      <c r="AD440" s="33"/>
      <c r="AE440" s="33">
        <f t="shared" ref="AE440" si="383">+AA440/BW440</f>
        <v>1374.8538283062644</v>
      </c>
      <c r="AF440" s="50"/>
      <c r="AG440" s="33">
        <f t="shared" ref="AG440" si="384">SUM(W434:W440)</f>
        <v>3746</v>
      </c>
      <c r="AH440" s="33">
        <f t="shared" ref="AH440" si="385">SUM(D411:D840)</f>
        <v>1118623541.060914</v>
      </c>
      <c r="AI440" s="213">
        <f t="shared" ref="AI440" si="386">+(AG440-AG433)/AG433</f>
        <v>-0.11567516525023608</v>
      </c>
      <c r="AJ440" s="50"/>
      <c r="AK440" s="111"/>
      <c r="AL440" s="23">
        <f t="shared" ref="AL440" si="387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" si="388">+AL440/AP439</f>
        <v>2.2425433841697707E-3</v>
      </c>
      <c r="AS440" s="25"/>
      <c r="AT440" s="25"/>
      <c r="AU440" s="24"/>
      <c r="AV440" s="298">
        <f t="shared" ref="AV440" si="389">+AP440/H440</f>
        <v>0.82196773085575814</v>
      </c>
      <c r="AW440" s="298"/>
      <c r="AX440" s="24">
        <f t="shared" ref="AX440" si="390">+AP440/BW440</f>
        <v>63953.433874709975</v>
      </c>
      <c r="AY440" s="308"/>
      <c r="AZ440" s="111"/>
      <c r="BA440" s="65">
        <f t="shared" ref="BA440" si="391">+BC440-BC439</f>
        <v>1063757</v>
      </c>
      <c r="BB440" s="66"/>
      <c r="BC440" s="66">
        <v>474368613</v>
      </c>
      <c r="BD440" s="66"/>
      <c r="BE440" s="66">
        <f t="shared" ref="BE440" si="392">+D440</f>
        <v>20366</v>
      </c>
      <c r="BF440" s="66"/>
      <c r="BG440" s="144">
        <f t="shared" ref="BG440" si="393">+BE440/BA440</f>
        <v>1.9145349924841858E-2</v>
      </c>
      <c r="BH440" s="66"/>
      <c r="BI440" s="170"/>
      <c r="BJ440" s="66"/>
      <c r="BK440" s="66">
        <f t="shared" ref="BK440" si="394">SUM(BA434:BA440)</f>
        <v>7145817</v>
      </c>
      <c r="BL440" s="66"/>
      <c r="BM440" s="144">
        <f t="shared" ref="BM440" si="395">+Q440/BK440</f>
        <v>2.3625150210255873E-2</v>
      </c>
      <c r="BN440" s="65">
        <f t="shared" ref="BN440" si="396">+BC440/BW440</f>
        <v>1100623.2320185616</v>
      </c>
      <c r="BO440" s="66"/>
      <c r="BP440" s="66">
        <f t="shared" ref="BP440" si="397">+BP439+BE440</f>
        <v>32627100</v>
      </c>
      <c r="BQ440" s="66"/>
      <c r="BR440" s="435">
        <f t="shared" ref="BR440" si="398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3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ref="H441" si="399">+H440+D441</f>
        <v>33556816</v>
      </c>
      <c r="I441" s="16"/>
      <c r="J441" s="436">
        <f t="shared" ref="J441" si="400">+D441/H440</f>
        <v>6.780565131386645E-4</v>
      </c>
      <c r="K441" s="16"/>
      <c r="L441" s="16"/>
      <c r="M441" s="16"/>
      <c r="N441" s="16">
        <f t="shared" ref="N441" si="401">SUM(D435:D441)</f>
        <v>164053</v>
      </c>
      <c r="O441" s="16">
        <f t="shared" ref="O441" si="402">+H441/BW441</f>
        <v>77677.814814814818</v>
      </c>
      <c r="P441" s="41"/>
      <c r="Q441" s="17">
        <f t="shared" ref="Q441" si="403">SUM(D435:D441)</f>
        <v>164053</v>
      </c>
      <c r="R441" s="16"/>
      <c r="S441" s="60">
        <f t="shared" ref="S441" si="404">+(Q441-Q434)/Q434</f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ref="Z441" si="405">SUM(W436:W441)</f>
        <v>3046</v>
      </c>
      <c r="AA441" s="33">
        <f t="shared" ref="AA441" si="406">+AA440+W441</f>
        <v>593231</v>
      </c>
      <c r="AB441" s="33"/>
      <c r="AC441" s="46">
        <f t="shared" ref="AC441" si="407">+AA441/H441</f>
        <v>1.7678405484000629E-2</v>
      </c>
      <c r="AD441" s="33"/>
      <c r="AE441" s="33">
        <f t="shared" ref="AE441" si="408">+AA441/BW441</f>
        <v>1373.2199074074074</v>
      </c>
      <c r="AF441" s="50"/>
      <c r="AG441" s="33">
        <f t="shared" ref="AG441" si="409">SUM(W435:W441)</f>
        <v>3682</v>
      </c>
      <c r="AH441" s="33">
        <f t="shared" ref="AH441" si="410">SUM(D412:D841)</f>
        <v>1118588805.060914</v>
      </c>
      <c r="AI441" s="213">
        <f t="shared" ref="AI441" si="411">+(AG441-AG434)/AG434</f>
        <v>-0.12872692853762424</v>
      </c>
      <c r="AJ441" s="50"/>
      <c r="AK441" s="111"/>
      <c r="AL441" s="23">
        <f t="shared" ref="AL441" si="412">+AP441-AP440</f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ref="AR441" si="413">+AL441/AP440</f>
        <v>1.5423054695030789E-3</v>
      </c>
      <c r="AS441" s="25"/>
      <c r="AT441" s="25"/>
      <c r="AU441" s="24"/>
      <c r="AV441" s="298">
        <f t="shared" ref="AV441" si="414">+AP441/H441</f>
        <v>0.82267763425469209</v>
      </c>
      <c r="AW441" s="298"/>
      <c r="AX441" s="24">
        <f t="shared" ref="AX441" si="415">+AP441/BW441</f>
        <v>63903.800925925927</v>
      </c>
      <c r="AY441" s="308"/>
      <c r="AZ441" s="111"/>
      <c r="BA441" s="65">
        <f t="shared" ref="BA441" si="416">+BC441-BC440</f>
        <v>858209</v>
      </c>
      <c r="BB441" s="66"/>
      <c r="BC441" s="66">
        <v>475226822</v>
      </c>
      <c r="BD441" s="66"/>
      <c r="BE441" s="66">
        <f t="shared" ref="BE441" si="417">+D441</f>
        <v>22738</v>
      </c>
      <c r="BF441" s="66"/>
      <c r="BG441" s="144">
        <f t="shared" ref="BG441" si="418">+BE441/BA441</f>
        <v>2.6494711661145479E-2</v>
      </c>
      <c r="BH441" s="66"/>
      <c r="BI441" s="170"/>
      <c r="BJ441" s="66"/>
      <c r="BK441" s="66">
        <f t="shared" ref="BK441" si="419">SUM(BA435:BA441)</f>
        <v>7158720</v>
      </c>
      <c r="BL441" s="66"/>
      <c r="BM441" s="144">
        <f t="shared" ref="BM441" si="420">+Q441/BK441</f>
        <v>2.2916526976889725E-2</v>
      </c>
      <c r="BN441" s="65">
        <f t="shared" ref="BN441" si="421">+BC441/BW441</f>
        <v>1100062.0879629629</v>
      </c>
      <c r="BO441" s="66"/>
      <c r="BP441" s="66">
        <f t="shared" ref="BP441" si="422">+BP440+BE441</f>
        <v>32649838</v>
      </c>
      <c r="BQ441" s="66"/>
      <c r="BR441" s="435">
        <f t="shared" ref="BR441" si="423">+BP441/BC441</f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3">
      <c r="B442" s="158">
        <f t="shared" ref="B442:B514" si="424">1+B441</f>
        <v>44342</v>
      </c>
      <c r="C442" s="61"/>
      <c r="D442" s="17">
        <v>23500</v>
      </c>
      <c r="E442" s="16"/>
      <c r="F442" s="16"/>
      <c r="G442" s="16"/>
      <c r="H442" s="16">
        <f t="shared" ref="H442" si="425">+H441+D442</f>
        <v>33580316</v>
      </c>
      <c r="I442" s="16"/>
      <c r="J442" s="436">
        <f t="shared" ref="J442" si="426">+D442/H441</f>
        <v>7.0030482033813933E-4</v>
      </c>
      <c r="K442" s="16"/>
      <c r="L442" s="16"/>
      <c r="M442" s="16"/>
      <c r="N442" s="16">
        <f t="shared" ref="N442" si="427">SUM(D436:D442)</f>
        <v>159012</v>
      </c>
      <c r="O442" s="16">
        <f t="shared" ref="O442" si="428">+H442/BW442</f>
        <v>77552.692840646647</v>
      </c>
      <c r="P442" s="41"/>
      <c r="Q442" s="17">
        <f t="shared" ref="Q442" si="429">SUM(D436:D442)</f>
        <v>159012</v>
      </c>
      <c r="R442" s="16"/>
      <c r="S442" s="60">
        <f t="shared" ref="S442" si="430">+(Q442-Q435)/Q435</f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ref="Z442" si="431">SUM(W437:W442)</f>
        <v>2994</v>
      </c>
      <c r="AA442" s="33">
        <f t="shared" ref="AA442" si="432">+AA441+W442</f>
        <v>593838</v>
      </c>
      <c r="AB442" s="33"/>
      <c r="AC442" s="46">
        <f t="shared" ref="AC442" si="433">+AA442/H442</f>
        <v>1.7684109941073813E-2</v>
      </c>
      <c r="AD442" s="33"/>
      <c r="AE442" s="33">
        <f t="shared" ref="AE442" si="434">+AA442/BW442</f>
        <v>1371.4503464203233</v>
      </c>
      <c r="AF442" s="50"/>
      <c r="AG442" s="33">
        <f t="shared" ref="AG442" si="435">SUM(W436:W442)</f>
        <v>3653</v>
      </c>
      <c r="AH442" s="33">
        <f t="shared" ref="AH442" si="436">SUM(D413:D842)</f>
        <v>1118541349.060914</v>
      </c>
      <c r="AI442" s="213">
        <f t="shared" ref="AI442" si="437">+(AG442-AG435)/AG435</f>
        <v>-9.1519522506839091E-2</v>
      </c>
      <c r="AJ442" s="50"/>
      <c r="AK442" s="111"/>
      <c r="AL442" s="23">
        <f t="shared" ref="AL442" si="438">+AP442-AP441</f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ref="AR442" si="439">+AL442/AP441</f>
        <v>2.0222091640784423E-3</v>
      </c>
      <c r="AS442" s="25"/>
      <c r="AT442" s="25"/>
      <c r="AU442" s="24"/>
      <c r="AV442" s="298">
        <f t="shared" ref="AV442" si="440">+AP442/H442</f>
        <v>0.82376437434358862</v>
      </c>
      <c r="AW442" s="298"/>
      <c r="AX442" s="24">
        <f t="shared" ref="AX442" si="441">+AP442/BW442</f>
        <v>63885.145496535799</v>
      </c>
      <c r="AY442" s="308"/>
      <c r="AZ442" s="111"/>
      <c r="BA442" s="65">
        <f t="shared" ref="BA442" si="442">+BC442-BC441</f>
        <v>913421</v>
      </c>
      <c r="BB442" s="66"/>
      <c r="BC442" s="66">
        <v>476140243</v>
      </c>
      <c r="BD442" s="66"/>
      <c r="BE442" s="66">
        <f t="shared" ref="BE442" si="443">+D442</f>
        <v>23500</v>
      </c>
      <c r="BF442" s="66"/>
      <c r="BG442" s="144">
        <f t="shared" ref="BG442" si="444">+BE442/BA442</f>
        <v>2.5727457546958085E-2</v>
      </c>
      <c r="BH442" s="66"/>
      <c r="BI442" s="170"/>
      <c r="BJ442" s="66"/>
      <c r="BK442" s="66">
        <f t="shared" ref="BK442" si="445">SUM(BA436:BA442)</f>
        <v>7194641</v>
      </c>
      <c r="BL442" s="66"/>
      <c r="BM442" s="144">
        <f t="shared" ref="BM442" si="446">+Q442/BK442</f>
        <v>2.2101450232193655E-2</v>
      </c>
      <c r="BN442" s="65">
        <f t="shared" ref="BN442" si="447">+BC442/BW442</f>
        <v>1099631.0461893764</v>
      </c>
      <c r="BO442" s="66"/>
      <c r="BP442" s="66">
        <f t="shared" ref="BP442" si="448">+BP441+BE442</f>
        <v>32673338</v>
      </c>
      <c r="BQ442" s="66"/>
      <c r="BR442" s="435">
        <f t="shared" ref="BR442" si="449">+BP442/BC442</f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3">
      <c r="B443" s="158">
        <f t="shared" si="424"/>
        <v>44343</v>
      </c>
      <c r="C443" s="61"/>
      <c r="D443" s="17">
        <v>24393</v>
      </c>
      <c r="E443" s="16"/>
      <c r="F443" s="16"/>
      <c r="G443" s="16"/>
      <c r="H443" s="16">
        <f t="shared" ref="H443" si="450">+H442+D443</f>
        <v>33604709</v>
      </c>
      <c r="I443" s="16"/>
      <c r="J443" s="436">
        <f t="shared" ref="J443" si="451">+D443/H442</f>
        <v>7.2640769669945929E-4</v>
      </c>
      <c r="K443" s="16"/>
      <c r="L443" s="16"/>
      <c r="M443" s="16"/>
      <c r="N443" s="16">
        <f t="shared" ref="N443" si="452">SUM(D437:D443)</f>
        <v>153191</v>
      </c>
      <c r="O443" s="16">
        <f t="shared" ref="O443" si="453">+H443/BW443</f>
        <v>77430.205069124422</v>
      </c>
      <c r="P443" s="41"/>
      <c r="Q443" s="17">
        <f t="shared" ref="Q443" si="454">SUM(D437:D443)</f>
        <v>153191</v>
      </c>
      <c r="R443" s="16"/>
      <c r="S443" s="60">
        <f t="shared" ref="S443" si="455">+(Q443-Q436)/Q436</f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ref="Z443" si="456">SUM(W438:W443)</f>
        <v>2967</v>
      </c>
      <c r="AA443" s="33">
        <f t="shared" ref="AA443" si="457">+AA442+W443</f>
        <v>594468</v>
      </c>
      <c r="AB443" s="33"/>
      <c r="AC443" s="46">
        <f t="shared" ref="AC443" si="458">+AA443/H443</f>
        <v>1.7690020764649383E-2</v>
      </c>
      <c r="AD443" s="33"/>
      <c r="AE443" s="33">
        <f t="shared" ref="AE443" si="459">+AA443/BW443</f>
        <v>1369.741935483871</v>
      </c>
      <c r="AF443" s="50"/>
      <c r="AG443" s="33">
        <f t="shared" ref="AG443" si="460">SUM(W437:W443)</f>
        <v>3624</v>
      </c>
      <c r="AH443" s="33">
        <f t="shared" ref="AH443" si="461">SUM(D414:D843)</f>
        <v>1118489303.060914</v>
      </c>
      <c r="AI443" s="213">
        <f t="shared" ref="AI443" si="462">+(AG443-AG436)/AG436</f>
        <v>-7.5038284839203676E-2</v>
      </c>
      <c r="AJ443" s="50"/>
      <c r="AK443" s="111"/>
      <c r="AL443" s="23">
        <f t="shared" ref="AL443" si="463">+AP443-AP442</f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ref="AR443" si="464">+AL443/AP442</f>
        <v>1.4319505544520066E-3</v>
      </c>
      <c r="AS443" s="25"/>
      <c r="AT443" s="25"/>
      <c r="AU443" s="24"/>
      <c r="AV443" s="298">
        <f t="shared" ref="AV443" si="465">+AP443/H443</f>
        <v>0.82434515353190529</v>
      </c>
      <c r="AW443" s="298"/>
      <c r="AX443" s="24">
        <f t="shared" ref="AX443" si="466">+AP443/BW443</f>
        <v>63829.214285714283</v>
      </c>
      <c r="AY443" s="308"/>
      <c r="AZ443" s="111"/>
      <c r="BA443" s="65">
        <f t="shared" ref="BA443" si="467">+BC443-BC442</f>
        <v>1008406</v>
      </c>
      <c r="BB443" s="66"/>
      <c r="BC443" s="66">
        <v>477148649</v>
      </c>
      <c r="BD443" s="66"/>
      <c r="BE443" s="66">
        <f t="shared" ref="BE443" si="468">+D443</f>
        <v>24393</v>
      </c>
      <c r="BF443" s="66"/>
      <c r="BG443" s="144">
        <f t="shared" ref="BG443" si="469">+BE443/BA443</f>
        <v>2.4189661703718543E-2</v>
      </c>
      <c r="BH443" s="66"/>
      <c r="BI443" s="170"/>
      <c r="BJ443" s="66"/>
      <c r="BK443" s="66">
        <f t="shared" ref="BK443" si="470">SUM(BA437:BA443)</f>
        <v>7030345</v>
      </c>
      <c r="BL443" s="66"/>
      <c r="BM443" s="144">
        <f t="shared" ref="BM443" si="471">+Q443/BK443</f>
        <v>2.1789969055572664E-2</v>
      </c>
      <c r="BN443" s="65">
        <f t="shared" ref="BN443" si="472">+BC443/BW443</f>
        <v>1099420.8502304147</v>
      </c>
      <c r="BO443" s="66"/>
      <c r="BP443" s="66">
        <f t="shared" ref="BP443" si="473">+BP442+BE443</f>
        <v>32697731</v>
      </c>
      <c r="BQ443" s="66"/>
      <c r="BR443" s="435">
        <f t="shared" ref="BR443" si="474">+BP443/BC443</f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3">
      <c r="B444" s="158">
        <f t="shared" si="424"/>
        <v>44344</v>
      </c>
      <c r="C444" s="61"/>
      <c r="D444" s="17">
        <v>22813</v>
      </c>
      <c r="E444" s="16"/>
      <c r="F444" s="16"/>
      <c r="G444" s="16"/>
      <c r="H444" s="16">
        <f t="shared" ref="H444" si="475">+H443+D444</f>
        <v>33627522</v>
      </c>
      <c r="I444" s="16"/>
      <c r="J444" s="436">
        <f t="shared" ref="J444" si="476">+D444/H443</f>
        <v>6.7886319146521991E-4</v>
      </c>
      <c r="K444" s="16"/>
      <c r="L444" s="16"/>
      <c r="M444" s="16"/>
      <c r="N444" s="16">
        <f t="shared" ref="N444" si="477">SUM(D438:D444)</f>
        <v>146990</v>
      </c>
      <c r="O444" s="16">
        <f t="shared" ref="O444" si="478">+H444/BW444</f>
        <v>77304.64827586207</v>
      </c>
      <c r="P444" s="41"/>
      <c r="Q444" s="17">
        <f t="shared" ref="Q444" si="479">SUM(D438:D444)</f>
        <v>146990</v>
      </c>
      <c r="R444" s="16"/>
      <c r="S444" s="60">
        <f t="shared" ref="S444" si="480">+(Q444-Q437)/Q437</f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ref="Z444" si="481">SUM(W439:W444)</f>
        <v>3126</v>
      </c>
      <c r="AA444" s="33">
        <f t="shared" ref="AA444" si="482">+AA443+W444</f>
        <v>595095</v>
      </c>
      <c r="AB444" s="33"/>
      <c r="AC444" s="46">
        <f t="shared" ref="AC444" si="483">+AA444/H444</f>
        <v>1.7696665249375198E-2</v>
      </c>
      <c r="AD444" s="33"/>
      <c r="AE444" s="33">
        <f t="shared" ref="AE444" si="484">+AA444/BW444</f>
        <v>1368.0344827586207</v>
      </c>
      <c r="AF444" s="50"/>
      <c r="AG444" s="33">
        <f t="shared" ref="AG444" si="485">SUM(W438:W444)</f>
        <v>3594</v>
      </c>
      <c r="AH444" s="33">
        <f t="shared" ref="AH444" si="486">SUM(D415:D844)</f>
        <v>1118432699.060914</v>
      </c>
      <c r="AI444" s="213">
        <f t="shared" ref="AI444" si="487">+(AG444-AG437)/AG437</f>
        <v>-6.4549713690786048E-2</v>
      </c>
      <c r="AJ444" s="50"/>
      <c r="AK444" s="111"/>
      <c r="AL444" s="23">
        <f t="shared" ref="AL444" si="488">+AP444-AP443</f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ref="AR444" si="489">+AL444/AP443</f>
        <v>2.3522231109304897E-3</v>
      </c>
      <c r="AS444" s="25"/>
      <c r="AT444" s="25"/>
      <c r="AU444" s="24"/>
      <c r="AV444" s="298">
        <f t="shared" ref="AV444" si="490">+AP444/H444</f>
        <v>0.82572364386528396</v>
      </c>
      <c r="AW444" s="298"/>
      <c r="AX444" s="24">
        <f t="shared" ref="AX444" si="491">+AP444/BW444</f>
        <v>63832.275862068964</v>
      </c>
      <c r="AY444" s="308"/>
      <c r="AZ444" s="111"/>
      <c r="BA444" s="65">
        <f t="shared" ref="BA444" si="492">+BC444-BC443</f>
        <v>992768</v>
      </c>
      <c r="BB444" s="66"/>
      <c r="BC444" s="66">
        <v>478141417</v>
      </c>
      <c r="BD444" s="66"/>
      <c r="BE444" s="66">
        <f t="shared" ref="BE444" si="493">+D444</f>
        <v>22813</v>
      </c>
      <c r="BF444" s="66"/>
      <c r="BG444" s="144">
        <f t="shared" ref="BG444" si="494">+BE444/BA444</f>
        <v>2.297918546931408E-2</v>
      </c>
      <c r="BH444" s="66"/>
      <c r="BI444" s="170"/>
      <c r="BJ444" s="66"/>
      <c r="BK444" s="66">
        <f t="shared" ref="BK444" si="495">SUM(BA438:BA444)</f>
        <v>6597505</v>
      </c>
      <c r="BL444" s="66"/>
      <c r="BM444" s="144">
        <f t="shared" ref="BM444" si="496">+Q444/BK444</f>
        <v>2.2279634498192879E-2</v>
      </c>
      <c r="BN444" s="65">
        <f t="shared" ref="BN444" si="497">+BC444/BW444</f>
        <v>1099175.6712643679</v>
      </c>
      <c r="BO444" s="66"/>
      <c r="BP444" s="66">
        <f t="shared" ref="BP444" si="498">+BP443+BE444</f>
        <v>32720544</v>
      </c>
      <c r="BQ444" s="66"/>
      <c r="BR444" s="435">
        <f t="shared" ref="BR444" si="499">+BP444/BC444</f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3">
      <c r="B445" s="158">
        <f t="shared" si="424"/>
        <v>44345</v>
      </c>
      <c r="C445" s="61"/>
      <c r="D445" s="17">
        <v>12661</v>
      </c>
      <c r="E445" s="16"/>
      <c r="F445" s="16"/>
      <c r="G445" s="16"/>
      <c r="H445" s="16">
        <f t="shared" ref="H445" si="500">+H444+D445</f>
        <v>33640183</v>
      </c>
      <c r="I445" s="16"/>
      <c r="J445" s="436">
        <f t="shared" ref="J445" si="501">+D445/H444</f>
        <v>3.7650707655473395E-4</v>
      </c>
      <c r="K445" s="16"/>
      <c r="L445" s="16"/>
      <c r="M445" s="16"/>
      <c r="N445" s="16">
        <f t="shared" ref="N445" si="502">SUM(D439:D445)</f>
        <v>140012</v>
      </c>
      <c r="O445" s="16">
        <f t="shared" ref="O445" si="503">+H445/BW445</f>
        <v>77156.383027522941</v>
      </c>
      <c r="P445" s="41"/>
      <c r="Q445" s="17">
        <f t="shared" ref="Q445" si="504">SUM(D439:D445)</f>
        <v>140012</v>
      </c>
      <c r="R445" s="16"/>
      <c r="S445" s="60">
        <f t="shared" ref="S445" si="505">+(Q445-Q438)/Q438</f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ref="Z445" si="506">SUM(W440:W445)</f>
        <v>3248</v>
      </c>
      <c r="AA445" s="33">
        <f t="shared" ref="AA445" si="507">+AA444+W445</f>
        <v>595445</v>
      </c>
      <c r="AB445" s="33"/>
      <c r="AC445" s="46">
        <f t="shared" ref="AC445" si="508">+AA445/H445</f>
        <v>1.770040906138947E-2</v>
      </c>
      <c r="AD445" s="33"/>
      <c r="AE445" s="33">
        <f t="shared" ref="AE445" si="509">+AA445/BW445</f>
        <v>1365.6995412844037</v>
      </c>
      <c r="AF445" s="50"/>
      <c r="AG445" s="33">
        <f t="shared" ref="AG445" si="510">SUM(W439:W445)</f>
        <v>3476</v>
      </c>
      <c r="AH445" s="33">
        <f t="shared" ref="AH445" si="511">SUM(D416:D845)</f>
        <v>1118373430.060914</v>
      </c>
      <c r="AI445" s="213">
        <f t="shared" ref="AI445" si="512">+(AG445-AG438)/AG438</f>
        <v>-8.7903437418000524E-2</v>
      </c>
      <c r="AJ445" s="50"/>
      <c r="AK445" s="111"/>
      <c r="AL445" s="23">
        <f t="shared" ref="AL445" si="513">+AP445-AP444</f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ref="AR445" si="514">+AL445/AP444</f>
        <v>1.8698788203567972E-3</v>
      </c>
      <c r="AS445" s="25"/>
      <c r="AT445" s="25"/>
      <c r="AU445" s="24"/>
      <c r="AV445" s="298">
        <f t="shared" ref="AV445" si="515">+AP445/H445</f>
        <v>0.82695629212242994</v>
      </c>
      <c r="AW445" s="298"/>
      <c r="AX445" s="24">
        <f t="shared" ref="AX445" si="516">+AP445/BW445</f>
        <v>63804.956422018346</v>
      </c>
      <c r="AY445" s="308"/>
      <c r="AZ445" s="111"/>
      <c r="BA445" s="65">
        <f t="shared" ref="BA445" si="517">+BC445-BC444</f>
        <v>775719</v>
      </c>
      <c r="BB445" s="66"/>
      <c r="BC445" s="66">
        <v>478917136</v>
      </c>
      <c r="BD445" s="66"/>
      <c r="BE445" s="66">
        <f t="shared" ref="BE445" si="518">+D445</f>
        <v>12661</v>
      </c>
      <c r="BF445" s="66"/>
      <c r="BG445" s="144">
        <f t="shared" ref="BG445" si="519">+BE445/BA445</f>
        <v>1.6321631931150327E-2</v>
      </c>
      <c r="BH445" s="66"/>
      <c r="BI445" s="170"/>
      <c r="BJ445" s="66"/>
      <c r="BK445" s="66">
        <f t="shared" ref="BK445" si="520">SUM(BA439:BA445)</f>
        <v>6378525</v>
      </c>
      <c r="BL445" s="66"/>
      <c r="BM445" s="144">
        <f t="shared" ref="BM445" si="521">+Q445/BK445</f>
        <v>2.1950529315162989E-2</v>
      </c>
      <c r="BN445" s="65">
        <f t="shared" ref="BN445" si="522">+BC445/BW445</f>
        <v>1098433.7981651376</v>
      </c>
      <c r="BO445" s="66"/>
      <c r="BP445" s="66">
        <f t="shared" ref="BP445" si="523">+BP444+BE445</f>
        <v>32733205</v>
      </c>
      <c r="BQ445" s="66"/>
      <c r="BR445" s="435">
        <f t="shared" ref="BR445" si="524">+BP445/BC445</f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3">
      <c r="B446" s="347">
        <f t="shared" si="424"/>
        <v>44346</v>
      </c>
      <c r="C446" s="61"/>
      <c r="D446" s="17">
        <v>7750</v>
      </c>
      <c r="E446" s="16"/>
      <c r="F446" s="16"/>
      <c r="G446" s="16"/>
      <c r="H446" s="16">
        <f t="shared" ref="H446" si="525">+H445+D446</f>
        <v>33647933</v>
      </c>
      <c r="I446" s="16"/>
      <c r="J446" s="436">
        <f t="shared" ref="J446" si="526">+D446/H445</f>
        <v>2.3037924615332801E-4</v>
      </c>
      <c r="K446" s="16"/>
      <c r="L446" s="16"/>
      <c r="M446" s="16"/>
      <c r="N446" s="16">
        <f t="shared" ref="N446" si="527">SUM(D440:D446)</f>
        <v>134221</v>
      </c>
      <c r="O446" s="16">
        <f t="shared" ref="O446" si="528">+H446/BW446</f>
        <v>76997.558352402746</v>
      </c>
      <c r="P446" s="41"/>
      <c r="Q446" s="17">
        <f t="shared" ref="Q446" si="529">SUM(D440:D446)</f>
        <v>134221</v>
      </c>
      <c r="R446" s="16"/>
      <c r="S446" s="60">
        <f t="shared" ref="S446" si="530">+(Q446-Q439)/Q439</f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ref="Z446" si="531">SUM(W441:W446)</f>
        <v>3007</v>
      </c>
      <c r="AA446" s="33">
        <f t="shared" ref="AA446" si="532">+AA445+W446</f>
        <v>595569</v>
      </c>
      <c r="AB446" s="33"/>
      <c r="AC446" s="46">
        <f t="shared" ref="AC446" si="533">+AA446/H446</f>
        <v>1.7700017412659495E-2</v>
      </c>
      <c r="AD446" s="33"/>
      <c r="AE446" s="33">
        <f t="shared" ref="AE446" si="534">+AA446/BW446</f>
        <v>1362.8581235697941</v>
      </c>
      <c r="AF446" s="50"/>
      <c r="AG446" s="33">
        <f t="shared" ref="AG446" si="535">SUM(W440:W446)</f>
        <v>3372</v>
      </c>
      <c r="AH446" s="33">
        <f t="shared" ref="AH446" si="536">SUM(D417:D846)</f>
        <v>1118313524.060914</v>
      </c>
      <c r="AI446" s="213">
        <f t="shared" ref="AI446" si="537">+(AG446-AG439)/AG439</f>
        <v>-0.1008</v>
      </c>
      <c r="AJ446" s="50"/>
      <c r="AK446" s="111"/>
      <c r="AL446" s="23">
        <f t="shared" ref="AL446" si="538">+AP446-AP445</f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ref="AR446" si="539">+AL446/AP445</f>
        <v>7.880596259508038E-4</v>
      </c>
      <c r="AS446" s="25"/>
      <c r="AT446" s="25"/>
      <c r="AU446" s="24"/>
      <c r="AV446" s="298">
        <f t="shared" ref="AV446" si="540">+AP446/H446</f>
        <v>0.82741736320028925</v>
      </c>
      <c r="AW446" s="298"/>
      <c r="AX446" s="24">
        <f t="shared" ref="AX446" si="541">+AP446/BW446</f>
        <v>63709.116704805492</v>
      </c>
      <c r="AY446" s="308"/>
      <c r="AZ446" s="111"/>
      <c r="BA446" s="65">
        <f t="shared" ref="BA446" si="542">+BC446-BC445</f>
        <v>573759</v>
      </c>
      <c r="BB446" s="66"/>
      <c r="BC446" s="66">
        <v>479490895</v>
      </c>
      <c r="BD446" s="66"/>
      <c r="BE446" s="66">
        <f t="shared" ref="BE446" si="543">+D446</f>
        <v>7750</v>
      </c>
      <c r="BF446" s="66"/>
      <c r="BG446" s="144">
        <f t="shared" ref="BG446" si="544">+BE446/BA446</f>
        <v>1.350741339133678E-2</v>
      </c>
      <c r="BH446" s="66"/>
      <c r="BI446" s="170"/>
      <c r="BJ446" s="66"/>
      <c r="BK446" s="66">
        <f t="shared" ref="BK446" si="545">SUM(BA440:BA446)</f>
        <v>6186039</v>
      </c>
      <c r="BL446" s="66"/>
      <c r="BM446" s="144">
        <f t="shared" ref="BM446" si="546">+Q446/BK446</f>
        <v>2.1697406046098319E-2</v>
      </c>
      <c r="BN446" s="65">
        <f t="shared" ref="BN446" si="547">+BC446/BW446</f>
        <v>1097233.1693363844</v>
      </c>
      <c r="BO446" s="66"/>
      <c r="BP446" s="66">
        <f t="shared" ref="BP446" si="548">+BP445+BE446</f>
        <v>32740955</v>
      </c>
      <c r="BQ446" s="66"/>
      <c r="BR446" s="435">
        <f t="shared" ref="BR446" si="549">+BP446/BC446</f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3">
      <c r="B447" s="158">
        <f t="shared" si="424"/>
        <v>44347</v>
      </c>
      <c r="C447" s="61"/>
      <c r="D447" s="17">
        <v>5235</v>
      </c>
      <c r="E447" s="16"/>
      <c r="F447" s="16"/>
      <c r="G447" s="16"/>
      <c r="H447" s="16">
        <f t="shared" ref="H447" si="550">+H446+D447</f>
        <v>33653168</v>
      </c>
      <c r="I447" s="16"/>
      <c r="J447" s="436">
        <f t="shared" ref="J447" si="551">+D447/H446</f>
        <v>1.5558162220544126E-4</v>
      </c>
      <c r="K447" s="16"/>
      <c r="L447" s="16"/>
      <c r="M447" s="16"/>
      <c r="N447" s="16">
        <f t="shared" ref="N447" si="552">SUM(D441:D447)</f>
        <v>119090</v>
      </c>
      <c r="O447" s="16">
        <f t="shared" ref="O447" si="553">+H447/BW447</f>
        <v>76833.716894977173</v>
      </c>
      <c r="P447" s="41"/>
      <c r="Q447" s="17">
        <f t="shared" ref="Q447" si="554">SUM(D441:D447)</f>
        <v>119090</v>
      </c>
      <c r="R447" s="16"/>
      <c r="S447" s="60">
        <f t="shared" ref="S447" si="555">+(Q447-Q440)/Q440</f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ref="Z447" si="556">SUM(W442:W447)</f>
        <v>2453</v>
      </c>
      <c r="AA447" s="33">
        <f t="shared" ref="AA447" si="557">+AA446+W447</f>
        <v>595684</v>
      </c>
      <c r="AB447" s="33"/>
      <c r="AC447" s="46">
        <f t="shared" ref="AC447" si="558">+AA447/H447</f>
        <v>1.770068125532788E-2</v>
      </c>
      <c r="AD447" s="33"/>
      <c r="AE447" s="33">
        <f t="shared" ref="AE447" si="559">+AA447/BW447</f>
        <v>1360.0091324200914</v>
      </c>
      <c r="AF447" s="50"/>
      <c r="AG447" s="33">
        <f t="shared" ref="AG447" si="560">SUM(W441:W447)</f>
        <v>3122</v>
      </c>
      <c r="AH447" s="33">
        <f t="shared" ref="AH447" si="561">SUM(D418:D847)</f>
        <v>1118271490.060914</v>
      </c>
      <c r="AI447" s="213">
        <f t="shared" ref="AI447" si="562">+(AG447-AG440)/AG440</f>
        <v>-0.16657768286171917</v>
      </c>
      <c r="AJ447" s="50"/>
      <c r="AK447" s="111"/>
      <c r="AL447" s="23">
        <f t="shared" ref="AL447" si="563">+AP447-AP446</f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ref="AR447" si="564">+AL447/AP446</f>
        <v>8.2454278391447624E-4</v>
      </c>
      <c r="AS447" s="25"/>
      <c r="AT447" s="25"/>
      <c r="AU447" s="24"/>
      <c r="AV447" s="298">
        <f t="shared" ref="AV447" si="565">+AP447/H447</f>
        <v>0.82797078717819372</v>
      </c>
      <c r="AW447" s="298"/>
      <c r="AX447" s="24">
        <f t="shared" ref="AX447" si="566">+AP447/BW447</f>
        <v>63616.07305936073</v>
      </c>
      <c r="AY447" s="308"/>
      <c r="AZ447" s="111"/>
      <c r="BA447" s="65">
        <f t="shared" ref="BA447" si="567">+BC447-BC446</f>
        <v>439228</v>
      </c>
      <c r="BB447" s="66"/>
      <c r="BC447" s="66">
        <v>479930123</v>
      </c>
      <c r="BD447" s="66"/>
      <c r="BE447" s="66">
        <f t="shared" ref="BE447" si="568">+D447</f>
        <v>5235</v>
      </c>
      <c r="BF447" s="66"/>
      <c r="BG447" s="144">
        <f t="shared" ref="BG447" si="569">+BE447/BA447</f>
        <v>1.1918639066726164E-2</v>
      </c>
      <c r="BH447" s="66"/>
      <c r="BI447" s="170"/>
      <c r="BJ447" s="66"/>
      <c r="BK447" s="66">
        <f t="shared" ref="BK447" si="570">SUM(BA441:BA447)</f>
        <v>5561510</v>
      </c>
      <c r="BL447" s="66"/>
      <c r="BM447" s="144">
        <f t="shared" ref="BM447" si="571">+Q447/BK447</f>
        <v>2.1413249279422314E-2</v>
      </c>
      <c r="BN447" s="65">
        <f t="shared" ref="BN447" si="572">+BC447/BW447</f>
        <v>1095730.8744292238</v>
      </c>
      <c r="BO447" s="66"/>
      <c r="BP447" s="66">
        <f t="shared" ref="BP447" si="573">+BP446+BE447</f>
        <v>32746190</v>
      </c>
      <c r="BQ447" s="66"/>
      <c r="BR447" s="435">
        <f t="shared" ref="BR447" si="574">+BP447/BC447</f>
        <v>6.8231162060231845E-2</v>
      </c>
      <c r="BS447" s="66"/>
      <c r="BT447" s="75"/>
      <c r="BU447" s="170"/>
      <c r="BV447" s="1"/>
      <c r="BW447" s="61">
        <f t="shared" si="186"/>
        <v>438</v>
      </c>
    </row>
    <row r="448" spans="2:75" x14ac:dyDescent="0.3">
      <c r="B448" s="158">
        <f t="shared" si="424"/>
        <v>44348</v>
      </c>
      <c r="C448" s="61"/>
      <c r="D448" s="17">
        <v>12976</v>
      </c>
      <c r="E448" s="16"/>
      <c r="F448" s="16"/>
      <c r="G448" s="16"/>
      <c r="H448" s="16">
        <f t="shared" ref="H448" si="575">+H447+D448</f>
        <v>33666144</v>
      </c>
      <c r="I448" s="16"/>
      <c r="J448" s="436">
        <f t="shared" ref="J448" si="576">+D448/H447</f>
        <v>3.855803412029441E-4</v>
      </c>
      <c r="K448" s="16"/>
      <c r="L448" s="16"/>
      <c r="M448" s="16"/>
      <c r="N448" s="16">
        <f t="shared" ref="N448" si="577">SUM(D442:D448)</f>
        <v>109328</v>
      </c>
      <c r="O448" s="16">
        <f t="shared" ref="O448" si="578">+H448/BW448</f>
        <v>76688.255125284733</v>
      </c>
      <c r="P448" s="41"/>
      <c r="Q448" s="17">
        <f t="shared" ref="Q448" si="579">SUM(D442:D448)</f>
        <v>109328</v>
      </c>
      <c r="R448" s="16"/>
      <c r="S448" s="60">
        <f t="shared" ref="S448" si="580">+(Q448-Q441)/Q441</f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ref="Z448" si="581">SUM(W443:W448)</f>
        <v>2133</v>
      </c>
      <c r="AA448" s="33">
        <f t="shared" ref="AA448" si="582">+AA447+W448</f>
        <v>595971</v>
      </c>
      <c r="AB448" s="33"/>
      <c r="AC448" s="46">
        <f t="shared" ref="AC448" si="583">+AA448/H448</f>
        <v>1.7702383736016812E-2</v>
      </c>
      <c r="AD448" s="33"/>
      <c r="AE448" s="33">
        <f t="shared" ref="AE448" si="584">+AA448/BW448</f>
        <v>1357.5649202733484</v>
      </c>
      <c r="AF448" s="50"/>
      <c r="AG448" s="33">
        <f t="shared" ref="AG448" si="585">SUM(W442:W448)</f>
        <v>2740</v>
      </c>
      <c r="AH448" s="33">
        <f t="shared" ref="AH448" si="586">SUM(D419:D848)</f>
        <v>1118240789.060914</v>
      </c>
      <c r="AI448" s="213">
        <f t="shared" ref="AI448" si="587">+(AG448-AG441)/AG441</f>
        <v>-0.25583921781640412</v>
      </c>
      <c r="AJ448" s="50"/>
      <c r="AK448" s="111"/>
      <c r="AL448" s="23">
        <f t="shared" ref="AL448" si="588">+AP448-AP447</f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ref="AR448" si="589">+AL448/AP447</f>
        <v>2.7662375322281495E-3</v>
      </c>
      <c r="AS448" s="25"/>
      <c r="AT448" s="25"/>
      <c r="AU448" s="24"/>
      <c r="AV448" s="298">
        <f t="shared" ref="AV448" si="590">+AP448/H448</f>
        <v>0.82994114205654201</v>
      </c>
      <c r="AW448" s="298"/>
      <c r="AX448" s="24">
        <f t="shared" ref="AX448" si="591">+AP448/BW448</f>
        <v>63646.738041002282</v>
      </c>
      <c r="AY448" s="308"/>
      <c r="AZ448" s="111"/>
      <c r="BA448" s="65">
        <f t="shared" ref="BA448" si="592">+BC448-BC447</f>
        <v>1018663</v>
      </c>
      <c r="BB448" s="66"/>
      <c r="BC448" s="66">
        <v>480948786</v>
      </c>
      <c r="BD448" s="66"/>
      <c r="BE448" s="66">
        <f t="shared" ref="BE448" si="593">+D448</f>
        <v>12976</v>
      </c>
      <c r="BF448" s="66"/>
      <c r="BG448" s="144">
        <f t="shared" ref="BG448" si="594">+BE448/BA448</f>
        <v>1.2738265746375396E-2</v>
      </c>
      <c r="BH448" s="66"/>
      <c r="BI448" s="170"/>
      <c r="BJ448" s="66"/>
      <c r="BK448" s="66">
        <f t="shared" ref="BK448" si="595">SUM(BA442:BA448)</f>
        <v>5721964</v>
      </c>
      <c r="BL448" s="66"/>
      <c r="BM448" s="144">
        <f t="shared" ref="BM448" si="596">+Q448/BK448</f>
        <v>1.91067262918816E-2</v>
      </c>
      <c r="BN448" s="65">
        <f t="shared" ref="BN448" si="597">+BC448/BW448</f>
        <v>1095555.3211845104</v>
      </c>
      <c r="BO448" s="66"/>
      <c r="BP448" s="66">
        <f t="shared" ref="BP448" si="598">+BP447+BE448</f>
        <v>32759166</v>
      </c>
      <c r="BQ448" s="66"/>
      <c r="BR448" s="435">
        <f t="shared" ref="BR448" si="599">+BP448/BC448</f>
        <v>6.8113626551497317E-2</v>
      </c>
      <c r="BS448" s="66"/>
      <c r="BT448" s="75"/>
      <c r="BU448" s="170"/>
      <c r="BV448" s="1"/>
      <c r="BW448" s="61">
        <f t="shared" si="186"/>
        <v>439</v>
      </c>
    </row>
    <row r="449" spans="2:75" x14ac:dyDescent="0.3">
      <c r="B449" s="158">
        <f t="shared" si="424"/>
        <v>44349</v>
      </c>
      <c r="C449" s="61"/>
      <c r="D449" s="17">
        <v>16974</v>
      </c>
      <c r="E449" s="16"/>
      <c r="F449" s="16"/>
      <c r="G449" s="16"/>
      <c r="H449" s="16">
        <f t="shared" ref="H449" si="600">+H448+D449</f>
        <v>33683118</v>
      </c>
      <c r="I449" s="16"/>
      <c r="J449" s="436">
        <f t="shared" ref="J449" si="601">+D449/H448</f>
        <v>5.0418604518533518E-4</v>
      </c>
      <c r="K449" s="16"/>
      <c r="L449" s="16"/>
      <c r="M449" s="16"/>
      <c r="N449" s="16">
        <f t="shared" ref="N449" si="602">SUM(D443:D449)</f>
        <v>102802</v>
      </c>
      <c r="O449" s="16">
        <f t="shared" ref="O449" si="603">+H449/BW449</f>
        <v>76552.540909090909</v>
      </c>
      <c r="P449" s="41"/>
      <c r="Q449" s="17">
        <f t="shared" ref="Q449" si="604">SUM(D443:D449)</f>
        <v>102802</v>
      </c>
      <c r="R449" s="16"/>
      <c r="S449" s="60">
        <f t="shared" ref="S449" si="605">+(Q449-Q442)/Q442</f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ref="Z449" si="606">SUM(W444:W449)</f>
        <v>2017</v>
      </c>
      <c r="AA449" s="33">
        <f t="shared" ref="AA449" si="607">+AA448+W449</f>
        <v>596485</v>
      </c>
      <c r="AB449" s="33"/>
      <c r="AC449" s="46">
        <f t="shared" ref="AC449" si="608">+AA449/H449</f>
        <v>1.7708722808856353E-2</v>
      </c>
      <c r="AD449" s="33"/>
      <c r="AE449" s="33">
        <f t="shared" ref="AE449" si="609">+AA449/BW449</f>
        <v>1355.6477272727273</v>
      </c>
      <c r="AF449" s="50"/>
      <c r="AG449" s="33">
        <f t="shared" ref="AG449" si="610">SUM(W443:W449)</f>
        <v>2647</v>
      </c>
      <c r="AH449" s="33">
        <f t="shared" ref="AH449" si="611">SUM(D420:D849)</f>
        <v>1118200335.060914</v>
      </c>
      <c r="AI449" s="213">
        <f t="shared" ref="AI449" si="612">+(AG449-AG442)/AG442</f>
        <v>-0.27539009033670958</v>
      </c>
      <c r="AJ449" s="50"/>
      <c r="AK449" s="111"/>
      <c r="AL449" s="23">
        <f t="shared" ref="AL449" si="613">+AP449-AP448</f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ref="AR449" si="614">+AL449/AP448</f>
        <v>1.6317645683652914E-3</v>
      </c>
      <c r="AS449" s="25"/>
      <c r="AT449" s="25"/>
      <c r="AU449" s="24"/>
      <c r="AV449" s="298">
        <f t="shared" ref="AV449" si="615">+AP449/H449</f>
        <v>0.83087649427229393</v>
      </c>
      <c r="AW449" s="298"/>
      <c r="AX449" s="24">
        <f t="shared" ref="AX449" si="616">+AP449/BW449</f>
        <v>63605.706818181818</v>
      </c>
      <c r="AY449" s="308"/>
      <c r="AZ449" s="111"/>
      <c r="BA449" s="65">
        <f t="shared" ref="BA449" si="617">+BC449-BC448</f>
        <v>659207</v>
      </c>
      <c r="BB449" s="66"/>
      <c r="BC449" s="66">
        <v>481607993</v>
      </c>
      <c r="BD449" s="66"/>
      <c r="BE449" s="66">
        <f t="shared" ref="BE449" si="618">+D449</f>
        <v>16974</v>
      </c>
      <c r="BF449" s="66"/>
      <c r="BG449" s="144">
        <f t="shared" ref="BG449" si="619">+BE449/BA449</f>
        <v>2.5749119775730536E-2</v>
      </c>
      <c r="BH449" s="66"/>
      <c r="BI449" s="170"/>
      <c r="BJ449" s="66"/>
      <c r="BK449" s="66">
        <f t="shared" ref="BK449" si="620">SUM(BA443:BA449)</f>
        <v>5467750</v>
      </c>
      <c r="BL449" s="66"/>
      <c r="BM449" s="144">
        <f t="shared" ref="BM449" si="621">+Q449/BK449</f>
        <v>1.8801517991861368E-2</v>
      </c>
      <c r="BN449" s="65">
        <f t="shared" ref="BN449" si="622">+BC449/BW449</f>
        <v>1094563.6204545454</v>
      </c>
      <c r="BO449" s="66"/>
      <c r="BP449" s="66">
        <f t="shared" ref="BP449" si="623">+BP448+BE449</f>
        <v>32776140</v>
      </c>
      <c r="BQ449" s="66"/>
      <c r="BR449" s="435">
        <f t="shared" ref="BR449" si="624">+BP449/BC449</f>
        <v>6.8055639599818682E-2</v>
      </c>
      <c r="BS449" s="66"/>
      <c r="BT449" s="75"/>
      <c r="BU449" s="170"/>
      <c r="BV449" s="1"/>
      <c r="BW449" s="61">
        <f t="shared" si="186"/>
        <v>440</v>
      </c>
    </row>
    <row r="450" spans="2:75" x14ac:dyDescent="0.3">
      <c r="B450" s="158">
        <f t="shared" si="424"/>
        <v>44350</v>
      </c>
      <c r="C450" s="61"/>
      <c r="D450" s="17">
        <v>17821</v>
      </c>
      <c r="E450" s="16"/>
      <c r="F450" s="16"/>
      <c r="G450" s="16"/>
      <c r="H450" s="16">
        <f t="shared" ref="H450" si="625">+H449+D450</f>
        <v>33700939</v>
      </c>
      <c r="I450" s="16"/>
      <c r="J450" s="436">
        <f t="shared" ref="J450" si="626">+D450/H449</f>
        <v>5.2907809781742884E-4</v>
      </c>
      <c r="K450" s="16"/>
      <c r="L450" s="16"/>
      <c r="M450" s="16"/>
      <c r="N450" s="16">
        <f t="shared" ref="N450" si="627">SUM(D444:D450)</f>
        <v>96230</v>
      </c>
      <c r="O450" s="16">
        <f t="shared" ref="O450" si="628">+H450/BW450</f>
        <v>76419.36281179139</v>
      </c>
      <c r="P450" s="41"/>
      <c r="Q450" s="17">
        <f t="shared" ref="Q450" si="629">SUM(D444:D450)</f>
        <v>96230</v>
      </c>
      <c r="R450" s="16"/>
      <c r="S450" s="60">
        <f t="shared" ref="S450" si="630">+(Q450-Q443)/Q443</f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ref="Z450" si="631">SUM(W445:W450)</f>
        <v>1964</v>
      </c>
      <c r="AA450" s="33">
        <f t="shared" ref="AA450" si="632">+AA449+W450</f>
        <v>597059</v>
      </c>
      <c r="AB450" s="33"/>
      <c r="AC450" s="46">
        <f t="shared" ref="AC450" si="633">+AA450/H450</f>
        <v>1.7716390632320365E-2</v>
      </c>
      <c r="AD450" s="33"/>
      <c r="AE450" s="33">
        <f t="shared" ref="AE450" si="634">+AA450/BW450</f>
        <v>1353.875283446712</v>
      </c>
      <c r="AF450" s="50"/>
      <c r="AG450" s="33">
        <f t="shared" ref="AG450" si="635">SUM(W444:W450)</f>
        <v>2591</v>
      </c>
      <c r="AH450" s="33">
        <f t="shared" ref="AH450" si="636">SUM(D421:D850)</f>
        <v>1118157981.060914</v>
      </c>
      <c r="AI450" s="213">
        <f t="shared" ref="AI450" si="637">+(AG450-AG443)/AG443</f>
        <v>-0.28504415011037526</v>
      </c>
      <c r="AJ450" s="50"/>
      <c r="AK450" s="111"/>
      <c r="AL450" s="23">
        <f t="shared" ref="AL450" si="638">+AP450-AP449</f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ref="AR450" si="639">+AL450/AP449</f>
        <v>1.3958152911593732E-3</v>
      </c>
      <c r="AS450" s="25"/>
      <c r="AT450" s="25"/>
      <c r="AU450" s="24"/>
      <c r="AV450" s="298">
        <f t="shared" ref="AV450" si="640">+AP450/H450</f>
        <v>0.83159626501801631</v>
      </c>
      <c r="AW450" s="298"/>
      <c r="AX450" s="24">
        <f t="shared" ref="AX450" si="641">+AP450/BW450</f>
        <v>63550.056689342404</v>
      </c>
      <c r="AY450" s="308"/>
      <c r="AZ450" s="111"/>
      <c r="BA450" s="65">
        <f t="shared" ref="BA450" si="642">+BC450-BC449</f>
        <v>782831</v>
      </c>
      <c r="BB450" s="66"/>
      <c r="BC450" s="66">
        <v>482390824</v>
      </c>
      <c r="BD450" s="66"/>
      <c r="BE450" s="66">
        <f t="shared" ref="BE450" si="643">+D450</f>
        <v>17821</v>
      </c>
      <c r="BF450" s="66"/>
      <c r="BG450" s="144">
        <f t="shared" ref="BG450" si="644">+BE450/BA450</f>
        <v>2.2764811306654947E-2</v>
      </c>
      <c r="BH450" s="66"/>
      <c r="BI450" s="170"/>
      <c r="BJ450" s="66"/>
      <c r="BK450" s="66">
        <f t="shared" ref="BK450" si="645">SUM(BA444:BA450)</f>
        <v>5242175</v>
      </c>
      <c r="BL450" s="66"/>
      <c r="BM450" s="144">
        <f t="shared" ref="BM450" si="646">+Q450/BK450</f>
        <v>1.835688430851698E-2</v>
      </c>
      <c r="BN450" s="65">
        <f t="shared" ref="BN450" si="647">+BC450/BW450</f>
        <v>1093856.7437641723</v>
      </c>
      <c r="BO450" s="66"/>
      <c r="BP450" s="66">
        <f t="shared" ref="BP450" si="648">+BP449+BE450</f>
        <v>32793961</v>
      </c>
      <c r="BQ450" s="66"/>
      <c r="BR450" s="435">
        <f t="shared" ref="BR450" si="649">+BP450/BC450</f>
        <v>6.7982140970409499E-2</v>
      </c>
      <c r="BS450" s="66"/>
      <c r="BT450" s="75"/>
      <c r="BU450" s="170"/>
      <c r="BV450" s="1"/>
      <c r="BW450" s="61">
        <f t="shared" si="186"/>
        <v>441</v>
      </c>
    </row>
    <row r="451" spans="2:75" x14ac:dyDescent="0.3">
      <c r="B451" s="158">
        <f t="shared" si="424"/>
        <v>44351</v>
      </c>
      <c r="C451" s="61"/>
      <c r="D451" s="17">
        <v>16925</v>
      </c>
      <c r="E451" s="16"/>
      <c r="F451" s="16"/>
      <c r="G451" s="16"/>
      <c r="H451" s="16">
        <f t="shared" ref="H451" si="650">+H450+D451</f>
        <v>33717864</v>
      </c>
      <c r="I451" s="16"/>
      <c r="J451" s="436">
        <f t="shared" ref="J451" si="651">+D451/H450</f>
        <v>5.0221152591623636E-4</v>
      </c>
      <c r="K451" s="16"/>
      <c r="L451" s="16"/>
      <c r="M451" s="16"/>
      <c r="N451" s="16">
        <f t="shared" ref="N451" si="652">SUM(D445:D451)</f>
        <v>90342</v>
      </c>
      <c r="O451" s="16">
        <f t="shared" ref="O451" si="653">+H451/BW451</f>
        <v>76284.760180995479</v>
      </c>
      <c r="P451" s="41"/>
      <c r="Q451" s="17">
        <f t="shared" ref="Q451" si="654">SUM(D445:D451)</f>
        <v>90342</v>
      </c>
      <c r="R451" s="16"/>
      <c r="S451" s="60">
        <f t="shared" ref="S451" si="655">+(Q451-Q444)/Q444</f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ref="Z451" si="656">SUM(W446:W451)</f>
        <v>2134</v>
      </c>
      <c r="AA451" s="33">
        <f t="shared" ref="AA451" si="657">+AA450+W451</f>
        <v>597579</v>
      </c>
      <c r="AB451" s="33"/>
      <c r="AC451" s="46">
        <f t="shared" ref="AC451" si="658">+AA451/H451</f>
        <v>1.7722919814849483E-2</v>
      </c>
      <c r="AD451" s="33"/>
      <c r="AE451" s="33">
        <f t="shared" ref="AE451" si="659">+AA451/BW451</f>
        <v>1351.9886877828055</v>
      </c>
      <c r="AF451" s="50"/>
      <c r="AG451" s="33">
        <f t="shared" ref="AG451" si="660">SUM(W445:W451)</f>
        <v>2484</v>
      </c>
      <c r="AH451" s="33">
        <f t="shared" ref="AH451" si="661">SUM(D422:D851)</f>
        <v>1118111852.060914</v>
      </c>
      <c r="AI451" s="213">
        <f t="shared" ref="AI451" si="662">+(AG451-AG444)/AG444</f>
        <v>-0.30884808013355591</v>
      </c>
      <c r="AJ451" s="50"/>
      <c r="AK451" s="111"/>
      <c r="AL451" s="23">
        <f t="shared" ref="AL451" si="663">+AP451-AP450</f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ref="AR451" si="664">+AL451/AP450</f>
        <v>1.0497554465876257E-3</v>
      </c>
      <c r="AS451" s="25"/>
      <c r="AT451" s="25"/>
      <c r="AU451" s="24"/>
      <c r="AV451" s="298">
        <f t="shared" ref="AV451" si="665">+AP451/H451</f>
        <v>0.8320513719374395</v>
      </c>
      <c r="AW451" s="298"/>
      <c r="AX451" s="24">
        <f t="shared" ref="AX451" si="666">+AP451/BW451</f>
        <v>63472.839366515836</v>
      </c>
      <c r="AY451" s="308"/>
      <c r="AZ451" s="111"/>
      <c r="BA451" s="65">
        <f t="shared" ref="BA451" si="667">+BC451-BC450</f>
        <v>973509</v>
      </c>
      <c r="BB451" s="66"/>
      <c r="BC451" s="66">
        <v>483364333</v>
      </c>
      <c r="BD451" s="66"/>
      <c r="BE451" s="66">
        <f t="shared" ref="BE451" si="668">+D451</f>
        <v>16925</v>
      </c>
      <c r="BF451" s="66"/>
      <c r="BG451" s="144">
        <f t="shared" ref="BG451" si="669">+BE451/BA451</f>
        <v>1.7385560893633238E-2</v>
      </c>
      <c r="BH451" s="66"/>
      <c r="BI451" s="170"/>
      <c r="BJ451" s="66"/>
      <c r="BK451" s="66">
        <f t="shared" ref="BK451" si="670">SUM(BA445:BA451)</f>
        <v>5222916</v>
      </c>
      <c r="BL451" s="66"/>
      <c r="BM451" s="144">
        <f t="shared" ref="BM451" si="671">+Q451/BK451</f>
        <v>1.7297233958960857E-2</v>
      </c>
      <c r="BN451" s="65">
        <f t="shared" ref="BN451" si="672">+BC451/BW451</f>
        <v>1093584.463800905</v>
      </c>
      <c r="BO451" s="66"/>
      <c r="BP451" s="66">
        <f t="shared" ref="BP451" si="673">+BP450+BE451</f>
        <v>32810886</v>
      </c>
      <c r="BQ451" s="66"/>
      <c r="BR451" s="435">
        <f t="shared" ref="BR451" si="674">+BP451/BC451</f>
        <v>6.788023807292376E-2</v>
      </c>
      <c r="BS451" s="66"/>
      <c r="BT451" s="75"/>
      <c r="BU451" s="170"/>
      <c r="BV451" s="1"/>
      <c r="BW451" s="61">
        <f t="shared" si="186"/>
        <v>442</v>
      </c>
    </row>
    <row r="452" spans="2:75" x14ac:dyDescent="0.3">
      <c r="B452" s="158">
        <f t="shared" si="424"/>
        <v>44352</v>
      </c>
      <c r="C452" s="61"/>
      <c r="D452" s="17">
        <v>11603</v>
      </c>
      <c r="E452" s="16"/>
      <c r="F452" s="16"/>
      <c r="G452" s="16"/>
      <c r="H452" s="16">
        <f t="shared" ref="H452" si="675">+H451+D452</f>
        <v>33729467</v>
      </c>
      <c r="I452" s="16"/>
      <c r="J452" s="436">
        <f t="shared" ref="J452" si="676">+D452/H451</f>
        <v>3.4412025625348035E-4</v>
      </c>
      <c r="K452" s="16"/>
      <c r="L452" s="16"/>
      <c r="M452" s="16"/>
      <c r="N452" s="16">
        <f t="shared" ref="N452" si="677">SUM(D446:D452)</f>
        <v>89284</v>
      </c>
      <c r="O452" s="16">
        <f t="shared" ref="O452" si="678">+H452/BW452</f>
        <v>76138.751693002254</v>
      </c>
      <c r="P452" s="41"/>
      <c r="Q452" s="17">
        <f t="shared" ref="Q452" si="679">SUM(D446:D452)</f>
        <v>89284</v>
      </c>
      <c r="R452" s="16"/>
      <c r="S452" s="60">
        <f t="shared" ref="S452" si="680">+(Q452-Q445)/Q445</f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ref="Z452" si="681">SUM(W447:W452)</f>
        <v>2398</v>
      </c>
      <c r="AA452" s="33">
        <f t="shared" ref="AA452" si="682">+AA451+W452</f>
        <v>597967</v>
      </c>
      <c r="AB452" s="33"/>
      <c r="AC452" s="46">
        <f t="shared" ref="AC452" si="683">+AA452/H452</f>
        <v>1.7728326391875684E-2</v>
      </c>
      <c r="AD452" s="33"/>
      <c r="AE452" s="33">
        <f t="shared" ref="AE452" si="684">+AA452/BW452</f>
        <v>1349.8126410835214</v>
      </c>
      <c r="AF452" s="50"/>
      <c r="AG452" s="33">
        <f t="shared" ref="AG452" si="685">SUM(W446:W452)</f>
        <v>2522</v>
      </c>
      <c r="AH452" s="33">
        <f t="shared" ref="AH452" si="686">SUM(D423:D852)</f>
        <v>1118064033.060914</v>
      </c>
      <c r="AI452" s="213">
        <f t="shared" ref="AI452" si="687">+(AG452-AG445)/AG445</f>
        <v>-0.27445339470655927</v>
      </c>
      <c r="AJ452" s="50"/>
      <c r="AK452" s="111"/>
      <c r="AL452" s="23">
        <f t="shared" ref="AL452" si="688">+AP452-AP451</f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ref="AR452" si="689">+AL452/AP451</f>
        <v>1.7286048348966023E-3</v>
      </c>
      <c r="AS452" s="25"/>
      <c r="AT452" s="25"/>
      <c r="AU452" s="24"/>
      <c r="AV452" s="298">
        <f t="shared" ref="AV452" si="690">+AP452/H452</f>
        <v>0.83320293795333322</v>
      </c>
      <c r="AW452" s="298"/>
      <c r="AX452" s="24">
        <f t="shared" ref="AX452" si="691">+AP452/BW452</f>
        <v>63439.031602708805</v>
      </c>
      <c r="AY452" s="308"/>
      <c r="AZ452" s="111"/>
      <c r="BA452" s="65">
        <f t="shared" ref="BA452" si="692">+BC452-BC451</f>
        <v>2921876</v>
      </c>
      <c r="BB452" s="66"/>
      <c r="BC452" s="66">
        <v>486286209</v>
      </c>
      <c r="BD452" s="66"/>
      <c r="BE452" s="66">
        <f t="shared" ref="BE452" si="693">+D452</f>
        <v>11603</v>
      </c>
      <c r="BF452" s="66"/>
      <c r="BG452" s="144">
        <f t="shared" ref="BG452" si="694">+BE452/BA452</f>
        <v>3.971078854817932E-3</v>
      </c>
      <c r="BH452" s="66"/>
      <c r="BI452" s="170"/>
      <c r="BJ452" s="66"/>
      <c r="BK452" s="66">
        <f t="shared" ref="BK452" si="695">SUM(BA446:BA452)</f>
        <v>7369073</v>
      </c>
      <c r="BL452" s="66"/>
      <c r="BM452" s="144">
        <f t="shared" ref="BM452" si="696">+Q452/BK452</f>
        <v>1.2116042275602373E-2</v>
      </c>
      <c r="BN452" s="65">
        <f t="shared" ref="BN452" si="697">+BC452/BW452</f>
        <v>1097711.5327313771</v>
      </c>
      <c r="BO452" s="66"/>
      <c r="BP452" s="66">
        <f t="shared" ref="BP452" si="698">+BP451+BE452</f>
        <v>32822489</v>
      </c>
      <c r="BQ452" s="66"/>
      <c r="BR452" s="435">
        <f t="shared" ref="BR452" si="699">+BP452/BC452</f>
        <v>6.7496236563023726E-2</v>
      </c>
      <c r="BS452" s="66"/>
      <c r="BT452" s="75"/>
      <c r="BU452" s="170"/>
      <c r="BV452" s="1"/>
      <c r="BW452" s="61">
        <f t="shared" si="186"/>
        <v>443</v>
      </c>
    </row>
    <row r="453" spans="2:75" x14ac:dyDescent="0.3">
      <c r="B453" s="347">
        <f t="shared" si="424"/>
        <v>44353</v>
      </c>
      <c r="C453" s="61"/>
      <c r="D453" s="17">
        <v>6408</v>
      </c>
      <c r="E453" s="16"/>
      <c r="F453" s="16"/>
      <c r="G453" s="16"/>
      <c r="H453" s="16">
        <f t="shared" ref="H453" si="700">+H452+D453</f>
        <v>33735875</v>
      </c>
      <c r="I453" s="16"/>
      <c r="J453" s="436">
        <f t="shared" ref="J453" si="701">+D453/H452</f>
        <v>1.8998224905243834E-4</v>
      </c>
      <c r="K453" s="16"/>
      <c r="L453" s="16"/>
      <c r="M453" s="16"/>
      <c r="N453" s="16">
        <f t="shared" ref="N453" si="702">SUM(D447:D453)</f>
        <v>87942</v>
      </c>
      <c r="O453" s="16">
        <f t="shared" ref="O453" si="703">+H453/BW453</f>
        <v>75981.700450450444</v>
      </c>
      <c r="P453" s="41"/>
      <c r="Q453" s="17">
        <f t="shared" ref="Q453" si="704">SUM(D447:D453)</f>
        <v>87942</v>
      </c>
      <c r="R453" s="16"/>
      <c r="S453" s="60">
        <f t="shared" ref="S453" si="705">+(Q453-Q446)/Q446</f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ref="Z453" si="706">SUM(W448:W453)</f>
        <v>2447</v>
      </c>
      <c r="AA453" s="33">
        <f t="shared" ref="AA453" si="707">+AA452+W453</f>
        <v>598131</v>
      </c>
      <c r="AB453" s="33"/>
      <c r="AC453" s="46">
        <f t="shared" ref="AC453" si="708">+AA453/H453</f>
        <v>1.7729820258108021E-2</v>
      </c>
      <c r="AD453" s="33"/>
      <c r="AE453" s="33">
        <f t="shared" ref="AE453" si="709">+AA453/BW453</f>
        <v>1347.1418918918919</v>
      </c>
      <c r="AF453" s="50"/>
      <c r="AG453" s="33">
        <f t="shared" ref="AG453" si="710">SUM(W447:W453)</f>
        <v>2562</v>
      </c>
      <c r="AH453" s="33">
        <f t="shared" ref="AH453" si="711">SUM(D424:D853)</f>
        <v>1118014542.060914</v>
      </c>
      <c r="AI453" s="213">
        <f t="shared" ref="AI453" si="712">+(AG453-AG446)/AG446</f>
        <v>-0.2402135231316726</v>
      </c>
      <c r="AJ453" s="50"/>
      <c r="AK453" s="111"/>
      <c r="AL453" s="23">
        <f t="shared" ref="AL453" si="713">+AP453-AP452</f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ref="AR453" si="714">+AL453/AP452</f>
        <v>6.8482595276152703E-4</v>
      </c>
      <c r="AS453" s="25"/>
      <c r="AT453" s="25"/>
      <c r="AU453" s="24"/>
      <c r="AV453" s="298">
        <f t="shared" ref="AV453" si="715">+AP453/H453</f>
        <v>0.83361516486529552</v>
      </c>
      <c r="AW453" s="298"/>
      <c r="AX453" s="24">
        <f t="shared" ref="AX453" si="716">+AP453/BW453</f>
        <v>63339.497747747744</v>
      </c>
      <c r="AY453" s="308"/>
      <c r="AZ453" s="111"/>
      <c r="BA453" s="65">
        <f t="shared" ref="BA453" si="717">+BC453-BC452</f>
        <v>582741</v>
      </c>
      <c r="BB453" s="66"/>
      <c r="BC453" s="66">
        <v>486868950</v>
      </c>
      <c r="BD453" s="66"/>
      <c r="BE453" s="66">
        <f t="shared" ref="BE453" si="718">+D453</f>
        <v>6408</v>
      </c>
      <c r="BF453" s="66"/>
      <c r="BG453" s="144">
        <f t="shared" ref="BG453" si="719">+BE453/BA453</f>
        <v>1.0996308823302291E-2</v>
      </c>
      <c r="BH453" s="66"/>
      <c r="BI453" s="170"/>
      <c r="BJ453" s="66"/>
      <c r="BK453" s="66">
        <f t="shared" ref="BK453" si="720">SUM(BA447:BA453)</f>
        <v>7378055</v>
      </c>
      <c r="BL453" s="66"/>
      <c r="BM453" s="144">
        <f t="shared" ref="BM453" si="721">+Q453/BK453</f>
        <v>1.1919401522487973E-2</v>
      </c>
      <c r="BN453" s="65">
        <f t="shared" ref="BN453" si="722">+BC453/BW453</f>
        <v>1096551.6891891891</v>
      </c>
      <c r="BO453" s="66"/>
      <c r="BP453" s="66">
        <f t="shared" ref="BP453" si="723">+BP452+BE453</f>
        <v>32828897</v>
      </c>
      <c r="BQ453" s="66"/>
      <c r="BR453" s="435">
        <f t="shared" ref="BR453" si="724">+BP453/BC453</f>
        <v>6.7428610922918783E-2</v>
      </c>
      <c r="BS453" s="66"/>
      <c r="BT453" s="75"/>
      <c r="BU453" s="170"/>
      <c r="BV453" s="1"/>
      <c r="BW453" s="61">
        <f t="shared" si="186"/>
        <v>444</v>
      </c>
    </row>
    <row r="454" spans="2:75" x14ac:dyDescent="0.3">
      <c r="B454" s="158">
        <f t="shared" si="424"/>
        <v>44354</v>
      </c>
      <c r="C454" s="61"/>
      <c r="D454" s="17">
        <v>12283</v>
      </c>
      <c r="E454" s="16"/>
      <c r="F454" s="16"/>
      <c r="G454" s="16"/>
      <c r="H454" s="16">
        <f t="shared" ref="H454" si="725">+H453+D454</f>
        <v>33748158</v>
      </c>
      <c r="I454" s="16"/>
      <c r="J454" s="436">
        <f t="shared" ref="J454" si="726">+D454/H453</f>
        <v>3.6409312045411599E-4</v>
      </c>
      <c r="K454" s="16"/>
      <c r="L454" s="16"/>
      <c r="M454" s="16"/>
      <c r="N454" s="16">
        <f t="shared" ref="N454" si="727">SUM(D448:D454)</f>
        <v>94990</v>
      </c>
      <c r="O454" s="16">
        <f t="shared" ref="O454" si="728">+H454/BW454</f>
        <v>75838.557303370791</v>
      </c>
      <c r="P454" s="41"/>
      <c r="Q454" s="17">
        <f t="shared" ref="Q454" si="729">SUM(D448:D454)</f>
        <v>94990</v>
      </c>
      <c r="R454" s="16"/>
      <c r="S454" s="60">
        <f t="shared" ref="S454" si="730">+(Q454-Q447)/Q447</f>
        <v>-0.20236795700730539</v>
      </c>
      <c r="T454" s="16"/>
      <c r="U454" s="41"/>
      <c r="V454" s="10">
        <f t="shared" si="349"/>
        <v>346</v>
      </c>
      <c r="W454" s="34">
        <v>312</v>
      </c>
      <c r="X454" s="33">
        <v>4256</v>
      </c>
      <c r="Y454" s="33"/>
      <c r="Z454" s="33">
        <f t="shared" ref="Z454" si="731">SUM(W449:W454)</f>
        <v>2472</v>
      </c>
      <c r="AA454" s="33">
        <f t="shared" ref="AA454" si="732">+AA453+W454</f>
        <v>598443</v>
      </c>
      <c r="AB454" s="33"/>
      <c r="AC454" s="46">
        <f t="shared" ref="AC454" si="733">+AA454/H454</f>
        <v>1.7732612251015301E-2</v>
      </c>
      <c r="AD454" s="33"/>
      <c r="AE454" s="33">
        <f t="shared" ref="AE454" si="734">+AA454/BW454</f>
        <v>1344.8157303370785</v>
      </c>
      <c r="AF454" s="50"/>
      <c r="AG454" s="33">
        <f t="shared" ref="AG454" si="735">SUM(W448:W454)</f>
        <v>2759</v>
      </c>
      <c r="AH454" s="33">
        <f t="shared" ref="AH454" si="736">SUM(D425:D854)</f>
        <v>1117978787.060914</v>
      </c>
      <c r="AI454" s="213">
        <f t="shared" ref="AI454" si="737">+(AG454-AG447)/AG447</f>
        <v>-0.11627162075592569</v>
      </c>
      <c r="AJ454" s="50"/>
      <c r="AK454" s="111"/>
      <c r="AL454" s="23">
        <f t="shared" ref="AL454" si="738">+AP454-AP453</f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ref="AR454" si="739">+AL454/AP453</f>
        <v>1.9529393600629982E-3</v>
      </c>
      <c r="AS454" s="25"/>
      <c r="AT454" s="25"/>
      <c r="AU454" s="24"/>
      <c r="AV454" s="298">
        <f t="shared" ref="AV454" si="740">+AP454/H454</f>
        <v>0.83493916912443045</v>
      </c>
      <c r="AW454" s="298"/>
      <c r="AX454" s="24">
        <f t="shared" ref="AX454" si="741">+AP454/BW454</f>
        <v>63320.582022471914</v>
      </c>
      <c r="AY454" s="308"/>
      <c r="AZ454" s="111"/>
      <c r="BA454" s="65">
        <f t="shared" ref="BA454" si="742">+BC454-BC453</f>
        <v>2864658</v>
      </c>
      <c r="BB454" s="66"/>
      <c r="BC454" s="66">
        <v>489733608</v>
      </c>
      <c r="BD454" s="66"/>
      <c r="BE454" s="66">
        <f t="shared" ref="BE454" si="743">+D454</f>
        <v>12283</v>
      </c>
      <c r="BF454" s="66"/>
      <c r="BG454" s="144">
        <f t="shared" ref="BG454" si="744">+BE454/BA454</f>
        <v>4.2877718736407623E-3</v>
      </c>
      <c r="BH454" s="66"/>
      <c r="BI454" s="170"/>
      <c r="BJ454" s="66"/>
      <c r="BK454" s="66">
        <f t="shared" ref="BK454" si="745">SUM(BA448:BA454)</f>
        <v>9803485</v>
      </c>
      <c r="BL454" s="66"/>
      <c r="BM454" s="144">
        <f t="shared" ref="BM454" si="746">+Q454/BK454</f>
        <v>9.6894114694927366E-3</v>
      </c>
      <c r="BN454" s="65">
        <f t="shared" ref="BN454" si="747">+BC454/BW454</f>
        <v>1100524.9617977529</v>
      </c>
      <c r="BO454" s="66"/>
      <c r="BP454" s="66">
        <f t="shared" ref="BP454" si="748">+BP453+BE454</f>
        <v>32841180</v>
      </c>
      <c r="BQ454" s="66"/>
      <c r="BR454" s="435">
        <f t="shared" ref="BR454" si="749">+BP454/BC454</f>
        <v>6.7059273579606976E-2</v>
      </c>
      <c r="BS454" s="66"/>
      <c r="BT454" s="75"/>
      <c r="BU454" s="170"/>
      <c r="BV454" s="1"/>
      <c r="BW454" s="61">
        <f t="shared" si="186"/>
        <v>445</v>
      </c>
    </row>
    <row r="455" spans="2:75" x14ac:dyDescent="0.3">
      <c r="B455" s="158">
        <f t="shared" si="424"/>
        <v>44355</v>
      </c>
      <c r="C455" s="61"/>
      <c r="D455" s="17">
        <v>13542</v>
      </c>
      <c r="E455" s="16"/>
      <c r="F455" s="16"/>
      <c r="G455" s="16"/>
      <c r="H455" s="16">
        <f t="shared" ref="H455" si="750">+H454+D455</f>
        <v>33761700</v>
      </c>
      <c r="I455" s="16"/>
      <c r="J455" s="436">
        <f t="shared" ref="J455" si="751">+D455/H454</f>
        <v>4.0126634466983353E-4</v>
      </c>
      <c r="K455" s="16"/>
      <c r="L455" s="16"/>
      <c r="M455" s="16"/>
      <c r="N455" s="16">
        <f t="shared" ref="N455" si="752">SUM(D449:D455)</f>
        <v>95556</v>
      </c>
      <c r="O455" s="16">
        <f t="shared" ref="O455" si="753">+H455/BW455</f>
        <v>75698.87892376681</v>
      </c>
      <c r="P455" s="41"/>
      <c r="Q455" s="17">
        <f t="shared" ref="Q455" si="754">SUM(D449:D455)</f>
        <v>95556</v>
      </c>
      <c r="R455" s="16"/>
      <c r="S455" s="60">
        <f t="shared" ref="S455" si="755">+(Q455-Q448)/Q448</f>
        <v>-0.12596955949070687</v>
      </c>
      <c r="T455" s="16"/>
      <c r="U455" s="41"/>
      <c r="V455" s="10">
        <f t="shared" si="349"/>
        <v>347</v>
      </c>
      <c r="W455" s="34">
        <v>401</v>
      </c>
      <c r="X455" s="33">
        <v>4256</v>
      </c>
      <c r="Y455" s="33"/>
      <c r="Z455" s="33">
        <f t="shared" ref="Z455" si="756">SUM(W450:W455)</f>
        <v>2359</v>
      </c>
      <c r="AA455" s="33">
        <f t="shared" ref="AA455" si="757">+AA454+W455</f>
        <v>598844</v>
      </c>
      <c r="AB455" s="33"/>
      <c r="AC455" s="46">
        <f t="shared" ref="AC455" si="758">+AA455/H455</f>
        <v>1.7737376968576819E-2</v>
      </c>
      <c r="AD455" s="33"/>
      <c r="AE455" s="33">
        <f t="shared" ref="AE455" si="759">+AA455/BW455</f>
        <v>1342.6995515695066</v>
      </c>
      <c r="AF455" s="50"/>
      <c r="AG455" s="33">
        <f t="shared" ref="AG455" si="760">SUM(W449:W455)</f>
        <v>2873</v>
      </c>
      <c r="AH455" s="33">
        <f t="shared" ref="AH455" si="761">SUM(D426:D855)</f>
        <v>1117956587.060914</v>
      </c>
      <c r="AI455" s="213">
        <f t="shared" ref="AI455" si="762">+(AG455-AG448)/AG448</f>
        <v>4.8540145985401462E-2</v>
      </c>
      <c r="AJ455" s="50"/>
      <c r="AK455" s="111"/>
      <c r="AL455" s="23">
        <f t="shared" ref="AL455" si="763">+AP455-AP454</f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ref="AR455" si="764">+AL455/AP454</f>
        <v>1.533271447425778E-3</v>
      </c>
      <c r="AS455" s="25"/>
      <c r="AT455" s="25"/>
      <c r="AU455" s="24"/>
      <c r="AV455" s="298">
        <f t="shared" ref="AV455" si="765">+AP455/H455</f>
        <v>0.83588394541744049</v>
      </c>
      <c r="AW455" s="298"/>
      <c r="AX455" s="24">
        <f t="shared" ref="AX455" si="766">+AP455/BW455</f>
        <v>63275.477578475336</v>
      </c>
      <c r="AY455" s="308"/>
      <c r="AZ455" s="111"/>
      <c r="BA455" s="65">
        <f t="shared" ref="BA455" si="767">+BC455-BC454</f>
        <v>589126</v>
      </c>
      <c r="BB455" s="66"/>
      <c r="BC455" s="66">
        <v>490322734</v>
      </c>
      <c r="BD455" s="66"/>
      <c r="BE455" s="66">
        <f t="shared" ref="BE455" si="768">+D455</f>
        <v>13542</v>
      </c>
      <c r="BF455" s="66"/>
      <c r="BG455" s="144">
        <f t="shared" ref="BG455" si="769">+BE455/BA455</f>
        <v>2.2986593699819733E-2</v>
      </c>
      <c r="BH455" s="66"/>
      <c r="BI455" s="170"/>
      <c r="BJ455" s="66"/>
      <c r="BK455" s="66">
        <f t="shared" ref="BK455" si="770">SUM(BA449:BA455)</f>
        <v>9373948</v>
      </c>
      <c r="BL455" s="66"/>
      <c r="BM455" s="144">
        <f t="shared" ref="BM455" si="771">+Q455/BK455</f>
        <v>1.0193783878468282E-2</v>
      </c>
      <c r="BN455" s="65">
        <f t="shared" ref="BN455" si="772">+BC455/BW455</f>
        <v>1099378.32735426</v>
      </c>
      <c r="BO455" s="66"/>
      <c r="BP455" s="66">
        <f t="shared" ref="BP455" si="773">+BP454+BE455</f>
        <v>32854722</v>
      </c>
      <c r="BQ455" s="66"/>
      <c r="BR455" s="435">
        <f t="shared" ref="BR455" si="774">+BP455/BC455</f>
        <v>6.7006319963944405E-2</v>
      </c>
      <c r="BS455" s="66"/>
      <c r="BT455" s="75"/>
      <c r="BU455" s="170"/>
      <c r="BV455" s="1"/>
      <c r="BW455" s="61">
        <f t="shared" si="186"/>
        <v>446</v>
      </c>
    </row>
    <row r="456" spans="2:75" x14ac:dyDescent="0.3">
      <c r="B456" s="158">
        <f t="shared" si="424"/>
        <v>44356</v>
      </c>
      <c r="C456" s="61"/>
      <c r="D456" s="17">
        <v>14201</v>
      </c>
      <c r="E456" s="16"/>
      <c r="F456" s="16"/>
      <c r="G456" s="16"/>
      <c r="H456" s="16">
        <f t="shared" ref="H456" si="775">+H455+D456</f>
        <v>33775901</v>
      </c>
      <c r="I456" s="16"/>
      <c r="J456" s="436">
        <f t="shared" ref="J456" si="776">+D456/H455</f>
        <v>4.2062455385836616E-4</v>
      </c>
      <c r="K456" s="16"/>
      <c r="L456" s="16"/>
      <c r="M456" s="16"/>
      <c r="N456" s="16">
        <f t="shared" ref="N456" si="777">SUM(D450:D456)</f>
        <v>92783</v>
      </c>
      <c r="O456" s="16">
        <f t="shared" ref="O456" si="778">+H456/BW456</f>
        <v>75561.299776286352</v>
      </c>
      <c r="P456" s="41"/>
      <c r="Q456" s="17">
        <f t="shared" ref="Q456" si="779">SUM(D450:D456)</f>
        <v>92783</v>
      </c>
      <c r="R456" s="16"/>
      <c r="S456" s="60">
        <f t="shared" ref="S456" si="780">+(Q456-Q449)/Q449</f>
        <v>-9.7459193400906599E-2</v>
      </c>
      <c r="T456" s="16"/>
      <c r="U456" s="41"/>
      <c r="V456" s="10">
        <f t="shared" si="349"/>
        <v>348</v>
      </c>
      <c r="W456" s="34">
        <v>452</v>
      </c>
      <c r="X456" s="33">
        <v>4256</v>
      </c>
      <c r="Y456" s="33"/>
      <c r="Z456" s="33">
        <f t="shared" ref="Z456" si="781">SUM(W451:W456)</f>
        <v>2237</v>
      </c>
      <c r="AA456" s="33">
        <f t="shared" ref="AA456" si="782">+AA455+W456</f>
        <v>599296</v>
      </c>
      <c r="AB456" s="33"/>
      <c r="AC456" s="46">
        <f t="shared" ref="AC456" si="783">+AA456/H456</f>
        <v>1.7743301651671706E-2</v>
      </c>
      <c r="AD456" s="33"/>
      <c r="AE456" s="33">
        <f t="shared" ref="AE456" si="784">+AA456/BW456</f>
        <v>1340.7069351230425</v>
      </c>
      <c r="AF456" s="50"/>
      <c r="AG456" s="33">
        <f t="shared" ref="AG456" si="785">SUM(W450:W456)</f>
        <v>2811</v>
      </c>
      <c r="AH456" s="33">
        <f t="shared" ref="AH456" si="786">SUM(D427:D856)</f>
        <v>1117926435.060914</v>
      </c>
      <c r="AI456" s="213">
        <f t="shared" ref="AI456" si="787">+(AG456-AG449)/AG449</f>
        <v>6.1956932376275031E-2</v>
      </c>
      <c r="AJ456" s="50"/>
      <c r="AK456" s="111"/>
      <c r="AL456" s="23">
        <f t="shared" ref="AL456" si="788">+AP456-AP455</f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ref="AR456" si="789">+AL456/AP455</f>
        <v>1.1774267852829306E-3</v>
      </c>
      <c r="AS456" s="25"/>
      <c r="AT456" s="25"/>
      <c r="AU456" s="24"/>
      <c r="AV456" s="298">
        <f t="shared" ref="AV456" si="790">+AP456/H456</f>
        <v>0.83651627827781705</v>
      </c>
      <c r="AW456" s="298"/>
      <c r="AX456" s="24">
        <f t="shared" ref="AX456" si="791">+AP456/BW456</f>
        <v>63208.25727069351</v>
      </c>
      <c r="AY456" s="308"/>
      <c r="AZ456" s="111"/>
      <c r="BA456" s="65">
        <f t="shared" ref="BA456" si="792">+BC456-BC455</f>
        <v>758547</v>
      </c>
      <c r="BB456" s="66"/>
      <c r="BC456" s="66">
        <v>491081281</v>
      </c>
      <c r="BD456" s="66"/>
      <c r="BE456" s="66">
        <f t="shared" ref="BE456" si="793">+D456</f>
        <v>14201</v>
      </c>
      <c r="BF456" s="66"/>
      <c r="BG456" s="144">
        <f t="shared" ref="BG456" si="794">+BE456/BA456</f>
        <v>1.8721318520803588E-2</v>
      </c>
      <c r="BH456" s="66"/>
      <c r="BI456" s="170"/>
      <c r="BJ456" s="66"/>
      <c r="BK456" s="66">
        <f t="shared" ref="BK456" si="795">SUM(BA450:BA456)</f>
        <v>9473288</v>
      </c>
      <c r="BL456" s="66"/>
      <c r="BM456" s="144">
        <f t="shared" ref="BM456" si="796">+Q456/BK456</f>
        <v>9.7941707250956585E-3</v>
      </c>
      <c r="BN456" s="65">
        <f t="shared" ref="BN456" si="797">+BC456/BW456</f>
        <v>1098615.8411633109</v>
      </c>
      <c r="BO456" s="66"/>
      <c r="BP456" s="66">
        <f t="shared" ref="BP456" si="798">+BP455+BE456</f>
        <v>32868923</v>
      </c>
      <c r="BQ456" s="66"/>
      <c r="BR456" s="435">
        <f t="shared" ref="BR456" si="799">+BP456/BC456</f>
        <v>6.6931736703684297E-2</v>
      </c>
      <c r="BS456" s="66"/>
      <c r="BT456" s="75"/>
      <c r="BU456" s="170"/>
      <c r="BV456" s="1"/>
      <c r="BW456" s="61">
        <f t="shared" si="186"/>
        <v>447</v>
      </c>
    </row>
    <row r="457" spans="2:75" x14ac:dyDescent="0.3">
      <c r="B457" s="158">
        <f t="shared" si="424"/>
        <v>44357</v>
      </c>
      <c r="C457" s="61"/>
      <c r="D457" s="17">
        <v>16764</v>
      </c>
      <c r="E457" s="16"/>
      <c r="F457" s="16"/>
      <c r="G457" s="16"/>
      <c r="H457" s="16">
        <f t="shared" ref="H457" si="800">+H456+D457</f>
        <v>33792665</v>
      </c>
      <c r="I457" s="16"/>
      <c r="J457" s="436">
        <f t="shared" ref="J457" si="801">+D457/H456</f>
        <v>4.9633020892618084E-4</v>
      </c>
      <c r="K457" s="16"/>
      <c r="L457" s="16"/>
      <c r="M457" s="16"/>
      <c r="N457" s="16">
        <f t="shared" ref="N457" si="802">SUM(D451:D457)</f>
        <v>91726</v>
      </c>
      <c r="O457" s="16">
        <f t="shared" ref="O457" si="803">+H457/BW457</f>
        <v>75430.055803571435</v>
      </c>
      <c r="P457" s="41"/>
      <c r="Q457" s="17">
        <f t="shared" ref="Q457" si="804">SUM(D451:D457)</f>
        <v>91726</v>
      </c>
      <c r="R457" s="16"/>
      <c r="S457" s="60">
        <f t="shared" ref="S457" si="805">+(Q457-Q450)/Q450</f>
        <v>-4.6804530811597217E-2</v>
      </c>
      <c r="T457" s="16"/>
      <c r="U457" s="41"/>
      <c r="V457" s="10">
        <f t="shared" si="349"/>
        <v>349</v>
      </c>
      <c r="W457" s="34">
        <v>481</v>
      </c>
      <c r="X457" s="33">
        <v>4256</v>
      </c>
      <c r="Y457" s="33"/>
      <c r="Z457" s="33">
        <f t="shared" ref="Z457" si="806">SUM(W452:W457)</f>
        <v>2198</v>
      </c>
      <c r="AA457" s="33">
        <f t="shared" ref="AA457" si="807">+AA456+W457</f>
        <v>599777</v>
      </c>
      <c r="AB457" s="33"/>
      <c r="AC457" s="46">
        <f t="shared" ref="AC457" si="808">+AA457/H457</f>
        <v>1.7748733341984124E-2</v>
      </c>
      <c r="AD457" s="33"/>
      <c r="AE457" s="33">
        <f t="shared" ref="AE457" si="809">+AA457/BW457</f>
        <v>1338.7879464285713</v>
      </c>
      <c r="AF457" s="50"/>
      <c r="AG457" s="33">
        <f t="shared" ref="AG457" si="810">SUM(W451:W457)</f>
        <v>2718</v>
      </c>
      <c r="AH457" s="33">
        <f t="shared" ref="AH457" si="811">SUM(D428:D857)</f>
        <v>1117891531.060914</v>
      </c>
      <c r="AI457" s="213">
        <f t="shared" ref="AI457" si="812">+(AG457-AG450)/AG450</f>
        <v>4.901582400617522E-2</v>
      </c>
      <c r="AJ457" s="50"/>
      <c r="AK457" s="111"/>
      <c r="AL457" s="23">
        <f t="shared" ref="AL457" si="813">+AP457-AP456</f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ref="AR457" si="814">+AL457/AP456</f>
        <v>1.6248620421021509E-3</v>
      </c>
      <c r="AS457" s="25"/>
      <c r="AT457" s="25"/>
      <c r="AU457" s="24"/>
      <c r="AV457" s="298">
        <f t="shared" ref="AV457" si="815">+AP457/H457</f>
        <v>0.83745984520605288</v>
      </c>
      <c r="AW457" s="298"/>
      <c r="AX457" s="24">
        <f t="shared" ref="AX457" si="816">+AP457/BW457</f>
        <v>63169.642857142855</v>
      </c>
      <c r="AY457" s="308"/>
      <c r="AZ457" s="111"/>
      <c r="BA457" s="65">
        <f t="shared" ref="BA457" si="817">+BC457-BC456</f>
        <v>918719</v>
      </c>
      <c r="BB457" s="66"/>
      <c r="BC457" s="66">
        <v>492000000</v>
      </c>
      <c r="BD457" s="66"/>
      <c r="BE457" s="66">
        <f t="shared" ref="BE457" si="818">+D457</f>
        <v>16764</v>
      </c>
      <c r="BF457" s="66"/>
      <c r="BG457" s="144">
        <f t="shared" ref="BG457" si="819">+BE457/BA457</f>
        <v>1.8247146298269654E-2</v>
      </c>
      <c r="BH457" s="66"/>
      <c r="BI457" s="170"/>
      <c r="BJ457" s="66"/>
      <c r="BK457" s="66">
        <f t="shared" ref="BK457" si="820">SUM(BA451:BA457)</f>
        <v>9609176</v>
      </c>
      <c r="BL457" s="66"/>
      <c r="BM457" s="144">
        <f t="shared" ref="BM457" si="821">+Q457/BK457</f>
        <v>9.5456675993862532E-3</v>
      </c>
      <c r="BN457" s="65">
        <f t="shared" ref="BN457" si="822">+BC457/BW457</f>
        <v>1098214.2857142857</v>
      </c>
      <c r="BO457" s="66"/>
      <c r="BP457" s="66">
        <f t="shared" ref="BP457" si="823">+BP456+BE457</f>
        <v>32885687</v>
      </c>
      <c r="BQ457" s="66"/>
      <c r="BR457" s="435">
        <f t="shared" ref="BR457" si="824">+BP457/BC457</f>
        <v>6.6840827235772352E-2</v>
      </c>
      <c r="BS457" s="66"/>
      <c r="BT457" s="75"/>
      <c r="BU457" s="170"/>
      <c r="BV457" s="1"/>
      <c r="BW457" s="61">
        <f t="shared" si="186"/>
        <v>448</v>
      </c>
    </row>
    <row r="458" spans="2:75" x14ac:dyDescent="0.3">
      <c r="B458" s="158">
        <f t="shared" si="424"/>
        <v>44358</v>
      </c>
      <c r="C458" s="61"/>
      <c r="D458" s="17">
        <v>16145</v>
      </c>
      <c r="E458" s="16"/>
      <c r="F458" s="16"/>
      <c r="G458" s="16"/>
      <c r="H458" s="16">
        <f t="shared" ref="H458" si="825">+H457+D458</f>
        <v>33808810</v>
      </c>
      <c r="I458" s="16"/>
      <c r="J458" s="436">
        <f t="shared" ref="J458" si="826">+D458/H457</f>
        <v>4.7776640285695138E-4</v>
      </c>
      <c r="K458" s="16"/>
      <c r="L458" s="16"/>
      <c r="M458" s="16"/>
      <c r="N458" s="16">
        <f t="shared" ref="N458" si="827">SUM(D452:D458)</f>
        <v>90946</v>
      </c>
      <c r="O458" s="16">
        <f t="shared" ref="O458" si="828">+H458/BW458</f>
        <v>75298.017817371932</v>
      </c>
      <c r="P458" s="41"/>
      <c r="Q458" s="17">
        <f t="shared" ref="Q458" si="829">SUM(D452:D458)</f>
        <v>90946</v>
      </c>
      <c r="R458" s="16"/>
      <c r="S458" s="60">
        <f t="shared" ref="S458" si="830">+(Q458-Q451)/Q451</f>
        <v>6.6857054304753048E-3</v>
      </c>
      <c r="T458" s="16"/>
      <c r="U458" s="41"/>
      <c r="V458" s="10">
        <f t="shared" si="349"/>
        <v>350</v>
      </c>
      <c r="W458" s="34">
        <v>421</v>
      </c>
      <c r="X458" s="33">
        <v>4256</v>
      </c>
      <c r="Y458" s="33"/>
      <c r="Z458" s="33">
        <f t="shared" ref="Z458" si="831">SUM(W453:W458)</f>
        <v>2231</v>
      </c>
      <c r="AA458" s="33">
        <f t="shared" ref="AA458" si="832">+AA457+W458</f>
        <v>600198</v>
      </c>
      <c r="AB458" s="33"/>
      <c r="AC458" s="46">
        <f t="shared" ref="AC458" si="833">+AA458/H458</f>
        <v>1.7752710018483348E-2</v>
      </c>
      <c r="AD458" s="33"/>
      <c r="AE458" s="33">
        <f t="shared" ref="AE458" si="834">+AA458/BW458</f>
        <v>1336.7438752783964</v>
      </c>
      <c r="AF458" s="50"/>
      <c r="AG458" s="33">
        <f t="shared" ref="AG458" si="835">SUM(W452:W458)</f>
        <v>2619</v>
      </c>
      <c r="AH458" s="33">
        <f t="shared" ref="AH458" si="836">SUM(D429:D858)</f>
        <v>1117855715.060914</v>
      </c>
      <c r="AI458" s="213">
        <f t="shared" ref="AI458" si="837">+(AG458-AG451)/AG451</f>
        <v>5.434782608695652E-2</v>
      </c>
      <c r="AJ458" s="50"/>
      <c r="AK458" s="111"/>
      <c r="AL458" s="23">
        <f t="shared" ref="AL458" si="838">+AP458-AP457</f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ref="AR458" si="839">+AL458/AP457</f>
        <v>1.6368904593639577E-3</v>
      </c>
      <c r="AS458" s="25"/>
      <c r="AT458" s="25"/>
      <c r="AU458" s="24"/>
      <c r="AV458" s="298">
        <f t="shared" ref="AV458" si="840">+AP458/H458</f>
        <v>0.83843010150312891</v>
      </c>
      <c r="AW458" s="298"/>
      <c r="AX458" s="24">
        <f t="shared" ref="AX458" si="841">+AP458/BW458</f>
        <v>63132.124721603563</v>
      </c>
      <c r="AY458" s="308"/>
      <c r="AZ458" s="111"/>
      <c r="BA458" s="65">
        <f t="shared" ref="BA458" si="842">+BC458-BC457</f>
        <v>1246114</v>
      </c>
      <c r="BB458" s="66"/>
      <c r="BC458" s="66">
        <v>493246114</v>
      </c>
      <c r="BD458" s="66"/>
      <c r="BE458" s="66">
        <f t="shared" ref="BE458" si="843">+D458</f>
        <v>16145</v>
      </c>
      <c r="BF458" s="66"/>
      <c r="BG458" s="144">
        <f t="shared" ref="BG458" si="844">+BE458/BA458</f>
        <v>1.2956278478534066E-2</v>
      </c>
      <c r="BH458" s="66"/>
      <c r="BI458" s="170"/>
      <c r="BJ458" s="66"/>
      <c r="BK458" s="66">
        <f t="shared" ref="BK458" si="845">SUM(BA452:BA458)</f>
        <v>9881781</v>
      </c>
      <c r="BL458" s="66"/>
      <c r="BM458" s="144">
        <f t="shared" ref="BM458" si="846">+Q458/BK458</f>
        <v>9.2034016944921165E-3</v>
      </c>
      <c r="BN458" s="65">
        <f t="shared" ref="BN458" si="847">+BC458/BW458</f>
        <v>1098543.6837416482</v>
      </c>
      <c r="BO458" s="66"/>
      <c r="BP458" s="66">
        <f t="shared" ref="BP458" si="848">+BP457+BE458</f>
        <v>32901832</v>
      </c>
      <c r="BQ458" s="66"/>
      <c r="BR458" s="435">
        <f t="shared" ref="BR458" si="849">+BP458/BC458</f>
        <v>6.6704695822499674E-2</v>
      </c>
      <c r="BS458" s="66"/>
      <c r="BT458" s="75"/>
      <c r="BU458" s="170"/>
      <c r="BV458" s="1"/>
      <c r="BW458" s="61">
        <f t="shared" si="186"/>
        <v>449</v>
      </c>
    </row>
    <row r="459" spans="2:75" x14ac:dyDescent="0.3">
      <c r="B459" s="158">
        <f t="shared" si="424"/>
        <v>44359</v>
      </c>
      <c r="C459" s="61"/>
      <c r="D459" s="17">
        <v>9427</v>
      </c>
      <c r="E459" s="16"/>
      <c r="F459" s="16"/>
      <c r="G459" s="16"/>
      <c r="H459" s="16">
        <f t="shared" ref="H459" si="850">+H458+D459</f>
        <v>33818237</v>
      </c>
      <c r="I459" s="16"/>
      <c r="J459" s="436">
        <f t="shared" ref="J459" si="851">+D459/H458</f>
        <v>2.7883264746674018E-4</v>
      </c>
      <c r="K459" s="16"/>
      <c r="L459" s="16"/>
      <c r="M459" s="16"/>
      <c r="N459" s="16">
        <f t="shared" ref="N459" si="852">SUM(D453:D459)</f>
        <v>88770</v>
      </c>
      <c r="O459" s="16">
        <f t="shared" ref="O459" si="853">+H459/BW459</f>
        <v>75151.637777777782</v>
      </c>
      <c r="P459" s="41"/>
      <c r="Q459" s="17">
        <f t="shared" ref="Q459" si="854">SUM(D453:D459)</f>
        <v>88770</v>
      </c>
      <c r="R459" s="16"/>
      <c r="S459" s="60">
        <f t="shared" ref="S459" si="855">+(Q459-Q452)/Q452</f>
        <v>-5.7569105326822278E-3</v>
      </c>
      <c r="T459" s="16"/>
      <c r="U459" s="41"/>
      <c r="V459" s="10">
        <f t="shared" si="349"/>
        <v>351</v>
      </c>
      <c r="W459" s="34">
        <v>308</v>
      </c>
      <c r="X459" s="33">
        <v>4256</v>
      </c>
      <c r="Y459" s="33"/>
      <c r="Z459" s="33">
        <f t="shared" ref="Z459" si="856">SUM(W454:W459)</f>
        <v>2375</v>
      </c>
      <c r="AA459" s="33">
        <f t="shared" ref="AA459" si="857">+AA458+W459</f>
        <v>600506</v>
      </c>
      <c r="AB459" s="33"/>
      <c r="AC459" s="46">
        <f t="shared" ref="AC459" si="858">+AA459/H459</f>
        <v>1.7756868875216648E-2</v>
      </c>
      <c r="AD459" s="33"/>
      <c r="AE459" s="33">
        <f t="shared" ref="AE459" si="859">+AA459/BW459</f>
        <v>1334.4577777777777</v>
      </c>
      <c r="AF459" s="50"/>
      <c r="AG459" s="33">
        <f t="shared" ref="AG459" si="860">SUM(W453:W459)</f>
        <v>2539</v>
      </c>
      <c r="AH459" s="33">
        <f t="shared" ref="AH459" si="861">SUM(D430:D859)</f>
        <v>1117815890.060914</v>
      </c>
      <c r="AI459" s="213">
        <f t="shared" ref="AI459" si="862">+(AG459-AG452)/AG452</f>
        <v>6.7406819984139575E-3</v>
      </c>
      <c r="AJ459" s="50"/>
      <c r="AK459" s="111"/>
      <c r="AL459" s="23">
        <f t="shared" ref="AL459" si="863">+AP459-AP458</f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ref="AR459" si="864">+AL459/AP458</f>
        <v>1.2452761070535989E-3</v>
      </c>
      <c r="AS459" s="25"/>
      <c r="AT459" s="25"/>
      <c r="AU459" s="24"/>
      <c r="AV459" s="298">
        <f t="shared" ref="AV459" si="865">+AP459/H459</f>
        <v>0.83924017091724801</v>
      </c>
      <c r="AW459" s="298"/>
      <c r="AX459" s="24">
        <f t="shared" ref="AX459" si="866">+AP459/BW459</f>
        <v>63070.273333333331</v>
      </c>
      <c r="AY459" s="308"/>
      <c r="AZ459" s="111"/>
      <c r="BA459" s="65">
        <f t="shared" ref="BA459" si="867">+BC459-BC458</f>
        <v>648739</v>
      </c>
      <c r="BB459" s="66"/>
      <c r="BC459" s="66">
        <v>493894853</v>
      </c>
      <c r="BD459" s="66"/>
      <c r="BE459" s="66">
        <f t="shared" ref="BE459" si="868">+D459</f>
        <v>9427</v>
      </c>
      <c r="BF459" s="66"/>
      <c r="BG459" s="144">
        <f t="shared" ref="BG459" si="869">+BE459/BA459</f>
        <v>1.4531267582186364E-2</v>
      </c>
      <c r="BH459" s="66"/>
      <c r="BI459" s="170"/>
      <c r="BJ459" s="66"/>
      <c r="BK459" s="66">
        <f t="shared" ref="BK459" si="870">SUM(BA453:BA459)</f>
        <v>7608644</v>
      </c>
      <c r="BL459" s="66"/>
      <c r="BM459" s="144">
        <f t="shared" ref="BM459" si="871">+Q459/BK459</f>
        <v>1.1666993487932936E-2</v>
      </c>
      <c r="BN459" s="65">
        <f t="shared" ref="BN459" si="872">+BC459/BW459</f>
        <v>1097544.1177777778</v>
      </c>
      <c r="BO459" s="66"/>
      <c r="BP459" s="66">
        <f t="shared" ref="BP459" si="873">+BP458+BE459</f>
        <v>32911259</v>
      </c>
      <c r="BQ459" s="66"/>
      <c r="BR459" s="435">
        <f t="shared" ref="BR459" si="874">+BP459/BC459</f>
        <v>6.6636165167730549E-2</v>
      </c>
      <c r="BS459" s="66"/>
      <c r="BT459" s="75"/>
      <c r="BU459" s="170"/>
      <c r="BV459" s="1"/>
      <c r="BW459" s="61">
        <f t="shared" si="186"/>
        <v>450</v>
      </c>
    </row>
    <row r="460" spans="2:75" x14ac:dyDescent="0.3">
      <c r="B460" s="347">
        <f t="shared" si="424"/>
        <v>44360</v>
      </c>
      <c r="C460" s="61"/>
      <c r="D460" s="17">
        <v>5285</v>
      </c>
      <c r="E460" s="16"/>
      <c r="F460" s="16"/>
      <c r="G460" s="16"/>
      <c r="H460" s="16">
        <f t="shared" ref="H460" si="875">+H459+D460</f>
        <v>33823522</v>
      </c>
      <c r="I460" s="16"/>
      <c r="J460" s="436">
        <f t="shared" ref="J460" si="876">+D460/H459</f>
        <v>1.5627662672066555E-4</v>
      </c>
      <c r="K460" s="16"/>
      <c r="L460" s="16"/>
      <c r="M460" s="16"/>
      <c r="N460" s="16">
        <f t="shared" ref="N460" si="877">SUM(D454:D460)</f>
        <v>87647</v>
      </c>
      <c r="O460" s="16">
        <f t="shared" ref="O460" si="878">+H460/BW460</f>
        <v>74996.722838137473</v>
      </c>
      <c r="P460" s="41"/>
      <c r="Q460" s="17">
        <f t="shared" ref="Q460" si="879">SUM(D454:D460)</f>
        <v>87647</v>
      </c>
      <c r="R460" s="16"/>
      <c r="S460" s="60">
        <f t="shared" ref="S460" si="880">+(Q460-Q453)/Q453</f>
        <v>-3.3544836369425305E-3</v>
      </c>
      <c r="T460" s="16"/>
      <c r="U460" s="41"/>
      <c r="V460" s="10">
        <f t="shared" si="349"/>
        <v>352</v>
      </c>
      <c r="W460" s="34">
        <v>100</v>
      </c>
      <c r="X460" s="33">
        <v>4256</v>
      </c>
      <c r="Y460" s="33"/>
      <c r="Z460" s="33">
        <f t="shared" ref="Z460" si="881">SUM(W455:W460)</f>
        <v>2163</v>
      </c>
      <c r="AA460" s="33">
        <f t="shared" ref="AA460" si="882">+AA459+W460</f>
        <v>600606</v>
      </c>
      <c r="AB460" s="33"/>
      <c r="AC460" s="46">
        <f t="shared" ref="AC460" si="883">+AA460/H460</f>
        <v>1.7757050847632013E-2</v>
      </c>
      <c r="AD460" s="33"/>
      <c r="AE460" s="33">
        <f t="shared" ref="AE460" si="884">+AA460/BW460</f>
        <v>1331.7206208425721</v>
      </c>
      <c r="AF460" s="50"/>
      <c r="AG460" s="33">
        <f t="shared" ref="AG460" si="885">SUM(W454:W460)</f>
        <v>2475</v>
      </c>
      <c r="AH460" s="33">
        <f t="shared" ref="AH460" si="886">SUM(D431:D860)</f>
        <v>1117776795.060914</v>
      </c>
      <c r="AI460" s="213">
        <f t="shared" ref="AI460" si="887">+(AG460-AG453)/AG453</f>
        <v>-3.3957845433255272E-2</v>
      </c>
      <c r="AJ460" s="50"/>
      <c r="AK460" s="111"/>
      <c r="AL460" s="23">
        <f t="shared" ref="AL460" si="888">+AP460-AP459</f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ref="AR460" si="889">+AL460/AP459</f>
        <v>6.5214734196138114E-4</v>
      </c>
      <c r="AS460" s="25"/>
      <c r="AT460" s="25"/>
      <c r="AU460" s="24"/>
      <c r="AV460" s="298">
        <f t="shared" ref="AV460" si="890">+AP460/H460</f>
        <v>0.83965626051598052</v>
      </c>
      <c r="AW460" s="298"/>
      <c r="AX460" s="24">
        <f t="shared" ref="AX460" si="891">+AP460/BW460</f>
        <v>62971.467849223947</v>
      </c>
      <c r="AY460" s="308"/>
      <c r="AZ460" s="111"/>
      <c r="BA460" s="65">
        <f t="shared" ref="BA460" si="892">+BC460-BC459</f>
        <v>454808</v>
      </c>
      <c r="BB460" s="66"/>
      <c r="BC460" s="66">
        <v>494349661</v>
      </c>
      <c r="BD460" s="66"/>
      <c r="BE460" s="66">
        <f t="shared" ref="BE460" si="893">+D460</f>
        <v>5285</v>
      </c>
      <c r="BF460" s="66"/>
      <c r="BG460" s="144">
        <f t="shared" ref="BG460" si="894">+BE460/BA460</f>
        <v>1.1620288121580976E-2</v>
      </c>
      <c r="BH460" s="66"/>
      <c r="BI460" s="170"/>
      <c r="BJ460" s="66"/>
      <c r="BK460" s="66">
        <f t="shared" ref="BK460" si="895">SUM(BA454:BA460)</f>
        <v>7480711</v>
      </c>
      <c r="BL460" s="66"/>
      <c r="BM460" s="144">
        <f t="shared" ref="BM460" si="896">+Q460/BK460</f>
        <v>1.1716399684468495E-2</v>
      </c>
      <c r="BN460" s="65">
        <f t="shared" ref="BN460" si="897">+BC460/BW460</f>
        <v>1096118.9822616407</v>
      </c>
      <c r="BO460" s="66"/>
      <c r="BP460" s="66">
        <f t="shared" ref="BP460" si="898">+BP459+BE460</f>
        <v>32916544</v>
      </c>
      <c r="BQ460" s="66"/>
      <c r="BR460" s="435">
        <f t="shared" ref="BR460" si="899">+BP460/BC460</f>
        <v>6.6585549858402759E-2</v>
      </c>
      <c r="BS460" s="66"/>
      <c r="BT460" s="75"/>
      <c r="BU460" s="170"/>
      <c r="BV460" s="1"/>
      <c r="BW460" s="61">
        <f t="shared" si="186"/>
        <v>451</v>
      </c>
    </row>
    <row r="461" spans="2:75" x14ac:dyDescent="0.3">
      <c r="B461" s="158">
        <f t="shared" si="424"/>
        <v>44361</v>
      </c>
      <c r="C461" s="61"/>
      <c r="D461" s="17">
        <v>11521</v>
      </c>
      <c r="E461" s="16"/>
      <c r="F461" s="16"/>
      <c r="G461" s="16"/>
      <c r="H461" s="16">
        <f t="shared" ref="H461" si="900">+H460+D461</f>
        <v>33835043</v>
      </c>
      <c r="I461" s="16"/>
      <c r="J461" s="436">
        <f t="shared" ref="J461" si="901">+D461/H460</f>
        <v>3.4062094420563298E-4</v>
      </c>
      <c r="K461" s="16"/>
      <c r="L461" s="16"/>
      <c r="M461" s="16"/>
      <c r="N461" s="16">
        <f t="shared" ref="N461" si="902">SUM(D455:D461)</f>
        <v>86885</v>
      </c>
      <c r="O461" s="16">
        <f t="shared" ref="O461" si="903">+H461/BW461</f>
        <v>74856.289823008847</v>
      </c>
      <c r="P461" s="41"/>
      <c r="Q461" s="17">
        <f t="shared" ref="Q461" si="904">SUM(D455:D461)</f>
        <v>86885</v>
      </c>
      <c r="R461" s="16"/>
      <c r="S461" s="60">
        <f t="shared" ref="S461" si="905">+(Q461-Q454)/Q454</f>
        <v>-8.5324771028529325E-2</v>
      </c>
      <c r="T461" s="16"/>
      <c r="U461" s="41"/>
      <c r="V461" s="10">
        <f t="shared" si="349"/>
        <v>353</v>
      </c>
      <c r="W461" s="34">
        <v>252</v>
      </c>
      <c r="X461" s="33">
        <v>4256</v>
      </c>
      <c r="Y461" s="33"/>
      <c r="Z461" s="33">
        <f t="shared" ref="Z461" si="906">SUM(W456:W461)</f>
        <v>2014</v>
      </c>
      <c r="AA461" s="33">
        <f t="shared" ref="AA461" si="907">+AA460+W461</f>
        <v>600858</v>
      </c>
      <c r="AB461" s="33"/>
      <c r="AC461" s="46">
        <f t="shared" ref="AC461" si="908">+AA461/H461</f>
        <v>1.7758452383228832E-2</v>
      </c>
      <c r="AD461" s="33"/>
      <c r="AE461" s="33">
        <f t="shared" ref="AE461" si="909">+AA461/BW461</f>
        <v>1329.3318584070796</v>
      </c>
      <c r="AF461" s="50"/>
      <c r="AG461" s="33">
        <f t="shared" ref="AG461" si="910">SUM(W455:W461)</f>
        <v>2415</v>
      </c>
      <c r="AH461" s="33">
        <f t="shared" ref="AH461" si="911">SUM(D432:D861)</f>
        <v>1117751153.060914</v>
      </c>
      <c r="AI461" s="213">
        <f t="shared" ref="AI461" si="912">+(AG461-AG454)/AG454</f>
        <v>-0.12468285610728524</v>
      </c>
      <c r="AJ461" s="50"/>
      <c r="AK461" s="111"/>
      <c r="AL461" s="23">
        <f t="shared" ref="AL461" si="913">+AP461-AP460</f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61">
        <f t="shared" ref="AR461" si="914">+AL461/AP460</f>
        <v>5.1461732642651093E-3</v>
      </c>
      <c r="AS461" s="25"/>
      <c r="AT461" s="25"/>
      <c r="AU461" s="24"/>
      <c r="AV461" s="298">
        <f t="shared" ref="AV461" si="915">+AP461/H461</f>
        <v>0.84368989866512067</v>
      </c>
      <c r="AW461" s="298"/>
      <c r="AX461" s="24">
        <f t="shared" ref="AX461" si="916">+AP461/BW461</f>
        <v>63155.495575221241</v>
      </c>
      <c r="AY461" s="308"/>
      <c r="AZ461" s="111"/>
      <c r="BA461" s="65">
        <f t="shared" ref="BA461" si="917">+BC461-BC460</f>
        <v>1054127</v>
      </c>
      <c r="BB461" s="66"/>
      <c r="BC461" s="66">
        <v>495403788</v>
      </c>
      <c r="BD461" s="66"/>
      <c r="BE461" s="66">
        <f t="shared" ref="BE461" si="918">+D461</f>
        <v>11521</v>
      </c>
      <c r="BF461" s="66"/>
      <c r="BG461" s="144">
        <f t="shared" ref="BG461" si="919">+BE461/BA461</f>
        <v>1.0929423115051603E-2</v>
      </c>
      <c r="BH461" s="66"/>
      <c r="BI461" s="170"/>
      <c r="BJ461" s="66"/>
      <c r="BK461" s="66">
        <f t="shared" ref="BK461" si="920">SUM(BA455:BA461)</f>
        <v>5670180</v>
      </c>
      <c r="BL461" s="66"/>
      <c r="BM461" s="144">
        <f t="shared" ref="BM461" si="921">+Q461/BK461</f>
        <v>1.5323146707864653E-2</v>
      </c>
      <c r="BN461" s="65">
        <f t="shared" ref="BN461" si="922">+BC461/BW461</f>
        <v>1096026.0796460176</v>
      </c>
      <c r="BO461" s="66"/>
      <c r="BP461" s="66">
        <f t="shared" ref="BP461" si="923">+BP460+BE461</f>
        <v>32928065</v>
      </c>
      <c r="BQ461" s="66"/>
      <c r="BR461" s="435">
        <f t="shared" ref="BR461" si="924">+BP461/BC461</f>
        <v>6.6467123985737467E-2</v>
      </c>
      <c r="BS461" s="66"/>
      <c r="BT461" s="75"/>
      <c r="BU461" s="170"/>
      <c r="BV461" s="1"/>
      <c r="BW461" s="61">
        <f t="shared" si="186"/>
        <v>452</v>
      </c>
    </row>
    <row r="462" spans="2:75" x14ac:dyDescent="0.3">
      <c r="B462" s="158">
        <f t="shared" si="424"/>
        <v>44362</v>
      </c>
      <c r="C462" s="61"/>
      <c r="D462" s="17">
        <v>12580</v>
      </c>
      <c r="E462" s="16"/>
      <c r="F462" s="16"/>
      <c r="G462" s="16"/>
      <c r="H462" s="16">
        <f t="shared" ref="H462" si="925">+H461+D462</f>
        <v>33847623</v>
      </c>
      <c r="I462" s="16"/>
      <c r="J462" s="436">
        <f t="shared" ref="J462" si="926">+D462/H461</f>
        <v>3.7180387209793112E-4</v>
      </c>
      <c r="K462" s="16"/>
      <c r="L462" s="16"/>
      <c r="M462" s="16"/>
      <c r="N462" s="16">
        <f t="shared" ref="N462" si="927">SUM(D456:D462)</f>
        <v>85923</v>
      </c>
      <c r="O462" s="16">
        <f t="shared" ref="O462" si="928">+H462/BW462</f>
        <v>74718.814569536422</v>
      </c>
      <c r="P462" s="41"/>
      <c r="Q462" s="17">
        <f t="shared" ref="Q462" si="929">SUM(D456:D462)</f>
        <v>85923</v>
      </c>
      <c r="R462" s="16"/>
      <c r="S462" s="60">
        <f t="shared" ref="S462" si="930">+(Q462-Q455)/Q455</f>
        <v>-0.10080999623257567</v>
      </c>
      <c r="T462" s="16"/>
      <c r="U462" s="41"/>
      <c r="V462" s="10">
        <f t="shared" si="349"/>
        <v>354</v>
      </c>
      <c r="W462" s="34">
        <v>353</v>
      </c>
      <c r="X462" s="33">
        <v>4256</v>
      </c>
      <c r="Y462" s="33"/>
      <c r="Z462" s="33">
        <f t="shared" ref="Z462" si="931">SUM(W457:W462)</f>
        <v>1915</v>
      </c>
      <c r="AA462" s="33">
        <f t="shared" ref="AA462" si="932">+AA461+W462</f>
        <v>601211</v>
      </c>
      <c r="AB462" s="33"/>
      <c r="AC462" s="46">
        <f t="shared" ref="AC462" si="933">+AA462/H462</f>
        <v>1.7762281268613751E-2</v>
      </c>
      <c r="AD462" s="33"/>
      <c r="AE462" s="33">
        <f t="shared" ref="AE462" si="934">+AA462/BW462</f>
        <v>1327.176600441501</v>
      </c>
      <c r="AF462" s="50"/>
      <c r="AG462" s="33">
        <f t="shared" ref="AG462" si="935">SUM(W456:W462)</f>
        <v>2367</v>
      </c>
      <c r="AH462" s="33">
        <f t="shared" ref="AH462" si="936">SUM(D433:D862)</f>
        <v>1117733319.060914</v>
      </c>
      <c r="AI462" s="213">
        <f t="shared" ref="AI462" si="937">+(AG462-AG455)/AG455</f>
        <v>-0.17612252001392273</v>
      </c>
      <c r="AJ462" s="50"/>
      <c r="AK462" s="111"/>
      <c r="AL462" s="23">
        <f t="shared" ref="AL462" si="938">+AP462-AP461</f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61">
        <f t="shared" ref="AR462" si="939">+AL462/AP461</f>
        <v>1.1355943911999194E-3</v>
      </c>
      <c r="AS462" s="25"/>
      <c r="AT462" s="25"/>
      <c r="AU462" s="24"/>
      <c r="AV462" s="298">
        <f t="shared" ref="AV462" si="940">+AP462/H462</f>
        <v>0.84433406150854373</v>
      </c>
      <c r="AW462" s="298"/>
      <c r="AX462" s="24">
        <f t="shared" ref="AX462" si="941">+AP462/BW462</f>
        <v>63087.640176600442</v>
      </c>
      <c r="AY462" s="308"/>
      <c r="AZ462" s="111"/>
      <c r="BA462" s="65">
        <f t="shared" ref="BA462" si="942">+BC462-BC461</f>
        <v>613617</v>
      </c>
      <c r="BB462" s="66"/>
      <c r="BC462" s="66">
        <v>496017405</v>
      </c>
      <c r="BD462" s="66"/>
      <c r="BE462" s="66">
        <f t="shared" ref="BE462" si="943">+D462</f>
        <v>12580</v>
      </c>
      <c r="BF462" s="66"/>
      <c r="BG462" s="144">
        <f t="shared" ref="BG462" si="944">+BE462/BA462</f>
        <v>2.0501387673418435E-2</v>
      </c>
      <c r="BH462" s="66"/>
      <c r="BI462" s="170"/>
      <c r="BJ462" s="66"/>
      <c r="BK462" s="66">
        <f t="shared" ref="BK462" si="945">SUM(BA456:BA462)</f>
        <v>5694671</v>
      </c>
      <c r="BL462" s="66"/>
      <c r="BM462" s="144">
        <f t="shared" ref="BM462" si="946">+Q462/BK462</f>
        <v>1.5088316778967565E-2</v>
      </c>
      <c r="BN462" s="65">
        <f t="shared" ref="BN462" si="947">+BC462/BW462</f>
        <v>1094961.1589403974</v>
      </c>
      <c r="BO462" s="66"/>
      <c r="BP462" s="66">
        <f t="shared" ref="BP462" si="948">+BP461+BE462</f>
        <v>32940645</v>
      </c>
      <c r="BQ462" s="66"/>
      <c r="BR462" s="435">
        <f t="shared" ref="BR462" si="949">+BP462/BC462</f>
        <v>6.6410260341570077E-2</v>
      </c>
      <c r="BS462" s="66"/>
      <c r="BT462" s="75"/>
      <c r="BU462" s="170"/>
      <c r="BV462" s="1"/>
      <c r="BW462" s="61">
        <f t="shared" si="186"/>
        <v>453</v>
      </c>
    </row>
    <row r="463" spans="2:75" x14ac:dyDescent="0.3">
      <c r="B463" s="158">
        <f t="shared" si="424"/>
        <v>44363</v>
      </c>
      <c r="C463" s="61"/>
      <c r="D463" s="17">
        <v>14063</v>
      </c>
      <c r="E463" s="16"/>
      <c r="F463" s="16"/>
      <c r="G463" s="16"/>
      <c r="H463" s="16">
        <f t="shared" ref="H463" si="950">+H462+D463</f>
        <v>33861686</v>
      </c>
      <c r="I463" s="16"/>
      <c r="J463" s="436">
        <f t="shared" ref="J463" si="951">+D463/H462</f>
        <v>4.1547969262125143E-4</v>
      </c>
      <c r="K463" s="16"/>
      <c r="L463" s="16"/>
      <c r="M463" s="16"/>
      <c r="N463" s="16">
        <f t="shared" ref="N463" si="952">SUM(D457:D463)</f>
        <v>85785</v>
      </c>
      <c r="O463" s="16">
        <f t="shared" ref="O463" si="953">+H463/BW463</f>
        <v>74585.211453744487</v>
      </c>
      <c r="P463" s="41"/>
      <c r="Q463" s="17">
        <f t="shared" ref="Q463" si="954">SUM(D457:D463)</f>
        <v>85785</v>
      </c>
      <c r="R463" s="16"/>
      <c r="S463" s="60">
        <f t="shared" ref="S463" si="955">+(Q463-Q456)/Q456</f>
        <v>-7.5423299526852977E-2</v>
      </c>
      <c r="T463" s="16"/>
      <c r="U463" s="41"/>
      <c r="V463" s="10">
        <f t="shared" si="349"/>
        <v>355</v>
      </c>
      <c r="W463" s="34">
        <v>434</v>
      </c>
      <c r="X463" s="33">
        <v>4256</v>
      </c>
      <c r="Y463" s="33"/>
      <c r="Z463" s="33">
        <f t="shared" ref="Z463" si="956">SUM(W458:W463)</f>
        <v>1868</v>
      </c>
      <c r="AA463" s="33">
        <f t="shared" ref="AA463" si="957">+AA462+W463</f>
        <v>601645</v>
      </c>
      <c r="AB463" s="33"/>
      <c r="AC463" s="46">
        <f t="shared" ref="AC463" si="958">+AA463/H463</f>
        <v>1.7767721311927588E-2</v>
      </c>
      <c r="AD463" s="33"/>
      <c r="AE463" s="33">
        <f t="shared" ref="AE463" si="959">+AA463/BW463</f>
        <v>1325.2092511013216</v>
      </c>
      <c r="AF463" s="50"/>
      <c r="AG463" s="33">
        <f t="shared" ref="AG463" si="960">SUM(W457:W463)</f>
        <v>2349</v>
      </c>
      <c r="AH463" s="33">
        <f t="shared" ref="AH463" si="961">SUM(D434:D863)</f>
        <v>1117708289.060914</v>
      </c>
      <c r="AI463" s="213">
        <f t="shared" ref="AI463" si="962">+(AG463-AG456)/AG456</f>
        <v>-0.16435432230522945</v>
      </c>
      <c r="AJ463" s="50"/>
      <c r="AK463" s="111"/>
      <c r="AL463" s="23">
        <f t="shared" ref="AL463" si="963">+AP463-AP462</f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61">
        <f t="shared" ref="AR463" si="964">+AL463/AP462</f>
        <v>1.3224533893265477E-3</v>
      </c>
      <c r="AS463" s="25"/>
      <c r="AT463" s="25"/>
      <c r="AU463" s="24"/>
      <c r="AV463" s="298">
        <f t="shared" ref="AV463" si="965">+AP463/H463</f>
        <v>0.84509953225601353</v>
      </c>
      <c r="AW463" s="298"/>
      <c r="AX463" s="24">
        <f t="shared" ref="AX463" si="966">+AP463/BW463</f>
        <v>63031.927312775333</v>
      </c>
      <c r="AY463" s="308"/>
      <c r="AZ463" s="111"/>
      <c r="BA463" s="65">
        <f t="shared" ref="BA463" si="967">+BC463-BC462</f>
        <v>607828</v>
      </c>
      <c r="BB463" s="66"/>
      <c r="BC463" s="66">
        <v>496625233</v>
      </c>
      <c r="BD463" s="66"/>
      <c r="BE463" s="66">
        <f t="shared" ref="BE463" si="968">+D463</f>
        <v>14063</v>
      </c>
      <c r="BF463" s="66"/>
      <c r="BG463" s="144">
        <f t="shared" ref="BG463" si="969">+BE463/BA463</f>
        <v>2.3136479398777287E-2</v>
      </c>
      <c r="BH463" s="66"/>
      <c r="BI463" s="170"/>
      <c r="BJ463" s="66"/>
      <c r="BK463" s="66">
        <f t="shared" ref="BK463" si="970">SUM(BA457:BA463)</f>
        <v>5543952</v>
      </c>
      <c r="BL463" s="66"/>
      <c r="BM463" s="144">
        <f t="shared" ref="BM463" si="971">+Q463/BK463</f>
        <v>1.5473618819210557E-2</v>
      </c>
      <c r="BN463" s="65">
        <f t="shared" ref="BN463" si="972">+BC463/BW463</f>
        <v>1093888.1784140968</v>
      </c>
      <c r="BO463" s="66"/>
      <c r="BP463" s="66">
        <f t="shared" ref="BP463" si="973">+BP462+BE463</f>
        <v>32954708</v>
      </c>
      <c r="BQ463" s="66"/>
      <c r="BR463" s="435">
        <f t="shared" ref="BR463" si="974">+BP463/BC463</f>
        <v>6.6357296831109663E-2</v>
      </c>
      <c r="BS463" s="66"/>
      <c r="BT463" s="75"/>
      <c r="BU463" s="170"/>
      <c r="BV463" s="1"/>
      <c r="BW463" s="61">
        <f t="shared" si="186"/>
        <v>454</v>
      </c>
    </row>
    <row r="464" spans="2:75" x14ac:dyDescent="0.3">
      <c r="B464" s="158">
        <f t="shared" si="424"/>
        <v>44364</v>
      </c>
      <c r="C464" s="61"/>
      <c r="D464" s="17">
        <v>13733</v>
      </c>
      <c r="E464" s="16"/>
      <c r="F464" s="16"/>
      <c r="G464" s="16"/>
      <c r="H464" s="16">
        <f t="shared" ref="H464" si="975">+H463+D464</f>
        <v>33875419</v>
      </c>
      <c r="I464" s="16"/>
      <c r="J464" s="436">
        <f t="shared" ref="J464" si="976">+D464/H463</f>
        <v>4.0556161320496562E-4</v>
      </c>
      <c r="K464" s="16"/>
      <c r="L464" s="16"/>
      <c r="M464" s="16"/>
      <c r="N464" s="16">
        <f t="shared" ref="N464" si="977">SUM(D458:D464)</f>
        <v>82754</v>
      </c>
      <c r="O464" s="16">
        <f t="shared" ref="O464" si="978">+H464/BW464</f>
        <v>74451.470329670323</v>
      </c>
      <c r="P464" s="41"/>
      <c r="Q464" s="17">
        <f t="shared" ref="Q464" si="979">SUM(D458:D464)</f>
        <v>82754</v>
      </c>
      <c r="R464" s="16"/>
      <c r="S464" s="60">
        <f t="shared" ref="S464" si="980">+(Q464-Q457)/Q457</f>
        <v>-9.7813051915487434E-2</v>
      </c>
      <c r="T464" s="16"/>
      <c r="U464" s="41"/>
      <c r="V464" s="10">
        <f t="shared" si="349"/>
        <v>356</v>
      </c>
      <c r="W464" s="34">
        <v>375</v>
      </c>
      <c r="X464" s="33">
        <v>4256</v>
      </c>
      <c r="Y464" s="33"/>
      <c r="Z464" s="33">
        <f t="shared" ref="Z464" si="981">SUM(W459:W464)</f>
        <v>1822</v>
      </c>
      <c r="AA464" s="33">
        <f t="shared" ref="AA464" si="982">+AA463+W464</f>
        <v>602020</v>
      </c>
      <c r="AB464" s="33"/>
      <c r="AC464" s="46">
        <f t="shared" ref="AC464" si="983">+AA464/H464</f>
        <v>1.7771588301239906E-2</v>
      </c>
      <c r="AD464" s="33"/>
      <c r="AE464" s="33">
        <f t="shared" ref="AE464" si="984">+AA464/BW464</f>
        <v>1323.1208791208792</v>
      </c>
      <c r="AF464" s="50"/>
      <c r="AG464" s="33">
        <f t="shared" ref="AG464" si="985">SUM(W458:W464)</f>
        <v>2243</v>
      </c>
      <c r="AH464" s="33">
        <f t="shared" ref="AH464" si="986">SUM(D435:D864)</f>
        <v>1117680783.060914</v>
      </c>
      <c r="AI464" s="213">
        <f t="shared" ref="AI464" si="987">+(AG464-AG457)/AG457</f>
        <v>-0.17476085356880058</v>
      </c>
      <c r="AJ464" s="50"/>
      <c r="AK464" s="111"/>
      <c r="AL464" s="23">
        <f t="shared" ref="AL464" si="988">+AP464-AP463</f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61">
        <f t="shared" ref="AR464" si="989">+AL464/AP463</f>
        <v>1.0241645596359723E-3</v>
      </c>
      <c r="AS464" s="25"/>
      <c r="AT464" s="25"/>
      <c r="AU464" s="24"/>
      <c r="AV464" s="298">
        <f t="shared" ref="AV464" si="990">+AP464/H464</f>
        <v>0.84562210138271643</v>
      </c>
      <c r="AW464" s="298"/>
      <c r="AX464" s="24">
        <f t="shared" ref="AX464" si="991">+AP464/BW464</f>
        <v>62957.808791208794</v>
      </c>
      <c r="AY464" s="308"/>
      <c r="AZ464" s="111"/>
      <c r="BA464" s="65">
        <f t="shared" ref="BA464" si="992">+BC464-BC463</f>
        <v>784478</v>
      </c>
      <c r="BB464" s="66"/>
      <c r="BC464" s="66">
        <v>497409711</v>
      </c>
      <c r="BD464" s="66"/>
      <c r="BE464" s="66">
        <f t="shared" ref="BE464" si="993">+D464</f>
        <v>13733</v>
      </c>
      <c r="BF464" s="66"/>
      <c r="BG464" s="144">
        <f t="shared" ref="BG464" si="994">+BE464/BA464</f>
        <v>1.750590838748824E-2</v>
      </c>
      <c r="BH464" s="66"/>
      <c r="BI464" s="170"/>
      <c r="BJ464" s="66"/>
      <c r="BK464" s="66">
        <f t="shared" ref="BK464" si="995">SUM(BA458:BA464)</f>
        <v>5409711</v>
      </c>
      <c r="BL464" s="66"/>
      <c r="BM464" s="144">
        <f t="shared" ref="BM464" si="996">+Q464/BK464</f>
        <v>1.5297305161033557E-2</v>
      </c>
      <c r="BN464" s="65">
        <f t="shared" ref="BN464" si="997">+BC464/BW464</f>
        <v>1093208.1560439561</v>
      </c>
      <c r="BO464" s="66"/>
      <c r="BP464" s="66">
        <f t="shared" ref="BP464" si="998">+BP463+BE464</f>
        <v>32968441</v>
      </c>
      <c r="BQ464" s="66"/>
      <c r="BR464" s="435">
        <f t="shared" ref="BR464" si="999">+BP464/BC464</f>
        <v>6.6280252015425575E-2</v>
      </c>
      <c r="BS464" s="66"/>
      <c r="BT464" s="75"/>
      <c r="BU464" s="170"/>
      <c r="BV464" s="1"/>
      <c r="BW464" s="61">
        <f t="shared" si="186"/>
        <v>455</v>
      </c>
    </row>
    <row r="465" spans="2:75" x14ac:dyDescent="0.3">
      <c r="B465" s="158">
        <f t="shared" si="424"/>
        <v>44365</v>
      </c>
      <c r="C465" s="61"/>
      <c r="D465" s="17">
        <v>13389</v>
      </c>
      <c r="E465" s="16"/>
      <c r="F465" s="16"/>
      <c r="G465" s="16"/>
      <c r="H465" s="16">
        <f t="shared" ref="H465" si="1000">+H464+D465</f>
        <v>33888808</v>
      </c>
      <c r="I465" s="16"/>
      <c r="J465" s="436">
        <f t="shared" ref="J465" si="1001">+D465/H464</f>
        <v>3.952423437183168E-4</v>
      </c>
      <c r="K465" s="16"/>
      <c r="L465" s="16"/>
      <c r="M465" s="16"/>
      <c r="N465" s="16">
        <f t="shared" ref="N465" si="1002">SUM(D459:D465)</f>
        <v>79998</v>
      </c>
      <c r="O465" s="16">
        <f t="shared" ref="O465" si="1003">+H465/BW465</f>
        <v>74317.561403508778</v>
      </c>
      <c r="P465" s="41"/>
      <c r="Q465" s="17">
        <f t="shared" ref="Q465" si="1004">SUM(D459:D465)</f>
        <v>79998</v>
      </c>
      <c r="R465" s="16"/>
      <c r="S465" s="60">
        <f t="shared" ref="S465" si="1005">+(Q465-Q458)/Q458</f>
        <v>-0.12037912607481363</v>
      </c>
      <c r="T465" s="16"/>
      <c r="U465" s="41"/>
      <c r="V465" s="10">
        <f t="shared" si="349"/>
        <v>357</v>
      </c>
      <c r="W465" s="34">
        <v>393</v>
      </c>
      <c r="X465" s="33">
        <v>4256</v>
      </c>
      <c r="Y465" s="33"/>
      <c r="Z465" s="33">
        <f t="shared" ref="Z465" si="1006">SUM(W460:W465)</f>
        <v>1907</v>
      </c>
      <c r="AA465" s="33">
        <f t="shared" ref="AA465" si="1007">+AA464+W465</f>
        <v>602413</v>
      </c>
      <c r="AB465" s="33"/>
      <c r="AC465" s="46">
        <f t="shared" ref="AC465" si="1008">+AA465/H465</f>
        <v>1.7776163741138374E-2</v>
      </c>
      <c r="AD465" s="33"/>
      <c r="AE465" s="33">
        <f t="shared" ref="AE465" si="1009">+AA465/BW465</f>
        <v>1321.0811403508771</v>
      </c>
      <c r="AF465" s="50"/>
      <c r="AG465" s="33">
        <f t="shared" ref="AG465" si="1010">SUM(W459:W465)</f>
        <v>2215</v>
      </c>
      <c r="AH465" s="33">
        <f t="shared" ref="AH465" si="1011">SUM(D436:D865)</f>
        <v>1117652242.060914</v>
      </c>
      <c r="AI465" s="213">
        <f t="shared" ref="AI465" si="1012">+(AG465-AG458)/AG458</f>
        <v>-0.15425735013363878</v>
      </c>
      <c r="AJ465" s="50"/>
      <c r="AK465" s="111"/>
      <c r="AL465" s="23">
        <f t="shared" ref="AL465" si="1013">+AP465-AP464</f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61">
        <f t="shared" ref="AR465" si="1014">+AL465/AP464</f>
        <v>1.0516723863527233E-3</v>
      </c>
      <c r="AS465" s="25"/>
      <c r="AT465" s="25"/>
      <c r="AU465" s="24"/>
      <c r="AV465" s="298">
        <f t="shared" ref="AV465" si="1015">+AP465/H465</f>
        <v>0.8461769738256949</v>
      </c>
      <c r="AW465" s="298"/>
      <c r="AX465" s="24">
        <f t="shared" ref="AX465" si="1016">+AP465/BW465</f>
        <v>62885.809210526313</v>
      </c>
      <c r="AY465" s="308"/>
      <c r="AZ465" s="111"/>
      <c r="BA465" s="65">
        <f t="shared" ref="BA465" si="1017">+BC465-BC464</f>
        <v>820364</v>
      </c>
      <c r="BB465" s="66"/>
      <c r="BC465" s="66">
        <v>498230075</v>
      </c>
      <c r="BD465" s="66"/>
      <c r="BE465" s="66">
        <f t="shared" ref="BE465" si="1018">+D465</f>
        <v>13389</v>
      </c>
      <c r="BF465" s="66"/>
      <c r="BG465" s="144">
        <f t="shared" ref="BG465" si="1019">+BE465/BA465</f>
        <v>1.6320803935813859E-2</v>
      </c>
      <c r="BH465" s="66"/>
      <c r="BI465" s="170"/>
      <c r="BJ465" s="66"/>
      <c r="BK465" s="66">
        <f t="shared" ref="BK465" si="1020">SUM(BA459:BA465)</f>
        <v>4983961</v>
      </c>
      <c r="BL465" s="66"/>
      <c r="BM465" s="144">
        <f t="shared" ref="BM465" si="1021">+Q465/BK465</f>
        <v>1.6051088682275002E-2</v>
      </c>
      <c r="BN465" s="65">
        <f t="shared" ref="BN465" si="1022">+BC465/BW465</f>
        <v>1092609.8135964912</v>
      </c>
      <c r="BO465" s="66"/>
      <c r="BP465" s="66">
        <f t="shared" ref="BP465" si="1023">+BP464+BE465</f>
        <v>32981830</v>
      </c>
      <c r="BQ465" s="66"/>
      <c r="BR465" s="435">
        <f t="shared" ref="BR465" si="1024">+BP465/BC465</f>
        <v>6.619799095829372E-2</v>
      </c>
      <c r="BS465" s="66"/>
      <c r="BT465" s="75"/>
      <c r="BU465" s="170"/>
      <c r="BV465" s="1"/>
      <c r="BW465" s="61">
        <f t="shared" si="186"/>
        <v>456</v>
      </c>
    </row>
    <row r="466" spans="2:75" x14ac:dyDescent="0.3">
      <c r="B466" s="158">
        <f t="shared" si="424"/>
        <v>44366</v>
      </c>
      <c r="C466" s="61"/>
      <c r="D466" s="17">
        <v>7782</v>
      </c>
      <c r="E466" s="16"/>
      <c r="F466" s="16"/>
      <c r="G466" s="16"/>
      <c r="H466" s="16">
        <f t="shared" ref="H466" si="1025">+H465+D466</f>
        <v>33896590</v>
      </c>
      <c r="I466" s="16"/>
      <c r="J466" s="436">
        <f t="shared" ref="J466" si="1026">+D466/H465</f>
        <v>2.2963333499366516E-4</v>
      </c>
      <c r="K466" s="16"/>
      <c r="L466" s="16"/>
      <c r="M466" s="16"/>
      <c r="N466" s="16">
        <f t="shared" ref="N466" si="1027">SUM(D460:D466)</f>
        <v>78353</v>
      </c>
      <c r="O466" s="16">
        <f t="shared" ref="O466" si="1028">+H466/BW466</f>
        <v>74171.969365426703</v>
      </c>
      <c r="P466" s="41"/>
      <c r="Q466" s="17">
        <f t="shared" ref="Q466" si="1029">SUM(D460:D466)</f>
        <v>78353</v>
      </c>
      <c r="R466" s="16"/>
      <c r="S466" s="60">
        <f t="shared" ref="S466" si="1030">+(Q466-Q459)/Q459</f>
        <v>-0.11734820322180917</v>
      </c>
      <c r="T466" s="16"/>
      <c r="U466" s="41"/>
      <c r="V466" s="10">
        <f t="shared" si="349"/>
        <v>358</v>
      </c>
      <c r="W466" s="34">
        <v>170</v>
      </c>
      <c r="X466" s="33">
        <v>4256</v>
      </c>
      <c r="Y466" s="33"/>
      <c r="Z466" s="33">
        <f t="shared" ref="Z466" si="1031">SUM(W461:W466)</f>
        <v>1977</v>
      </c>
      <c r="AA466" s="33">
        <f t="shared" ref="AA466" si="1032">+AA465+W466</f>
        <v>602583</v>
      </c>
      <c r="AB466" s="33"/>
      <c r="AC466" s="46">
        <f t="shared" ref="AC466" si="1033">+AA466/H466</f>
        <v>1.7777097932269881E-2</v>
      </c>
      <c r="AD466" s="33"/>
      <c r="AE466" s="33">
        <f t="shared" ref="AE466" si="1034">+AA466/BW466</f>
        <v>1318.562363238512</v>
      </c>
      <c r="AF466" s="50"/>
      <c r="AG466" s="33">
        <f t="shared" ref="AG466" si="1035">SUM(W460:W466)</f>
        <v>2077</v>
      </c>
      <c r="AH466" s="33">
        <f t="shared" ref="AH466" si="1036">SUM(D437:D866)</f>
        <v>1117622028.060914</v>
      </c>
      <c r="AI466" s="213">
        <f t="shared" ref="AI466" si="1037">+(AG466-AG459)/AG459</f>
        <v>-0.18196140212682158</v>
      </c>
      <c r="AJ466" s="50"/>
      <c r="AK466" s="111"/>
      <c r="AL466" s="23">
        <f t="shared" ref="AL466" si="1038">+AP466-AP465</f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61">
        <f t="shared" ref="AR466" si="1039">+AL466/AP465</f>
        <v>6.5957758508887368E-4</v>
      </c>
      <c r="AS466" s="25"/>
      <c r="AT466" s="25"/>
      <c r="AU466" s="24"/>
      <c r="AV466" s="298">
        <f t="shared" ref="AV466" si="1040">+AP466/H466</f>
        <v>0.84654069922667741</v>
      </c>
      <c r="AW466" s="298"/>
      <c r="AX466" s="24">
        <f t="shared" ref="AX466" si="1041">+AP466/BW466</f>
        <v>62789.590809628011</v>
      </c>
      <c r="AY466" s="308"/>
      <c r="AZ466" s="111"/>
      <c r="BA466" s="65">
        <f t="shared" ref="BA466" si="1042">+BC466-BC465</f>
        <v>459136</v>
      </c>
      <c r="BB466" s="66"/>
      <c r="BC466" s="66">
        <v>498689211</v>
      </c>
      <c r="BD466" s="66"/>
      <c r="BE466" s="66">
        <f t="shared" ref="BE466" si="1043">+D466</f>
        <v>7782</v>
      </c>
      <c r="BF466" s="66"/>
      <c r="BG466" s="144">
        <f t="shared" ref="BG466" si="1044">+BE466/BA466</f>
        <v>1.6949226373013659E-2</v>
      </c>
      <c r="BH466" s="66"/>
      <c r="BI466" s="170"/>
      <c r="BJ466" s="66"/>
      <c r="BK466" s="66">
        <f t="shared" ref="BK466" si="1045">SUM(BA460:BA466)</f>
        <v>4794358</v>
      </c>
      <c r="BL466" s="66"/>
      <c r="BM466" s="144">
        <f t="shared" ref="BM466" si="1046">+Q466/BK466</f>
        <v>1.6342751208816696E-2</v>
      </c>
      <c r="BN466" s="65">
        <f t="shared" ref="BN466" si="1047">+BC466/BW466</f>
        <v>1091223.6564551422</v>
      </c>
      <c r="BO466" s="66"/>
      <c r="BP466" s="66">
        <f t="shared" ref="BP466" si="1048">+BP465+BE466</f>
        <v>32989612</v>
      </c>
      <c r="BQ466" s="66"/>
      <c r="BR466" s="435">
        <f t="shared" ref="BR466" si="1049">+BP466/BC466</f>
        <v>6.6152648327497107E-2</v>
      </c>
      <c r="BS466" s="66"/>
      <c r="BT466" s="75"/>
      <c r="BU466" s="170"/>
      <c r="BV466" s="1"/>
      <c r="BW466" s="61">
        <f t="shared" si="186"/>
        <v>457</v>
      </c>
    </row>
    <row r="467" spans="2:75" x14ac:dyDescent="0.3">
      <c r="B467" s="347">
        <f t="shared" si="424"/>
        <v>44367</v>
      </c>
      <c r="C467" s="61"/>
      <c r="D467" s="17">
        <v>4422</v>
      </c>
      <c r="E467" s="16"/>
      <c r="F467" s="16"/>
      <c r="G467" s="16"/>
      <c r="H467" s="16">
        <f t="shared" ref="H467" si="1050">+H466+D467</f>
        <v>33901012</v>
      </c>
      <c r="I467" s="16"/>
      <c r="J467" s="436">
        <f t="shared" ref="J467" si="1051">+D467/H466</f>
        <v>1.3045560040110229E-4</v>
      </c>
      <c r="K467" s="16"/>
      <c r="L467" s="16"/>
      <c r="M467" s="16"/>
      <c r="N467" s="16">
        <f t="shared" ref="N467" si="1052">SUM(D461:D467)</f>
        <v>77490</v>
      </c>
      <c r="O467" s="16">
        <f t="shared" ref="O467" si="1053">+H467/BW467</f>
        <v>74019.676855895203</v>
      </c>
      <c r="P467" s="41"/>
      <c r="Q467" s="17">
        <f t="shared" ref="Q467" si="1054">SUM(D461:D467)</f>
        <v>77490</v>
      </c>
      <c r="R467" s="16"/>
      <c r="S467" s="60">
        <f t="shared" ref="S467" si="1055">+(Q467-Q460)/Q460</f>
        <v>-0.11588531267470649</v>
      </c>
      <c r="T467" s="16"/>
      <c r="U467" s="41"/>
      <c r="V467" s="10">
        <f t="shared" si="349"/>
        <v>359</v>
      </c>
      <c r="W467" s="34">
        <v>86</v>
      </c>
      <c r="X467" s="33">
        <v>4256</v>
      </c>
      <c r="Y467" s="33"/>
      <c r="Z467" s="33">
        <f t="shared" ref="Z467" si="1056">SUM(W462:W467)</f>
        <v>1811</v>
      </c>
      <c r="AA467" s="33">
        <f t="shared" ref="AA467" si="1057">+AA466+W467</f>
        <v>602669</v>
      </c>
      <c r="AB467" s="33"/>
      <c r="AC467" s="46">
        <f t="shared" ref="AC467" si="1058">+AA467/H467</f>
        <v>1.7777315910215304E-2</v>
      </c>
      <c r="AD467" s="33"/>
      <c r="AE467" s="33">
        <f t="shared" ref="AE467" si="1059">+AA467/BW467</f>
        <v>1315.8711790393013</v>
      </c>
      <c r="AF467" s="50"/>
      <c r="AG467" s="33">
        <f t="shared" ref="AG467" si="1060">SUM(W461:W467)</f>
        <v>2063</v>
      </c>
      <c r="AH467" s="33">
        <f t="shared" ref="AH467" si="1061">SUM(D438:D867)</f>
        <v>1117593014.060914</v>
      </c>
      <c r="AI467" s="213">
        <f t="shared" ref="AI467" si="1062">+(AG467-AG460)/AG460</f>
        <v>-0.16646464646464645</v>
      </c>
      <c r="AJ467" s="50"/>
      <c r="AK467" s="111"/>
      <c r="AL467" s="23">
        <f t="shared" ref="AL467" si="1063">+AP467-AP466</f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61">
        <f t="shared" ref="AR467" si="1064">+AL467/AP466</f>
        <v>5.7404042949459597E-4</v>
      </c>
      <c r="AS467" s="25"/>
      <c r="AT467" s="25"/>
      <c r="AU467" s="24"/>
      <c r="AV467" s="298">
        <f t="shared" ref="AV467" si="1065">+AP467/H467</f>
        <v>0.84691616285673121</v>
      </c>
      <c r="AW467" s="298"/>
      <c r="AX467" s="24">
        <f t="shared" ref="AX467" si="1066">+AP467/BW467</f>
        <v>62688.46069868996</v>
      </c>
      <c r="AY467" s="308"/>
      <c r="AZ467" s="111"/>
      <c r="BA467" s="65">
        <f t="shared" ref="BA467" si="1067">+BC467-BC466</f>
        <v>372514</v>
      </c>
      <c r="BB467" s="66"/>
      <c r="BC467" s="66">
        <v>499061725</v>
      </c>
      <c r="BD467" s="66"/>
      <c r="BE467" s="66">
        <f t="shared" ref="BE467" si="1068">+D467</f>
        <v>4422</v>
      </c>
      <c r="BF467" s="66"/>
      <c r="BG467" s="144">
        <f t="shared" ref="BG467" si="1069">+BE467/BA467</f>
        <v>1.1870694792678932E-2</v>
      </c>
      <c r="BH467" s="66"/>
      <c r="BI467" s="170"/>
      <c r="BJ467" s="66"/>
      <c r="BK467" s="66">
        <f t="shared" ref="BK467" si="1070">SUM(BA461:BA467)</f>
        <v>4712064</v>
      </c>
      <c r="BL467" s="66"/>
      <c r="BM467" s="144">
        <f t="shared" ref="BM467" si="1071">+Q467/BK467</f>
        <v>1.6445022818026241E-2</v>
      </c>
      <c r="BN467" s="65">
        <f t="shared" ref="BN467" si="1072">+BC467/BW467</f>
        <v>1089654.4213973798</v>
      </c>
      <c r="BO467" s="66"/>
      <c r="BP467" s="66">
        <f t="shared" ref="BP467" si="1073">+BP466+BE467</f>
        <v>32994034</v>
      </c>
      <c r="BQ467" s="66"/>
      <c r="BR467" s="435">
        <f t="shared" ref="BR467" si="1074">+BP467/BC467</f>
        <v>6.6112130718900555E-2</v>
      </c>
      <c r="BS467" s="66"/>
      <c r="BT467" s="75"/>
      <c r="BU467" s="170"/>
      <c r="BV467" s="1"/>
      <c r="BW467" s="61">
        <f t="shared" si="186"/>
        <v>458</v>
      </c>
    </row>
    <row r="468" spans="2:75" x14ac:dyDescent="0.3">
      <c r="B468" s="158">
        <f t="shared" si="424"/>
        <v>44368</v>
      </c>
      <c r="C468" s="61"/>
      <c r="D468" s="17">
        <v>9755</v>
      </c>
      <c r="E468" s="16"/>
      <c r="F468" s="16"/>
      <c r="G468" s="16"/>
      <c r="H468" s="16">
        <f t="shared" ref="H468" si="1075">+H467+D468</f>
        <v>33910767</v>
      </c>
      <c r="I468" s="16"/>
      <c r="J468" s="436">
        <f t="shared" ref="J468" si="1076">+D468/H467</f>
        <v>2.8774952204966626E-4</v>
      </c>
      <c r="K468" s="16"/>
      <c r="L468" s="16"/>
      <c r="M468" s="16"/>
      <c r="N468" s="16">
        <f t="shared" ref="N468" si="1077">SUM(D462:D468)</f>
        <v>75724</v>
      </c>
      <c r="O468" s="16">
        <f t="shared" ref="O468" si="1078">+H468/BW468</f>
        <v>73879.666666666672</v>
      </c>
      <c r="P468" s="41"/>
      <c r="Q468" s="17">
        <f t="shared" ref="Q468" si="1079">SUM(D462:D468)</f>
        <v>75724</v>
      </c>
      <c r="R468" s="16"/>
      <c r="S468" s="60">
        <f t="shared" ref="S468" si="1080">+(Q468-Q461)/Q461</f>
        <v>-0.12845715601081889</v>
      </c>
      <c r="T468" s="16"/>
      <c r="U468" s="41"/>
      <c r="V468" s="10">
        <f t="shared" si="349"/>
        <v>360</v>
      </c>
      <c r="W468" s="34">
        <v>237</v>
      </c>
      <c r="X468" s="33">
        <v>4256</v>
      </c>
      <c r="Y468" s="33"/>
      <c r="Z468" s="33">
        <f t="shared" ref="Z468" si="1081">SUM(W463:W468)</f>
        <v>1695</v>
      </c>
      <c r="AA468" s="33">
        <f t="shared" ref="AA468" si="1082">+AA467+W468</f>
        <v>602906</v>
      </c>
      <c r="AB468" s="33"/>
      <c r="AC468" s="46">
        <f t="shared" ref="AC468" si="1083">+AA468/H468</f>
        <v>1.7779190898277234E-2</v>
      </c>
      <c r="AD468" s="33"/>
      <c r="AE468" s="33">
        <f t="shared" ref="AE468" si="1084">+AA468/BW468</f>
        <v>1313.520697167756</v>
      </c>
      <c r="AF468" s="50"/>
      <c r="AG468" s="33">
        <f t="shared" ref="AG468" si="1085">SUM(W462:W468)</f>
        <v>2048</v>
      </c>
      <c r="AH468" s="33">
        <f t="shared" ref="AH468" si="1086">SUM(D439:D868)</f>
        <v>1117573375.060914</v>
      </c>
      <c r="AI468" s="213">
        <f t="shared" ref="AI468" si="1087">+(AG468-AG461)/AG461</f>
        <v>-0.15196687370600415</v>
      </c>
      <c r="AJ468" s="50"/>
      <c r="AK468" s="111"/>
      <c r="AL468" s="23">
        <f t="shared" ref="AL468" si="1088">+AP468-AP467</f>
        <v>80825</v>
      </c>
      <c r="AM468" s="24"/>
      <c r="AN468" s="24"/>
      <c r="AO468" s="24">
        <v>178263</v>
      </c>
      <c r="AP468" s="24">
        <v>28792140</v>
      </c>
      <c r="AQ468" s="24">
        <v>20336656</v>
      </c>
      <c r="AR468" s="461">
        <f t="shared" ref="AR468" si="1089">+AL468/AP467</f>
        <v>2.8150922380253221E-3</v>
      </c>
      <c r="AS468" s="25"/>
      <c r="AT468" s="25"/>
      <c r="AU468" s="24"/>
      <c r="AV468" s="298">
        <f t="shared" ref="AV468" si="1090">+AP468/H468</f>
        <v>0.84905599451643188</v>
      </c>
      <c r="AW468" s="298"/>
      <c r="AX468" s="24">
        <f t="shared" ref="AX468" si="1091">+AP468/BW468</f>
        <v>62727.973856209152</v>
      </c>
      <c r="AY468" s="308"/>
      <c r="AZ468" s="111"/>
      <c r="BA468" s="65">
        <f t="shared" ref="BA468" si="1092">+BC468-BC467</f>
        <v>1247281</v>
      </c>
      <c r="BB468" s="66"/>
      <c r="BC468" s="66">
        <v>500309006</v>
      </c>
      <c r="BD468" s="66"/>
      <c r="BE468" s="66">
        <f t="shared" ref="BE468" si="1093">+D468</f>
        <v>9755</v>
      </c>
      <c r="BF468" s="66"/>
      <c r="BG468" s="144">
        <f t="shared" ref="BG468" si="1094">+BE468/BA468</f>
        <v>7.8210122658807432E-3</v>
      </c>
      <c r="BH468" s="66"/>
      <c r="BI468" s="170"/>
      <c r="BJ468" s="66"/>
      <c r="BK468" s="66">
        <f t="shared" ref="BK468" si="1095">SUM(BA462:BA468)</f>
        <v>4905218</v>
      </c>
      <c r="BL468" s="66"/>
      <c r="BM468" s="144">
        <f t="shared" ref="BM468" si="1096">+Q468/BK468</f>
        <v>1.5437438254528138E-2</v>
      </c>
      <c r="BN468" s="65">
        <f t="shared" ref="BN468" si="1097">+BC468/BW468</f>
        <v>1089997.834422658</v>
      </c>
      <c r="BO468" s="66"/>
      <c r="BP468" s="66">
        <f t="shared" ref="BP468" si="1098">+BP467+BE468</f>
        <v>33003789</v>
      </c>
      <c r="BQ468" s="66"/>
      <c r="BR468" s="435">
        <f t="shared" ref="BR468" si="1099">+BP468/BC468</f>
        <v>6.5966809719991332E-2</v>
      </c>
      <c r="BS468" s="66"/>
      <c r="BT468" s="75"/>
      <c r="BU468" s="170"/>
      <c r="BV468" s="1"/>
      <c r="BW468" s="61">
        <f t="shared" si="186"/>
        <v>459</v>
      </c>
    </row>
    <row r="469" spans="2:75" x14ac:dyDescent="0.3">
      <c r="B469" s="158">
        <f t="shared" si="424"/>
        <v>44369</v>
      </c>
      <c r="C469" s="61"/>
      <c r="D469" s="17">
        <v>12874</v>
      </c>
      <c r="E469" s="16"/>
      <c r="F469" s="16"/>
      <c r="G469" s="16"/>
      <c r="H469" s="16">
        <f t="shared" ref="H469" si="1100">+H468+D469</f>
        <v>33923641</v>
      </c>
      <c r="I469" s="16"/>
      <c r="J469" s="436">
        <f t="shared" ref="J469" si="1101">+D469/H468</f>
        <v>3.7964343301347326E-4</v>
      </c>
      <c r="K469" s="16"/>
      <c r="L469" s="16"/>
      <c r="M469" s="16"/>
      <c r="N469" s="16">
        <f t="shared" ref="N469" si="1102">SUM(D463:D469)</f>
        <v>76018</v>
      </c>
      <c r="O469" s="16">
        <f t="shared" ref="O469" si="1103">+H469/BW469</f>
        <v>73747.045652173911</v>
      </c>
      <c r="P469" s="41"/>
      <c r="Q469" s="17">
        <f t="shared" ref="Q469" si="1104">SUM(D463:D469)</f>
        <v>76018</v>
      </c>
      <c r="R469" s="16"/>
      <c r="S469" s="60">
        <f t="shared" ref="S469" si="1105">+(Q469-Q462)/Q462</f>
        <v>-0.11527763229868604</v>
      </c>
      <c r="T469" s="16"/>
      <c r="U469" s="41"/>
      <c r="V469" s="10">
        <f t="shared" si="349"/>
        <v>361</v>
      </c>
      <c r="W469" s="34">
        <v>431</v>
      </c>
      <c r="X469" s="33">
        <v>4256</v>
      </c>
      <c r="Y469" s="33"/>
      <c r="Z469" s="33">
        <f t="shared" ref="Z469" si="1106">SUM(W464:W469)</f>
        <v>1692</v>
      </c>
      <c r="AA469" s="33">
        <f t="shared" ref="AA469" si="1107">+AA468+W469</f>
        <v>603337</v>
      </c>
      <c r="AB469" s="33"/>
      <c r="AC469" s="46">
        <f t="shared" ref="AC469" si="1108">+AA469/H469</f>
        <v>1.7785148710894566E-2</v>
      </c>
      <c r="AD469" s="33"/>
      <c r="AE469" s="33">
        <f t="shared" ref="AE469" si="1109">+AA469/BW469</f>
        <v>1311.6021739130435</v>
      </c>
      <c r="AF469" s="50"/>
      <c r="AG469" s="33">
        <f t="shared" ref="AG469" si="1110">SUM(W463:W469)</f>
        <v>2126</v>
      </c>
      <c r="AH469" s="33">
        <f t="shared" ref="AH469" si="1111">SUM(D440:D869)</f>
        <v>1117559834.060914</v>
      </c>
      <c r="AI469" s="213">
        <f t="shared" ref="AI469" si="1112">+(AG469-AG462)/AG462</f>
        <v>-0.10181664554288128</v>
      </c>
      <c r="AJ469" s="50"/>
      <c r="AK469" s="111"/>
      <c r="AL469" s="23">
        <f t="shared" ref="AL469" si="1113">+AP469-AP468</f>
        <v>29635</v>
      </c>
      <c r="AM469" s="24"/>
      <c r="AN469" s="24"/>
      <c r="AO469" s="24">
        <v>178263</v>
      </c>
      <c r="AP469" s="24">
        <v>28821775</v>
      </c>
      <c r="AQ469" s="24">
        <v>20336656</v>
      </c>
      <c r="AR469" s="461">
        <f t="shared" ref="AR469" si="1114">+AL469/AP468</f>
        <v>1.0292739615742352E-3</v>
      </c>
      <c r="AS469" s="25"/>
      <c r="AT469" s="25"/>
      <c r="AU469" s="24"/>
      <c r="AV469" s="298">
        <f t="shared" ref="AV469" si="1115">+AP469/H469</f>
        <v>0.84960735788944353</v>
      </c>
      <c r="AW469" s="298"/>
      <c r="AX469" s="24">
        <f t="shared" ref="AX469" si="1116">+AP469/BW469</f>
        <v>62656.032608695656</v>
      </c>
      <c r="AY469" s="308"/>
      <c r="AZ469" s="111"/>
      <c r="BA469" s="65">
        <f t="shared" ref="BA469" si="1117">+BC469-BC468</f>
        <v>481846</v>
      </c>
      <c r="BB469" s="66"/>
      <c r="BC469" s="66">
        <v>500790852</v>
      </c>
      <c r="BD469" s="66"/>
      <c r="BE469" s="66">
        <f t="shared" ref="BE469" si="1118">+D469</f>
        <v>12874</v>
      </c>
      <c r="BF469" s="66"/>
      <c r="BG469" s="144">
        <f t="shared" ref="BG469" si="1119">+BE469/BA469</f>
        <v>2.6718080050472558E-2</v>
      </c>
      <c r="BH469" s="66"/>
      <c r="BI469" s="170"/>
      <c r="BJ469" s="66"/>
      <c r="BK469" s="66">
        <f t="shared" ref="BK469" si="1120">SUM(BA463:BA469)</f>
        <v>4773447</v>
      </c>
      <c r="BL469" s="66"/>
      <c r="BM469" s="144">
        <f t="shared" ref="BM469" si="1121">+Q469/BK469</f>
        <v>1.5925179435322106E-2</v>
      </c>
      <c r="BN469" s="65">
        <f t="shared" ref="BN469" si="1122">+BC469/BW469</f>
        <v>1088675.7652173913</v>
      </c>
      <c r="BO469" s="66"/>
      <c r="BP469" s="66">
        <f t="shared" ref="BP469" si="1123">+BP468+BE469</f>
        <v>33016663</v>
      </c>
      <c r="BQ469" s="66"/>
      <c r="BR469" s="435">
        <f t="shared" ref="BR469" si="1124">+BP469/BC469</f>
        <v>6.5929045764597946E-2</v>
      </c>
      <c r="BS469" s="66"/>
      <c r="BT469" s="75"/>
      <c r="BU469" s="170"/>
      <c r="BV469" s="1"/>
      <c r="BW469" s="61">
        <f t="shared" si="186"/>
        <v>460</v>
      </c>
    </row>
    <row r="470" spans="2:75" x14ac:dyDescent="0.3">
      <c r="B470" s="158">
        <f t="shared" si="424"/>
        <v>44370</v>
      </c>
      <c r="C470" s="61"/>
      <c r="D470" s="17">
        <v>13365</v>
      </c>
      <c r="E470" s="16"/>
      <c r="F470" s="16"/>
      <c r="G470" s="16"/>
      <c r="H470" s="16">
        <f t="shared" ref="H470" si="1125">+H469+D470</f>
        <v>33937006</v>
      </c>
      <c r="I470" s="16"/>
      <c r="J470" s="436">
        <f t="shared" ref="J470" si="1126">+D470/H469</f>
        <v>3.9397304080655729E-4</v>
      </c>
      <c r="K470" s="16"/>
      <c r="L470" s="16"/>
      <c r="M470" s="16"/>
      <c r="N470" s="16">
        <f t="shared" ref="N470" si="1127">SUM(D464:D470)</f>
        <v>75320</v>
      </c>
      <c r="O470" s="16">
        <f t="shared" ref="O470" si="1128">+H470/BW470</f>
        <v>73616.065075921913</v>
      </c>
      <c r="P470" s="41"/>
      <c r="Q470" s="17">
        <f t="shared" ref="Q470" si="1129">SUM(D464:D470)</f>
        <v>75320</v>
      </c>
      <c r="R470" s="16"/>
      <c r="S470" s="60">
        <f t="shared" ref="S470" si="1130">+(Q470-Q463)/Q463</f>
        <v>-0.12199102407180742</v>
      </c>
      <c r="T470" s="16"/>
      <c r="U470" s="41"/>
      <c r="V470" s="10">
        <f t="shared" si="349"/>
        <v>362</v>
      </c>
      <c r="W470" s="34">
        <v>329</v>
      </c>
      <c r="X470" s="33">
        <v>4256</v>
      </c>
      <c r="Y470" s="33"/>
      <c r="Z470" s="33">
        <f t="shared" ref="Z470" si="1131">SUM(W465:W470)</f>
        <v>1646</v>
      </c>
      <c r="AA470" s="33">
        <f t="shared" ref="AA470" si="1132">+AA469+W470</f>
        <v>603666</v>
      </c>
      <c r="AB470" s="33"/>
      <c r="AC470" s="46">
        <f t="shared" ref="AC470" si="1133">+AA470/H470</f>
        <v>1.7787839033295984E-2</v>
      </c>
      <c r="AD470" s="33"/>
      <c r="AE470" s="33">
        <f t="shared" ref="AE470" si="1134">+AA470/BW470</f>
        <v>1309.4707158351409</v>
      </c>
      <c r="AF470" s="50"/>
      <c r="AG470" s="33">
        <f t="shared" ref="AG470" si="1135">SUM(W464:W470)</f>
        <v>2021</v>
      </c>
      <c r="AH470" s="33">
        <f t="shared" ref="AH470" si="1136">SUM(D441:D870)</f>
        <v>1117539468.060914</v>
      </c>
      <c r="AI470" s="213">
        <f t="shared" ref="AI470" si="1137">+(AG470-AG463)/AG463</f>
        <v>-0.13963388676032354</v>
      </c>
      <c r="AJ470" s="50"/>
      <c r="AK470" s="111"/>
      <c r="AL470" s="23">
        <f t="shared" ref="AL470" si="1138">+AP470-AP469</f>
        <v>29447</v>
      </c>
      <c r="AM470" s="24"/>
      <c r="AN470" s="24"/>
      <c r="AO470" s="24">
        <v>178263</v>
      </c>
      <c r="AP470" s="24">
        <v>28851222</v>
      </c>
      <c r="AQ470" s="24">
        <v>20336656</v>
      </c>
      <c r="AR470" s="461">
        <f t="shared" ref="AR470" si="1139">+AL470/AP469</f>
        <v>1.0216927999750188E-3</v>
      </c>
      <c r="AS470" s="25"/>
      <c r="AT470" s="25"/>
      <c r="AU470" s="24"/>
      <c r="AV470" s="298">
        <f t="shared" ref="AV470" si="1140">+AP470/H470</f>
        <v>0.85014046318641068</v>
      </c>
      <c r="AW470" s="298"/>
      <c r="AX470" s="24">
        <f t="shared" ref="AX470" si="1141">+AP470/BW470</f>
        <v>62583.995661605208</v>
      </c>
      <c r="AY470" s="308"/>
      <c r="AZ470" s="111"/>
      <c r="BA470" s="65">
        <f t="shared" ref="BA470" si="1142">+BC470-BC469</f>
        <v>889271</v>
      </c>
      <c r="BB470" s="66"/>
      <c r="BC470" s="66">
        <f>502180123-500000</f>
        <v>501680123</v>
      </c>
      <c r="BD470" s="66"/>
      <c r="BE470" s="66">
        <f t="shared" ref="BE470" si="1143">+D470</f>
        <v>13365</v>
      </c>
      <c r="BF470" s="66"/>
      <c r="BG470" s="144">
        <f t="shared" ref="BG470" si="1144">+BE470/BA470</f>
        <v>1.5029164337980211E-2</v>
      </c>
      <c r="BH470" s="66"/>
      <c r="BI470" s="170"/>
      <c r="BJ470" s="66"/>
      <c r="BK470" s="66">
        <f t="shared" ref="BK470" si="1145">SUM(BA464:BA470)</f>
        <v>5054890</v>
      </c>
      <c r="BL470" s="66"/>
      <c r="BM470" s="144">
        <f t="shared" ref="BM470" si="1146">+Q470/BK470</f>
        <v>1.4900423154608705E-2</v>
      </c>
      <c r="BN470" s="65">
        <f t="shared" ref="BN470" si="1147">+BC470/BW470</f>
        <v>1088243.2169197397</v>
      </c>
      <c r="BO470" s="66"/>
      <c r="BP470" s="66">
        <f t="shared" ref="BP470" si="1148">+BP469+BE470</f>
        <v>33030028</v>
      </c>
      <c r="BQ470" s="66"/>
      <c r="BR470" s="435">
        <f t="shared" ref="BR470" si="1149">+BP470/BC470</f>
        <v>6.5838821363867345E-2</v>
      </c>
      <c r="BS470" s="66"/>
      <c r="BT470" s="75"/>
      <c r="BU470" s="170"/>
      <c r="BV470" s="1"/>
      <c r="BW470" s="61">
        <f t="shared" si="186"/>
        <v>461</v>
      </c>
    </row>
    <row r="471" spans="2:75" x14ac:dyDescent="0.3">
      <c r="B471" s="158">
        <f t="shared" si="424"/>
        <v>44371</v>
      </c>
      <c r="C471" s="61"/>
      <c r="D471" s="17">
        <v>15460</v>
      </c>
      <c r="E471" s="16"/>
      <c r="F471" s="16"/>
      <c r="G471" s="16"/>
      <c r="H471" s="16">
        <f t="shared" ref="H471" si="1150">+H470+D471</f>
        <v>33952466</v>
      </c>
      <c r="I471" s="16"/>
      <c r="J471" s="436">
        <f t="shared" ref="J471" si="1151">+D471/H470</f>
        <v>4.555499091463755E-4</v>
      </c>
      <c r="K471" s="16"/>
      <c r="L471" s="16"/>
      <c r="M471" s="16"/>
      <c r="N471" s="16">
        <f t="shared" ref="N471" si="1152">SUM(D465:D471)</f>
        <v>77047</v>
      </c>
      <c r="O471" s="16">
        <f t="shared" ref="O471" si="1153">+H471/BW471</f>
        <v>73490.186147186148</v>
      </c>
      <c r="P471" s="41"/>
      <c r="Q471" s="17">
        <f t="shared" ref="Q471" si="1154">SUM(D465:D471)</f>
        <v>77047</v>
      </c>
      <c r="R471" s="16"/>
      <c r="S471" s="60">
        <f t="shared" ref="S471" si="1155">+(Q471-Q464)/Q464</f>
        <v>-6.8963433791720041E-2</v>
      </c>
      <c r="T471" s="16"/>
      <c r="U471" s="41"/>
      <c r="V471" s="10">
        <f t="shared" si="349"/>
        <v>363</v>
      </c>
      <c r="W471" s="34">
        <v>380</v>
      </c>
      <c r="X471" s="33">
        <v>4256</v>
      </c>
      <c r="Y471" s="33"/>
      <c r="Z471" s="33">
        <f t="shared" ref="Z471" si="1156">SUM(W466:W471)</f>
        <v>1633</v>
      </c>
      <c r="AA471" s="33">
        <f t="shared" ref="AA471" si="1157">+AA470+W471</f>
        <v>604046</v>
      </c>
      <c r="AB471" s="33"/>
      <c r="AC471" s="46">
        <f t="shared" ref="AC471" si="1158">+AA471/H471</f>
        <v>1.7790931592421004E-2</v>
      </c>
      <c r="AD471" s="33"/>
      <c r="AE471" s="33">
        <f t="shared" ref="AE471" si="1159">+AA471/BW471</f>
        <v>1307.4588744588746</v>
      </c>
      <c r="AF471" s="50"/>
      <c r="AG471" s="33">
        <f t="shared" ref="AG471" si="1160">SUM(W465:W471)</f>
        <v>2026</v>
      </c>
      <c r="AH471" s="33">
        <f t="shared" ref="AH471" si="1161">SUM(D442:D871)</f>
        <v>1117516730.060914</v>
      </c>
      <c r="AI471" s="213">
        <f t="shared" ref="AI471" si="1162">+(AG471-AG464)/AG464</f>
        <v>-9.6745430227374057E-2</v>
      </c>
      <c r="AJ471" s="50"/>
      <c r="AK471" s="111" t="s">
        <v>26</v>
      </c>
      <c r="AL471" s="23">
        <f t="shared" ref="AL471" si="1163">+AP471-AP470</f>
        <v>23314</v>
      </c>
      <c r="AM471" s="24"/>
      <c r="AN471" s="24"/>
      <c r="AO471" s="24">
        <v>178263</v>
      </c>
      <c r="AP471" s="24">
        <v>28874536</v>
      </c>
      <c r="AQ471" s="24">
        <v>20336656</v>
      </c>
      <c r="AR471" s="461">
        <f t="shared" ref="AR471" si="1164">+AL471/AP470</f>
        <v>8.0807669082439554E-4</v>
      </c>
      <c r="AS471" s="25"/>
      <c r="AT471" s="25"/>
      <c r="AU471" s="24"/>
      <c r="AV471" s="298">
        <f t="shared" ref="AV471" si="1165">+AP471/H471</f>
        <v>0.85044002400296936</v>
      </c>
      <c r="AW471" s="298"/>
      <c r="AX471" s="24">
        <f t="shared" ref="AX471" si="1166">+AP471/BW471</f>
        <v>62498.995670995668</v>
      </c>
      <c r="AY471" s="308"/>
      <c r="AZ471" s="111" t="s">
        <v>26</v>
      </c>
      <c r="BA471" s="65">
        <f t="shared" ref="BA471" si="1167">+BC471-BC470</f>
        <v>500000</v>
      </c>
      <c r="BB471" s="66"/>
      <c r="BC471" s="66">
        <v>502180123</v>
      </c>
      <c r="BD471" s="66"/>
      <c r="BE471" s="66">
        <f t="shared" ref="BE471" si="1168">+D471</f>
        <v>15460</v>
      </c>
      <c r="BF471" s="66"/>
      <c r="BG471" s="144">
        <f t="shared" ref="BG471" si="1169">+BE471/BA471</f>
        <v>3.092E-2</v>
      </c>
      <c r="BH471" s="66"/>
      <c r="BI471" s="170"/>
      <c r="BJ471" s="66"/>
      <c r="BK471" s="66">
        <f t="shared" ref="BK471" si="1170">SUM(BA465:BA471)</f>
        <v>4770412</v>
      </c>
      <c r="BL471" s="66"/>
      <c r="BM471" s="144">
        <f t="shared" ref="BM471" si="1171">+Q471/BK471</f>
        <v>1.6151015887097383E-2</v>
      </c>
      <c r="BN471" s="65">
        <f t="shared" ref="BN471" si="1172">+BC471/BW471</f>
        <v>1086969.9632034632</v>
      </c>
      <c r="BO471" s="66"/>
      <c r="BP471" s="66">
        <f t="shared" ref="BP471" si="1173">+BP470+BE471</f>
        <v>33045488</v>
      </c>
      <c r="BQ471" s="66"/>
      <c r="BR471" s="435">
        <f t="shared" ref="BR471" si="1174">+BP471/BC471</f>
        <v>6.580405413616898E-2</v>
      </c>
      <c r="BS471" s="66"/>
      <c r="BT471" s="75"/>
      <c r="BU471" s="170"/>
      <c r="BV471" s="1"/>
      <c r="BW471" s="61">
        <f t="shared" ref="BW471:BW509" si="1175">+BW470+1</f>
        <v>462</v>
      </c>
    </row>
    <row r="472" spans="2:75" x14ac:dyDescent="0.3">
      <c r="B472" s="158">
        <f t="shared" si="424"/>
        <v>44372</v>
      </c>
      <c r="C472" s="61"/>
      <c r="D472" s="17">
        <v>15537</v>
      </c>
      <c r="E472" s="16"/>
      <c r="F472" s="16"/>
      <c r="G472" s="16"/>
      <c r="H472" s="16">
        <f t="shared" ref="H472" si="1176">+H471+D472</f>
        <v>33968003</v>
      </c>
      <c r="I472" s="16"/>
      <c r="J472" s="436">
        <f t="shared" ref="J472" si="1177">+D472/H471</f>
        <v>4.5761035442904206E-4</v>
      </c>
      <c r="K472" s="16"/>
      <c r="L472" s="16"/>
      <c r="M472" s="16"/>
      <c r="N472" s="16">
        <f t="shared" ref="N472" si="1178">SUM(D466:D472)</f>
        <v>79195</v>
      </c>
      <c r="O472" s="16">
        <f t="shared" ref="O472" si="1179">+H472/BW472</f>
        <v>73365.017278617714</v>
      </c>
      <c r="P472" s="41"/>
      <c r="Q472" s="17">
        <f t="shared" ref="Q472" si="1180">SUM(D466:D472)</f>
        <v>79195</v>
      </c>
      <c r="R472" s="16"/>
      <c r="S472" s="60">
        <f t="shared" ref="S472" si="1181">+(Q472-Q465)/Q465</f>
        <v>-1.0037750943773594E-2</v>
      </c>
      <c r="T472" s="16"/>
      <c r="U472" s="41"/>
      <c r="V472" s="10">
        <f t="shared" si="349"/>
        <v>364</v>
      </c>
      <c r="W472" s="34">
        <v>387</v>
      </c>
      <c r="X472" s="33">
        <v>4256</v>
      </c>
      <c r="Y472" s="33"/>
      <c r="Z472" s="33">
        <f t="shared" ref="Z472" si="1182">SUM(W467:W472)</f>
        <v>1850</v>
      </c>
      <c r="AA472" s="33">
        <f t="shared" ref="AA472" si="1183">+AA471+W472</f>
        <v>604433</v>
      </c>
      <c r="AB472" s="33"/>
      <c r="AC472" s="46">
        <f t="shared" ref="AC472" si="1184">+AA472/H472</f>
        <v>1.7794187076584984E-2</v>
      </c>
      <c r="AD472" s="33"/>
      <c r="AE472" s="33">
        <f t="shared" ref="AE472" si="1185">+AA472/BW472</f>
        <v>1305.4708423326133</v>
      </c>
      <c r="AF472" s="50"/>
      <c r="AG472" s="33">
        <f t="shared" ref="AG472" si="1186">SUM(W466:W472)</f>
        <v>2020</v>
      </c>
      <c r="AH472" s="33">
        <f t="shared" ref="AH472" si="1187">SUM(D443:D872)</f>
        <v>1117493230.060914</v>
      </c>
      <c r="AI472" s="213">
        <f t="shared" ref="AI472" si="1188">+(AG472-AG465)/AG465</f>
        <v>-8.8036117381489837E-2</v>
      </c>
      <c r="AJ472" s="50"/>
      <c r="AK472" s="111"/>
      <c r="AL472" s="23">
        <f t="shared" ref="AL472" si="1189">+AP472-AP471</f>
        <v>22924</v>
      </c>
      <c r="AM472" s="24"/>
      <c r="AN472" s="24"/>
      <c r="AO472" s="24">
        <v>178263</v>
      </c>
      <c r="AP472" s="24">
        <v>28897460</v>
      </c>
      <c r="AQ472" s="24">
        <v>20336656</v>
      </c>
      <c r="AR472" s="461">
        <f t="shared" ref="AR472" si="1190">+AL472/AP471</f>
        <v>7.9391751957503317E-4</v>
      </c>
      <c r="AS472" s="25"/>
      <c r="AT472" s="25"/>
      <c r="AU472" s="24"/>
      <c r="AV472" s="298">
        <f t="shared" ref="AV472" si="1191">+AP472/H472</f>
        <v>0.85072590225571987</v>
      </c>
      <c r="AW472" s="298"/>
      <c r="AX472" s="24">
        <f t="shared" ref="AX472" si="1192">+AP472/BW472</f>
        <v>62413.520518358535</v>
      </c>
      <c r="AY472" s="308"/>
      <c r="AZ472" s="111"/>
      <c r="BA472" s="65">
        <f t="shared" ref="BA472" si="1193">+BC472-BC471</f>
        <v>826269</v>
      </c>
      <c r="BB472" s="66"/>
      <c r="BC472" s="66">
        <v>503006392</v>
      </c>
      <c r="BD472" s="66"/>
      <c r="BE472" s="66">
        <f t="shared" ref="BE472" si="1194">+D472</f>
        <v>15537</v>
      </c>
      <c r="BF472" s="66"/>
      <c r="BG472" s="144">
        <f t="shared" ref="BG472" si="1195">+BE472/BA472</f>
        <v>1.8803803603911075E-2</v>
      </c>
      <c r="BH472" s="66"/>
      <c r="BI472" s="170"/>
      <c r="BJ472" s="66"/>
      <c r="BK472" s="66">
        <f t="shared" ref="BK472" si="1196">SUM(BA466:BA472)</f>
        <v>4776317</v>
      </c>
      <c r="BL472" s="66"/>
      <c r="BM472" s="144">
        <f t="shared" ref="BM472" si="1197">+Q472/BK472</f>
        <v>1.6580767147574168E-2</v>
      </c>
      <c r="BN472" s="65">
        <f t="shared" ref="BN472" si="1198">+BC472/BW472</f>
        <v>1086406.8941684666</v>
      </c>
      <c r="BO472" s="66"/>
      <c r="BP472" s="66">
        <f t="shared" ref="BP472" si="1199">+BP471+BE472</f>
        <v>33061025</v>
      </c>
      <c r="BQ472" s="66"/>
      <c r="BR472" s="435">
        <f t="shared" ref="BR472" si="1200">+BP472/BC472</f>
        <v>6.5726848656030595E-2</v>
      </c>
      <c r="BS472" s="66"/>
      <c r="BT472" s="75"/>
      <c r="BU472" s="170"/>
      <c r="BV472" s="1"/>
      <c r="BW472" s="61">
        <f t="shared" si="1175"/>
        <v>463</v>
      </c>
    </row>
    <row r="473" spans="2:75" x14ac:dyDescent="0.3">
      <c r="B473" s="158">
        <f t="shared" si="424"/>
        <v>44373</v>
      </c>
      <c r="C473" s="61"/>
      <c r="D473" s="17">
        <v>6586</v>
      </c>
      <c r="E473" s="16"/>
      <c r="F473" s="16"/>
      <c r="G473" s="16"/>
      <c r="H473" s="16">
        <f t="shared" ref="H473" si="1201">+H472+D473</f>
        <v>33974589</v>
      </c>
      <c r="I473" s="16"/>
      <c r="J473" s="436">
        <f t="shared" ref="J473" si="1202">+D473/H472</f>
        <v>1.9388834839657781E-4</v>
      </c>
      <c r="K473" s="16"/>
      <c r="L473" s="16"/>
      <c r="M473" s="16"/>
      <c r="N473" s="16">
        <f t="shared" ref="N473" si="1203">SUM(D467:D473)</f>
        <v>77999</v>
      </c>
      <c r="O473" s="16">
        <f t="shared" ref="O473" si="1204">+H473/BW473</f>
        <v>73221.096982758623</v>
      </c>
      <c r="P473" s="41"/>
      <c r="Q473" s="17">
        <f t="shared" ref="Q473" si="1205">SUM(D467:D473)</f>
        <v>77999</v>
      </c>
      <c r="R473" s="16"/>
      <c r="S473" s="60">
        <f t="shared" ref="S473" si="1206">+(Q473-Q466)/Q466</f>
        <v>-4.5180146261151457E-3</v>
      </c>
      <c r="T473" s="16"/>
      <c r="U473" s="41"/>
      <c r="V473" s="10">
        <f t="shared" si="349"/>
        <v>365</v>
      </c>
      <c r="W473" s="34">
        <v>149</v>
      </c>
      <c r="X473" s="33">
        <v>4256</v>
      </c>
      <c r="Y473" s="33"/>
      <c r="Z473" s="33">
        <f t="shared" ref="Z473" si="1207">SUM(W468:W473)</f>
        <v>1913</v>
      </c>
      <c r="AA473" s="33">
        <f t="shared" ref="AA473" si="1208">+AA472+W473</f>
        <v>604582</v>
      </c>
      <c r="AB473" s="33"/>
      <c r="AC473" s="46">
        <f t="shared" ref="AC473" si="1209">+AA473/H473</f>
        <v>1.7795123290527518E-2</v>
      </c>
      <c r="AD473" s="33"/>
      <c r="AE473" s="33">
        <f t="shared" ref="AE473" si="1210">+AA473/BW473</f>
        <v>1302.9784482758621</v>
      </c>
      <c r="AF473" s="50"/>
      <c r="AG473" s="33">
        <f t="shared" ref="AG473" si="1211">SUM(W467:W473)</f>
        <v>1999</v>
      </c>
      <c r="AH473" s="33">
        <f t="shared" ref="AH473" si="1212">SUM(D444:D873)</f>
        <v>1117468837.060914</v>
      </c>
      <c r="AI473" s="213">
        <f t="shared" ref="AI473" si="1213">+(AG473-AG466)/AG466</f>
        <v>-3.7554164660568129E-2</v>
      </c>
      <c r="AJ473" s="50"/>
      <c r="AK473" s="111"/>
      <c r="AL473" s="23">
        <f t="shared" ref="AL473" si="1214">+AP473-AP472</f>
        <v>15446</v>
      </c>
      <c r="AM473" s="24"/>
      <c r="AN473" s="24"/>
      <c r="AO473" s="24">
        <v>178263</v>
      </c>
      <c r="AP473" s="24">
        <v>28912906</v>
      </c>
      <c r="AQ473" s="24">
        <v>20336656</v>
      </c>
      <c r="AR473" s="461">
        <f t="shared" ref="AR473" si="1215">+AL473/AP472</f>
        <v>5.3451064557230978E-4</v>
      </c>
      <c r="AS473" s="25"/>
      <c r="AT473" s="25"/>
      <c r="AU473" s="24"/>
      <c r="AV473" s="298">
        <f t="shared" ref="AV473" si="1216">+AP473/H473</f>
        <v>0.85101562229347349</v>
      </c>
      <c r="AW473" s="298"/>
      <c r="AX473" s="24">
        <f t="shared" ref="AX473" si="1217">+AP473/BW473</f>
        <v>62312.297413793101</v>
      </c>
      <c r="AY473" s="308"/>
      <c r="AZ473" s="111"/>
      <c r="BA473" s="65">
        <f t="shared" ref="BA473" si="1218">+BC473-BC472</f>
        <v>451282</v>
      </c>
      <c r="BB473" s="66"/>
      <c r="BC473" s="66">
        <v>503457674</v>
      </c>
      <c r="BD473" s="66"/>
      <c r="BE473" s="66">
        <f t="shared" ref="BE473" si="1219">+D473</f>
        <v>6586</v>
      </c>
      <c r="BF473" s="66"/>
      <c r="BG473" s="144">
        <f t="shared" ref="BG473" si="1220">+BE473/BA473</f>
        <v>1.4593978931133969E-2</v>
      </c>
      <c r="BH473" s="66"/>
      <c r="BI473" s="170"/>
      <c r="BJ473" s="66"/>
      <c r="BK473" s="66">
        <f t="shared" ref="BK473" si="1221">SUM(BA467:BA473)</f>
        <v>4768463</v>
      </c>
      <c r="BL473" s="66"/>
      <c r="BM473" s="144">
        <f t="shared" ref="BM473" si="1222">+Q473/BK473</f>
        <v>1.6357262287659567E-2</v>
      </c>
      <c r="BN473" s="65">
        <f t="shared" ref="BN473" si="1223">+BC473/BW473</f>
        <v>1085038.0905172413</v>
      </c>
      <c r="BO473" s="66"/>
      <c r="BP473" s="66">
        <f t="shared" ref="BP473" si="1224">+BP472+BE473</f>
        <v>33067611</v>
      </c>
      <c r="BQ473" s="66"/>
      <c r="BR473" s="435">
        <f t="shared" ref="BR473" si="1225">+BP473/BC473</f>
        <v>6.56810149248018E-2</v>
      </c>
      <c r="BS473" s="66"/>
      <c r="BT473" s="75"/>
      <c r="BU473" s="170"/>
      <c r="BV473" s="1"/>
      <c r="BW473" s="61">
        <f t="shared" si="1175"/>
        <v>464</v>
      </c>
    </row>
    <row r="474" spans="2:75" x14ac:dyDescent="0.3">
      <c r="B474" s="347">
        <f t="shared" si="424"/>
        <v>44374</v>
      </c>
      <c r="C474" s="61"/>
      <c r="D474" s="17">
        <v>7306</v>
      </c>
      <c r="E474" s="16"/>
      <c r="F474" s="16"/>
      <c r="G474" s="16"/>
      <c r="H474" s="16">
        <f t="shared" ref="H474" si="1226">+H473+D474</f>
        <v>33981895</v>
      </c>
      <c r="I474" s="16"/>
      <c r="J474" s="436">
        <f t="shared" ref="J474" si="1227">+D474/H473</f>
        <v>2.1504307233856458E-4</v>
      </c>
      <c r="K474" s="16"/>
      <c r="L474" s="16"/>
      <c r="M474" s="16"/>
      <c r="N474" s="16">
        <f t="shared" ref="N474" si="1228">SUM(D468:D474)</f>
        <v>80883</v>
      </c>
      <c r="O474" s="16">
        <f t="shared" ref="O474" si="1229">+H474/BW474</f>
        <v>73079.344086021505</v>
      </c>
      <c r="P474" s="41"/>
      <c r="Q474" s="17">
        <f t="shared" ref="Q474" si="1230">SUM(D468:D474)</f>
        <v>80883</v>
      </c>
      <c r="R474" s="16"/>
      <c r="S474" s="60">
        <f t="shared" ref="S474" si="1231">+(Q474-Q467)/Q467</f>
        <v>4.3786295005807198E-2</v>
      </c>
      <c r="T474" s="16"/>
      <c r="U474" s="41"/>
      <c r="V474" s="10">
        <f t="shared" si="349"/>
        <v>366</v>
      </c>
      <c r="W474" s="34">
        <v>106</v>
      </c>
      <c r="X474" s="33">
        <v>4256</v>
      </c>
      <c r="Y474" s="33"/>
      <c r="Z474" s="33">
        <f t="shared" ref="Z474" si="1232">SUM(W469:W474)</f>
        <v>1782</v>
      </c>
      <c r="AA474" s="33">
        <f t="shared" ref="AA474" si="1233">+AA473+W474</f>
        <v>604688</v>
      </c>
      <c r="AB474" s="33"/>
      <c r="AC474" s="46">
        <f t="shared" ref="AC474" si="1234">+AA474/H474</f>
        <v>1.779441670336513E-2</v>
      </c>
      <c r="AD474" s="33"/>
      <c r="AE474" s="33">
        <f t="shared" ref="AE474" si="1235">+AA474/BW474</f>
        <v>1300.4043010752689</v>
      </c>
      <c r="AF474" s="50"/>
      <c r="AG474" s="33">
        <f t="shared" ref="AG474" si="1236">SUM(W468:W474)</f>
        <v>2019</v>
      </c>
      <c r="AH474" s="33">
        <f t="shared" ref="AH474" si="1237">SUM(D445:D874)</f>
        <v>1117446024.060914</v>
      </c>
      <c r="AI474" s="213">
        <f t="shared" ref="AI474" si="1238">+(AG474-AG467)/AG467</f>
        <v>-2.1328162869607366E-2</v>
      </c>
      <c r="AJ474" s="50"/>
      <c r="AK474" s="111"/>
      <c r="AL474" s="23">
        <f t="shared" ref="AL474" si="1239">+AP474-AP473</f>
        <v>16202</v>
      </c>
      <c r="AM474" s="24"/>
      <c r="AN474" s="24"/>
      <c r="AO474" s="24">
        <v>178263</v>
      </c>
      <c r="AP474" s="24">
        <v>28929108</v>
      </c>
      <c r="AQ474" s="24">
        <v>20336656</v>
      </c>
      <c r="AR474" s="461">
        <f t="shared" ref="AR474" si="1240">+AL474/AP473</f>
        <v>5.6037258932049242E-4</v>
      </c>
      <c r="AS474" s="25"/>
      <c r="AT474" s="25"/>
      <c r="AU474" s="24"/>
      <c r="AV474" s="298">
        <f t="shared" ref="AV474" si="1241">+AP474/H474</f>
        <v>0.85130943992381825</v>
      </c>
      <c r="AW474" s="298"/>
      <c r="AX474" s="24">
        <f t="shared" ref="AX474" si="1242">+AP474/BW474</f>
        <v>62213.135483870967</v>
      </c>
      <c r="AY474" s="308"/>
      <c r="AZ474" s="111"/>
      <c r="BA474" s="65">
        <f t="shared" ref="BA474" si="1243">+BC474-BC473</f>
        <v>366543</v>
      </c>
      <c r="BB474" s="66"/>
      <c r="BC474" s="66">
        <v>503824217</v>
      </c>
      <c r="BD474" s="66"/>
      <c r="BE474" s="66">
        <f t="shared" ref="BE474" si="1244">+D474</f>
        <v>7306</v>
      </c>
      <c r="BF474" s="66"/>
      <c r="BG474" s="144">
        <f t="shared" ref="BG474" si="1245">+BE474/BA474</f>
        <v>1.9932177125194041E-2</v>
      </c>
      <c r="BH474" s="66"/>
      <c r="BI474" s="170"/>
      <c r="BJ474" s="66"/>
      <c r="BK474" s="66">
        <f t="shared" ref="BK474" si="1246">SUM(BA468:BA474)</f>
        <v>4762492</v>
      </c>
      <c r="BL474" s="66"/>
      <c r="BM474" s="144">
        <f t="shared" ref="BM474" si="1247">+Q474/BK474</f>
        <v>1.6983335615051953E-2</v>
      </c>
      <c r="BN474" s="65">
        <f t="shared" ref="BN474" si="1248">+BC474/BW474</f>
        <v>1083492.9397849462</v>
      </c>
      <c r="BO474" s="66"/>
      <c r="BP474" s="66">
        <f t="shared" ref="BP474" si="1249">+BP473+BE474</f>
        <v>33074917</v>
      </c>
      <c r="BQ474" s="66"/>
      <c r="BR474" s="435">
        <f t="shared" ref="BR474" si="1250">+BP474/BC474</f>
        <v>6.5647731657170416E-2</v>
      </c>
      <c r="BS474" s="66"/>
      <c r="BT474" s="75"/>
      <c r="BU474" s="170"/>
      <c r="BV474" s="1"/>
      <c r="BW474" s="61">
        <f t="shared" si="1175"/>
        <v>465</v>
      </c>
    </row>
    <row r="475" spans="2:75" x14ac:dyDescent="0.3">
      <c r="B475" s="158">
        <f t="shared" si="424"/>
        <v>44375</v>
      </c>
      <c r="C475" s="61"/>
      <c r="D475" s="17">
        <v>11982</v>
      </c>
      <c r="E475" s="16"/>
      <c r="F475" s="16"/>
      <c r="G475" s="16"/>
      <c r="H475" s="16">
        <f t="shared" ref="H475" si="1251">+H474+D475</f>
        <v>33993877</v>
      </c>
      <c r="I475" s="16"/>
      <c r="J475" s="436">
        <f t="shared" ref="J475" si="1252">+D475/H474</f>
        <v>3.52599523952387E-4</v>
      </c>
      <c r="K475" s="16"/>
      <c r="L475" s="16"/>
      <c r="M475" s="16"/>
      <c r="N475" s="16">
        <f t="shared" ref="N475" si="1253">SUM(D469:D475)</f>
        <v>83110</v>
      </c>
      <c r="O475" s="16">
        <f t="shared" ref="O475" si="1254">+H475/BW475</f>
        <v>72948.2339055794</v>
      </c>
      <c r="P475" s="41"/>
      <c r="Q475" s="17">
        <f t="shared" ref="Q475" si="1255">SUM(D469:D475)</f>
        <v>83110</v>
      </c>
      <c r="R475" s="16"/>
      <c r="S475" s="60">
        <f t="shared" ref="S475" si="1256">+(Q475-Q468)/Q468</f>
        <v>9.7538429031746865E-2</v>
      </c>
      <c r="T475" s="16"/>
      <c r="U475" s="41"/>
      <c r="V475" s="10">
        <f t="shared" si="349"/>
        <v>367</v>
      </c>
      <c r="W475" s="34">
        <v>164</v>
      </c>
      <c r="X475" s="33">
        <v>4256</v>
      </c>
      <c r="Y475" s="33"/>
      <c r="Z475" s="33">
        <f t="shared" ref="Z475" si="1257">SUM(W470:W475)</f>
        <v>1515</v>
      </c>
      <c r="AA475" s="33">
        <f t="shared" ref="AA475" si="1258">+AA474+W475</f>
        <v>604852</v>
      </c>
      <c r="AB475" s="33"/>
      <c r="AC475" s="46">
        <f t="shared" ref="AC475" si="1259">+AA475/H475</f>
        <v>1.7792969010272056E-2</v>
      </c>
      <c r="AD475" s="33"/>
      <c r="AE475" s="33">
        <f t="shared" ref="AE475" si="1260">+AA475/BW475</f>
        <v>1297.9656652360516</v>
      </c>
      <c r="AF475" s="50"/>
      <c r="AG475" s="33">
        <f t="shared" ref="AG475" si="1261">SUM(W469:W475)</f>
        <v>1946</v>
      </c>
      <c r="AH475" s="33">
        <f t="shared" ref="AH475" si="1262">SUM(D446:D875)</f>
        <v>1117433363.060914</v>
      </c>
      <c r="AI475" s="213">
        <f t="shared" ref="AI475" si="1263">+(AG475-AG468)/AG468</f>
        <v>-4.98046875E-2</v>
      </c>
      <c r="AJ475" s="50"/>
      <c r="AK475" s="111"/>
      <c r="AL475" s="23">
        <f t="shared" ref="AL475" si="1264">+AP475-AP474</f>
        <v>49752</v>
      </c>
      <c r="AM475" s="24"/>
      <c r="AN475" s="24"/>
      <c r="AO475" s="24">
        <v>178263</v>
      </c>
      <c r="AP475" s="24">
        <v>28978860</v>
      </c>
      <c r="AQ475" s="24">
        <v>20336656</v>
      </c>
      <c r="AR475" s="461">
        <f t="shared" ref="AR475" si="1265">+AL475/AP474</f>
        <v>1.7197903232965221E-3</v>
      </c>
      <c r="AS475" s="25"/>
      <c r="AT475" s="25"/>
      <c r="AU475" s="24"/>
      <c r="AV475" s="298">
        <f t="shared" ref="AV475" si="1266">+AP475/H475</f>
        <v>0.85247293211068564</v>
      </c>
      <c r="AW475" s="298"/>
      <c r="AX475" s="24">
        <f t="shared" ref="AX475" si="1267">+AP475/BW475</f>
        <v>62186.394849785407</v>
      </c>
      <c r="AY475" s="308"/>
      <c r="AZ475" s="111"/>
      <c r="BA475" s="65">
        <f t="shared" ref="BA475" si="1268">+BC475-BC474</f>
        <v>1053856</v>
      </c>
      <c r="BB475" s="66"/>
      <c r="BC475" s="66">
        <v>504878073</v>
      </c>
      <c r="BD475" s="66"/>
      <c r="BE475" s="66">
        <f t="shared" ref="BE475" si="1269">+D475</f>
        <v>11982</v>
      </c>
      <c r="BF475" s="66"/>
      <c r="BG475" s="144">
        <f t="shared" ref="BG475" si="1270">+BE475/BA475</f>
        <v>1.1369674794279295E-2</v>
      </c>
      <c r="BH475" s="66"/>
      <c r="BI475" s="170"/>
      <c r="BJ475" s="66"/>
      <c r="BK475" s="66">
        <f t="shared" ref="BK475" si="1271">SUM(BA469:BA475)</f>
        <v>4569067</v>
      </c>
      <c r="BL475" s="66"/>
      <c r="BM475" s="144">
        <f t="shared" ref="BM475" si="1272">+Q475/BK475</f>
        <v>1.8189709190081914E-2</v>
      </c>
      <c r="BN475" s="65">
        <f t="shared" ref="BN475" si="1273">+BC475/BW475</f>
        <v>1083429.3412017168</v>
      </c>
      <c r="BO475" s="66"/>
      <c r="BP475" s="66">
        <f t="shared" ref="BP475" si="1274">+BP474+BE475</f>
        <v>33086899</v>
      </c>
      <c r="BQ475" s="66"/>
      <c r="BR475" s="435">
        <f t="shared" ref="BR475" si="1275">+BP475/BC475</f>
        <v>6.5534434489096932E-2</v>
      </c>
      <c r="BS475" s="66"/>
      <c r="BT475" s="75"/>
      <c r="BU475" s="170"/>
      <c r="BV475" s="1"/>
      <c r="BW475" s="61">
        <f t="shared" si="1175"/>
        <v>466</v>
      </c>
    </row>
    <row r="476" spans="2:75" x14ac:dyDescent="0.3">
      <c r="B476" s="158">
        <f t="shared" si="424"/>
        <v>44376</v>
      </c>
      <c r="C476" s="61"/>
      <c r="D476" s="17">
        <v>11427</v>
      </c>
      <c r="E476" s="16"/>
      <c r="F476" s="16"/>
      <c r="G476" s="16"/>
      <c r="H476" s="16">
        <f t="shared" ref="H476" si="1276">+H475+D476</f>
        <v>34005304</v>
      </c>
      <c r="I476" s="16"/>
      <c r="J476" s="436">
        <f t="shared" ref="J476" si="1277">+D476/H475</f>
        <v>3.3614877173321534E-4</v>
      </c>
      <c r="K476" s="16"/>
      <c r="L476" s="16"/>
      <c r="M476" s="16"/>
      <c r="N476" s="16">
        <f t="shared" ref="N476" si="1278">SUM(D470:D476)</f>
        <v>81663</v>
      </c>
      <c r="O476" s="16">
        <f t="shared" ref="O476" si="1279">+H476/BW476</f>
        <v>72816.496788008561</v>
      </c>
      <c r="P476" s="41"/>
      <c r="Q476" s="17">
        <f t="shared" ref="Q476" si="1280">SUM(D470:D476)</f>
        <v>81663</v>
      </c>
      <c r="R476" s="16"/>
      <c r="S476" s="60">
        <f t="shared" ref="S476" si="1281">+(Q476-Q469)/Q469</f>
        <v>7.4258728195953597E-2</v>
      </c>
      <c r="T476" s="16"/>
      <c r="U476" s="41"/>
      <c r="V476" s="10">
        <f t="shared" si="349"/>
        <v>368</v>
      </c>
      <c r="W476" s="34">
        <v>294</v>
      </c>
      <c r="X476" s="33">
        <v>4256</v>
      </c>
      <c r="Y476" s="33"/>
      <c r="Z476" s="33">
        <f t="shared" ref="Z476" si="1282">SUM(W471:W476)</f>
        <v>1480</v>
      </c>
      <c r="AA476" s="33">
        <f t="shared" ref="AA476" si="1283">+AA475+W476</f>
        <v>605146</v>
      </c>
      <c r="AB476" s="33"/>
      <c r="AC476" s="46">
        <f t="shared" ref="AC476" si="1284">+AA476/H476</f>
        <v>1.7795635645545177E-2</v>
      </c>
      <c r="AD476" s="33"/>
      <c r="AE476" s="33">
        <f t="shared" ref="AE476" si="1285">+AA476/BW476</f>
        <v>1295.8158458244111</v>
      </c>
      <c r="AF476" s="50"/>
      <c r="AG476" s="33">
        <f t="shared" ref="AG476" si="1286">SUM(W470:W476)</f>
        <v>1809</v>
      </c>
      <c r="AH476" s="33">
        <f t="shared" ref="AH476" si="1287">SUM(D447:D876)</f>
        <v>1117425613.060914</v>
      </c>
      <c r="AI476" s="213">
        <f t="shared" ref="AI476" si="1288">+(AG476-AG469)/AG469</f>
        <v>-0.14910630291627469</v>
      </c>
      <c r="AJ476" s="50"/>
      <c r="AK476" s="111"/>
      <c r="AL476" s="23">
        <f t="shared" ref="AL476" si="1289">+AP476-AP475</f>
        <v>28513</v>
      </c>
      <c r="AM476" s="24"/>
      <c r="AN476" s="24"/>
      <c r="AO476" s="24">
        <v>178263</v>
      </c>
      <c r="AP476" s="24">
        <v>29007373</v>
      </c>
      <c r="AQ476" s="24">
        <v>20336656</v>
      </c>
      <c r="AR476" s="461">
        <f t="shared" ref="AR476" si="1290">+AL476/AP475</f>
        <v>9.8392414332378834E-4</v>
      </c>
      <c r="AS476" s="25"/>
      <c r="AT476" s="25"/>
      <c r="AU476" s="24"/>
      <c r="AV476" s="298">
        <f t="shared" ref="AV476" si="1291">+AP476/H476</f>
        <v>0.8530249575183918</v>
      </c>
      <c r="AW476" s="298"/>
      <c r="AX476" s="24">
        <f t="shared" ref="AX476" si="1292">+AP476/BW476</f>
        <v>62114.289079229122</v>
      </c>
      <c r="AY476" s="308"/>
      <c r="AZ476" s="111"/>
      <c r="BA476" s="65">
        <f t="shared" ref="BA476" si="1293">+BC476-BC475</f>
        <v>514526</v>
      </c>
      <c r="BB476" s="66"/>
      <c r="BC476" s="66">
        <v>505392599</v>
      </c>
      <c r="BD476" s="66"/>
      <c r="BE476" s="66">
        <f t="shared" ref="BE476" si="1294">+D476</f>
        <v>11427</v>
      </c>
      <c r="BF476" s="66"/>
      <c r="BG476" s="144">
        <f t="shared" ref="BG476" si="1295">+BE476/BA476</f>
        <v>2.2208790226344248E-2</v>
      </c>
      <c r="BH476" s="66"/>
      <c r="BI476" s="170"/>
      <c r="BJ476" s="66"/>
      <c r="BK476" s="66">
        <f t="shared" ref="BK476" si="1296">SUM(BA470:BA476)</f>
        <v>4601747</v>
      </c>
      <c r="BL476" s="66"/>
      <c r="BM476" s="144">
        <f t="shared" ref="BM476" si="1297">+Q476/BK476</f>
        <v>1.7746086431957256E-2</v>
      </c>
      <c r="BN476" s="65">
        <f t="shared" ref="BN476" si="1298">+BC476/BW476</f>
        <v>1082211.1327623127</v>
      </c>
      <c r="BO476" s="66"/>
      <c r="BP476" s="66">
        <f t="shared" ref="BP476" si="1299">+BP475+BE476</f>
        <v>33098326</v>
      </c>
      <c r="BQ476" s="66"/>
      <c r="BR476" s="435">
        <f t="shared" ref="BR476" si="1300">+BP476/BC476</f>
        <v>6.5490325868424515E-2</v>
      </c>
      <c r="BS476" s="66"/>
      <c r="BT476" s="75"/>
      <c r="BU476" s="170"/>
      <c r="BV476" s="1"/>
      <c r="BW476" s="61">
        <f t="shared" si="1175"/>
        <v>467</v>
      </c>
    </row>
    <row r="477" spans="2:75" x14ac:dyDescent="0.3">
      <c r="B477" s="158">
        <f t="shared" si="424"/>
        <v>44377</v>
      </c>
      <c r="C477" s="61"/>
      <c r="D477" s="17">
        <v>14197</v>
      </c>
      <c r="E477" s="16"/>
      <c r="F477" s="16"/>
      <c r="G477" s="16"/>
      <c r="H477" s="16">
        <f t="shared" ref="H477" si="1301">+H476+D477</f>
        <v>34019501</v>
      </c>
      <c r="I477" s="16"/>
      <c r="J477" s="436">
        <f t="shared" ref="J477" si="1302">+D477/H476</f>
        <v>4.1749369451306772E-4</v>
      </c>
      <c r="K477" s="16"/>
      <c r="L477" s="16"/>
      <c r="M477" s="16"/>
      <c r="N477" s="16">
        <f t="shared" ref="N477" si="1303">SUM(D471:D477)</f>
        <v>82495</v>
      </c>
      <c r="O477" s="16">
        <f t="shared" ref="O477" si="1304">+H477/BW477</f>
        <v>72691.241452991453</v>
      </c>
      <c r="P477" s="41"/>
      <c r="Q477" s="17">
        <f t="shared" ref="Q477" si="1305">SUM(D471:D477)</f>
        <v>82495</v>
      </c>
      <c r="R477" s="16"/>
      <c r="S477" s="60">
        <f t="shared" ref="S477" si="1306">+(Q477-Q470)/Q470</f>
        <v>9.5260223048327139E-2</v>
      </c>
      <c r="T477" s="16"/>
      <c r="U477" s="41"/>
      <c r="V477" s="10">
        <f t="shared" si="349"/>
        <v>369</v>
      </c>
      <c r="W477" s="34">
        <v>249</v>
      </c>
      <c r="X477" s="33">
        <v>4256</v>
      </c>
      <c r="Y477" s="33"/>
      <c r="Z477" s="33">
        <f t="shared" ref="Z477" si="1307">SUM(W472:W477)</f>
        <v>1349</v>
      </c>
      <c r="AA477" s="33">
        <f t="shared" ref="AA477" si="1308">+AA476+W477</f>
        <v>605395</v>
      </c>
      <c r="AB477" s="33"/>
      <c r="AC477" s="46">
        <f t="shared" ref="AC477" si="1309">+AA477/H477</f>
        <v>1.7795528511720379E-2</v>
      </c>
      <c r="AD477" s="33"/>
      <c r="AE477" s="33">
        <f t="shared" ref="AE477" si="1310">+AA477/BW477</f>
        <v>1293.5790598290598</v>
      </c>
      <c r="AF477" s="50"/>
      <c r="AG477" s="33">
        <f t="shared" ref="AG477" si="1311">SUM(W471:W477)</f>
        <v>1729</v>
      </c>
      <c r="AH477" s="33">
        <f t="shared" ref="AH477" si="1312">SUM(D448:D877)</f>
        <v>1117420378.060914</v>
      </c>
      <c r="AI477" s="213">
        <f t="shared" ref="AI477" si="1313">+(AG477-AG470)/AG470</f>
        <v>-0.14448292924294903</v>
      </c>
      <c r="AJ477" s="50"/>
      <c r="AK477" s="111"/>
      <c r="AL477" s="23">
        <f t="shared" ref="AL477" si="1314">+AP477-AP476</f>
        <v>19315</v>
      </c>
      <c r="AM477" s="24"/>
      <c r="AN477" s="24"/>
      <c r="AO477" s="24">
        <v>178263</v>
      </c>
      <c r="AP477" s="24">
        <v>29026688</v>
      </c>
      <c r="AQ477" s="24">
        <v>20336656</v>
      </c>
      <c r="AR477" s="461">
        <f t="shared" ref="AR477" si="1315">+AL477/AP476</f>
        <v>6.6586519227370224E-4</v>
      </c>
      <c r="AS477" s="25"/>
      <c r="AT477" s="25"/>
      <c r="AU477" s="24"/>
      <c r="AV477" s="298">
        <f t="shared" ref="AV477" si="1316">+AP477/H477</f>
        <v>0.85323673618845852</v>
      </c>
      <c r="AW477" s="298"/>
      <c r="AX477" s="24">
        <f t="shared" ref="AX477" si="1317">+AP477/BW477</f>
        <v>62022.837606837609</v>
      </c>
      <c r="AY477" s="308"/>
      <c r="AZ477" s="111"/>
      <c r="BA477" s="65">
        <f t="shared" ref="BA477" si="1318">+BC477-BC476</f>
        <v>766529</v>
      </c>
      <c r="BB477" s="66"/>
      <c r="BC477" s="66">
        <v>506159128</v>
      </c>
      <c r="BD477" s="66"/>
      <c r="BE477" s="66">
        <f t="shared" ref="BE477" si="1319">+D477</f>
        <v>14197</v>
      </c>
      <c r="BF477" s="66"/>
      <c r="BG477" s="144">
        <f t="shared" ref="BG477" si="1320">+BE477/BA477</f>
        <v>1.8521151841613299E-2</v>
      </c>
      <c r="BH477" s="66"/>
      <c r="BI477" s="170"/>
      <c r="BJ477" s="66"/>
      <c r="BK477" s="66">
        <f t="shared" ref="BK477" si="1321">SUM(BA471:BA477)</f>
        <v>4479005</v>
      </c>
      <c r="BL477" s="66"/>
      <c r="BM477" s="144">
        <f t="shared" ref="BM477" si="1322">+Q477/BK477</f>
        <v>1.8418153138922595E-2</v>
      </c>
      <c r="BN477" s="65">
        <f t="shared" ref="BN477" si="1323">+BC477/BW477</f>
        <v>1081536.5982905983</v>
      </c>
      <c r="BO477" s="66"/>
      <c r="BP477" s="66">
        <f t="shared" ref="BP477" si="1324">+BP476+BE477</f>
        <v>33112523</v>
      </c>
      <c r="BQ477" s="66"/>
      <c r="BR477" s="435">
        <f t="shared" ref="BR477" si="1325">+BP477/BC477</f>
        <v>6.5419195601269492E-2</v>
      </c>
      <c r="BS477" s="66"/>
      <c r="BT477" s="75"/>
      <c r="BU477" s="170"/>
      <c r="BV477" s="1"/>
      <c r="BW477" s="61">
        <f t="shared" si="1175"/>
        <v>468</v>
      </c>
    </row>
    <row r="478" spans="2:75" x14ac:dyDescent="0.3">
      <c r="B478" s="158">
        <f t="shared" si="424"/>
        <v>44378</v>
      </c>
      <c r="C478" s="61"/>
      <c r="D478" s="17">
        <v>16949</v>
      </c>
      <c r="E478" s="16"/>
      <c r="F478" s="16"/>
      <c r="G478" s="16"/>
      <c r="H478" s="16">
        <f t="shared" ref="H478" si="1326">+H477+D478</f>
        <v>34036450</v>
      </c>
      <c r="I478" s="16"/>
      <c r="J478" s="436">
        <f t="shared" ref="J478" si="1327">+D478/H477</f>
        <v>4.9821424482387328E-4</v>
      </c>
      <c r="K478" s="16"/>
      <c r="L478" s="16"/>
      <c r="M478" s="16"/>
      <c r="N478" s="16">
        <f t="shared" ref="N478" si="1328">SUM(D472:D478)</f>
        <v>83984</v>
      </c>
      <c r="O478" s="16">
        <f t="shared" ref="O478" si="1329">+H478/BW478</f>
        <v>72572.388059701494</v>
      </c>
      <c r="P478" s="41"/>
      <c r="Q478" s="17">
        <f t="shared" ref="Q478" si="1330">SUM(D472:D478)</f>
        <v>83984</v>
      </c>
      <c r="R478" s="16"/>
      <c r="S478" s="60">
        <f t="shared" ref="S478" si="1331">+(Q478-Q471)/Q471</f>
        <v>9.003595208119719E-2</v>
      </c>
      <c r="T478" s="16"/>
      <c r="U478" s="41"/>
      <c r="V478" s="10">
        <f t="shared" si="349"/>
        <v>370</v>
      </c>
      <c r="W478" s="34">
        <v>315</v>
      </c>
      <c r="X478" s="33">
        <v>4256</v>
      </c>
      <c r="Y478" s="33"/>
      <c r="Z478" s="33">
        <f t="shared" ref="Z478" si="1332">SUM(W473:W478)</f>
        <v>1277</v>
      </c>
      <c r="AA478" s="33">
        <f t="shared" ref="AA478" si="1333">+AA477+W478</f>
        <v>605710</v>
      </c>
      <c r="AB478" s="33"/>
      <c r="AC478" s="46">
        <f t="shared" ref="AC478" si="1334">+AA478/H478</f>
        <v>1.7795921725091778E-2</v>
      </c>
      <c r="AD478" s="33"/>
      <c r="AE478" s="33">
        <f t="shared" ref="AE478" si="1335">+AA478/BW478</f>
        <v>1291.4925373134329</v>
      </c>
      <c r="AF478" s="50"/>
      <c r="AG478" s="33">
        <f t="shared" ref="AG478" si="1336">SUM(W472:W478)</f>
        <v>1664</v>
      </c>
      <c r="AH478" s="33">
        <f t="shared" ref="AH478" si="1337">SUM(D449:D878)</f>
        <v>1117407402.060914</v>
      </c>
      <c r="AI478" s="213">
        <f t="shared" ref="AI478" si="1338">+(AG478-AG471)/AG471</f>
        <v>-0.17867719644619942</v>
      </c>
      <c r="AJ478" s="50"/>
      <c r="AK478" s="111"/>
      <c r="AL478" s="23">
        <f t="shared" ref="AL478" si="1339">+AP478-AP477</f>
        <v>25399</v>
      </c>
      <c r="AM478" s="24"/>
      <c r="AN478" s="24"/>
      <c r="AO478" s="24">
        <v>178263</v>
      </c>
      <c r="AP478" s="24">
        <v>29052087</v>
      </c>
      <c r="AQ478" s="24">
        <v>20336656</v>
      </c>
      <c r="AR478" s="461">
        <f t="shared" ref="AR478" si="1340">+AL478/AP477</f>
        <v>8.7502232428308729E-4</v>
      </c>
      <c r="AS478" s="25"/>
      <c r="AT478" s="25"/>
      <c r="AU478" s="24"/>
      <c r="AV478" s="298">
        <f t="shared" ref="AV478" si="1341">+AP478/H478</f>
        <v>0.85355808258499344</v>
      </c>
      <c r="AW478" s="298"/>
      <c r="AX478" s="24">
        <f t="shared" ref="AX478" si="1342">+AP478/BW478</f>
        <v>61944.748400852877</v>
      </c>
      <c r="AY478" s="308"/>
      <c r="AZ478" s="111"/>
      <c r="BA478" s="65">
        <f t="shared" ref="BA478" si="1343">+BC478-BC477</f>
        <v>445484</v>
      </c>
      <c r="BB478" s="66"/>
      <c r="BC478" s="66">
        <v>506604612</v>
      </c>
      <c r="BD478" s="66"/>
      <c r="BE478" s="66">
        <f t="shared" ref="BE478" si="1344">+D478</f>
        <v>16949</v>
      </c>
      <c r="BF478" s="66"/>
      <c r="BG478" s="144">
        <f t="shared" ref="BG478" si="1345">+BE478/BA478</f>
        <v>3.8046259798331705E-2</v>
      </c>
      <c r="BH478" s="66"/>
      <c r="BI478" s="170"/>
      <c r="BJ478" s="66"/>
      <c r="BK478" s="66">
        <f t="shared" ref="BK478" si="1346">SUM(BA472:BA478)</f>
        <v>4424489</v>
      </c>
      <c r="BL478" s="66"/>
      <c r="BM478" s="144">
        <f t="shared" ref="BM478" si="1347">+Q478/BK478</f>
        <v>1.8981627030827741E-2</v>
      </c>
      <c r="BN478" s="65">
        <f t="shared" ref="BN478" si="1348">+BC478/BW478</f>
        <v>1080180.4093816632</v>
      </c>
      <c r="BO478" s="66"/>
      <c r="BP478" s="66">
        <f t="shared" ref="BP478" si="1349">+BP477+BE478</f>
        <v>33129472</v>
      </c>
      <c r="BQ478" s="66"/>
      <c r="BR478" s="435">
        <f t="shared" ref="BR478" si="1350">+BP478/BC478</f>
        <v>6.5395125143471844E-2</v>
      </c>
      <c r="BS478" s="66"/>
      <c r="BT478" s="75"/>
      <c r="BU478" s="170"/>
      <c r="BV478" s="1"/>
      <c r="BW478" s="61">
        <f t="shared" si="1175"/>
        <v>469</v>
      </c>
    </row>
    <row r="479" spans="2:75" x14ac:dyDescent="0.3">
      <c r="B479" s="158">
        <f t="shared" si="424"/>
        <v>44379</v>
      </c>
      <c r="C479" s="61"/>
      <c r="D479" s="17">
        <v>18399</v>
      </c>
      <c r="E479" s="16"/>
      <c r="F479" s="16"/>
      <c r="G479" s="16"/>
      <c r="H479" s="16">
        <f t="shared" ref="H479" si="1351">+H478+D479</f>
        <v>34054849</v>
      </c>
      <c r="I479" s="16"/>
      <c r="J479" s="436">
        <f t="shared" ref="J479" si="1352">+D479/H478</f>
        <v>5.4056753862403398E-4</v>
      </c>
      <c r="K479" s="16"/>
      <c r="L479" s="16"/>
      <c r="M479" s="16"/>
      <c r="N479" s="16">
        <f t="shared" ref="N479" si="1353">SUM(D473:D479)</f>
        <v>86846</v>
      </c>
      <c r="O479" s="16">
        <f t="shared" ref="O479" si="1354">+H479/BW479</f>
        <v>72457.125531914891</v>
      </c>
      <c r="P479" s="41"/>
      <c r="Q479" s="17">
        <f t="shared" ref="Q479" si="1355">SUM(D473:D479)</f>
        <v>86846</v>
      </c>
      <c r="R479" s="16"/>
      <c r="S479" s="60">
        <f t="shared" ref="S479" si="1356">+(Q479-Q472)/Q472</f>
        <v>9.6609634446619103E-2</v>
      </c>
      <c r="T479" s="16"/>
      <c r="U479" s="41"/>
      <c r="V479" s="10">
        <f t="shared" si="349"/>
        <v>371</v>
      </c>
      <c r="W479" s="34">
        <v>322</v>
      </c>
      <c r="X479" s="33">
        <v>4256</v>
      </c>
      <c r="Y479" s="33"/>
      <c r="Z479" s="33">
        <f t="shared" ref="Z479" si="1357">SUM(W474:W479)</f>
        <v>1450</v>
      </c>
      <c r="AA479" s="33">
        <f t="shared" ref="AA479" si="1358">+AA478+W479</f>
        <v>606032</v>
      </c>
      <c r="AB479" s="33"/>
      <c r="AC479" s="46">
        <f t="shared" ref="AC479" si="1359">+AA479/H479</f>
        <v>1.7795762359715646E-2</v>
      </c>
      <c r="AD479" s="33"/>
      <c r="AE479" s="33">
        <f t="shared" ref="AE479" si="1360">+AA479/BW479</f>
        <v>1289.4297872340426</v>
      </c>
      <c r="AF479" s="50"/>
      <c r="AG479" s="33">
        <f t="shared" ref="AG479" si="1361">SUM(W473:W479)</f>
        <v>1599</v>
      </c>
      <c r="AH479" s="33">
        <f t="shared" ref="AH479" si="1362">SUM(D450:D879)</f>
        <v>1117390428.060914</v>
      </c>
      <c r="AI479" s="213">
        <f t="shared" ref="AI479" si="1363">+(AG479-AG472)/AG472</f>
        <v>-0.20841584158415841</v>
      </c>
      <c r="AJ479" s="50"/>
      <c r="AK479" s="111"/>
      <c r="AL479" s="23">
        <f t="shared" ref="AL479" si="1364">+AP479-AP478</f>
        <v>20794</v>
      </c>
      <c r="AM479" s="24"/>
      <c r="AN479" s="24"/>
      <c r="AO479" s="24">
        <v>178263</v>
      </c>
      <c r="AP479" s="24">
        <v>29072881</v>
      </c>
      <c r="AQ479" s="24">
        <v>20336656</v>
      </c>
      <c r="AR479" s="461">
        <f t="shared" ref="AR479" si="1365">+AL479/AP478</f>
        <v>7.1574892364875545E-4</v>
      </c>
      <c r="AS479" s="25"/>
      <c r="AT479" s="25"/>
      <c r="AU479" s="24"/>
      <c r="AV479" s="298">
        <f t="shared" ref="AV479" si="1366">+AP479/H479</f>
        <v>0.85370752928606441</v>
      </c>
      <c r="AW479" s="298"/>
      <c r="AX479" s="24">
        <f t="shared" ref="AX479" si="1367">+AP479/BW479</f>
        <v>61857.193617021279</v>
      </c>
      <c r="AY479" s="308"/>
      <c r="AZ479" s="111"/>
      <c r="BA479" s="65">
        <f t="shared" ref="BA479" si="1368">+BC479-BC478</f>
        <v>741973</v>
      </c>
      <c r="BB479" s="66"/>
      <c r="BC479" s="66">
        <v>507346585</v>
      </c>
      <c r="BD479" s="66"/>
      <c r="BE479" s="66">
        <f t="shared" ref="BE479" si="1369">+D479</f>
        <v>18399</v>
      </c>
      <c r="BF479" s="66"/>
      <c r="BG479" s="144">
        <f t="shared" ref="BG479" si="1370">+BE479/BA479</f>
        <v>2.4797398288077869E-2</v>
      </c>
      <c r="BH479" s="66"/>
      <c r="BI479" s="170"/>
      <c r="BJ479" s="66"/>
      <c r="BK479" s="66">
        <f t="shared" ref="BK479" si="1371">SUM(BA473:BA479)</f>
        <v>4340193</v>
      </c>
      <c r="BL479" s="66"/>
      <c r="BM479" s="144">
        <f t="shared" ref="BM479" si="1372">+Q479/BK479</f>
        <v>2.0009709245648752E-2</v>
      </c>
      <c r="BN479" s="65">
        <f t="shared" ref="BN479" si="1373">+BC479/BW479</f>
        <v>1079460.8191489361</v>
      </c>
      <c r="BO479" s="66"/>
      <c r="BP479" s="66">
        <f t="shared" ref="BP479" si="1374">+BP478+BE479</f>
        <v>33147871</v>
      </c>
      <c r="BQ479" s="66"/>
      <c r="BR479" s="435">
        <f t="shared" ref="BR479" si="1375">+BP479/BC479</f>
        <v>6.5335752678812253E-2</v>
      </c>
      <c r="BS479" s="66"/>
      <c r="BT479" s="75"/>
      <c r="BU479" s="170"/>
      <c r="BV479" s="1"/>
      <c r="BW479" s="61">
        <f t="shared" si="1175"/>
        <v>470</v>
      </c>
    </row>
    <row r="480" spans="2:75" x14ac:dyDescent="0.3">
      <c r="B480" s="158">
        <f t="shared" si="424"/>
        <v>44380</v>
      </c>
      <c r="C480" s="61"/>
      <c r="D480" s="17">
        <v>7978</v>
      </c>
      <c r="E480" s="16"/>
      <c r="F480" s="16"/>
      <c r="G480" s="16"/>
      <c r="H480" s="16">
        <f t="shared" ref="H480" si="1376">+H479+D480</f>
        <v>34062827</v>
      </c>
      <c r="I480" s="16"/>
      <c r="J480" s="436">
        <f t="shared" ref="J480" si="1377">+D480/H479</f>
        <v>2.3426913447773619E-4</v>
      </c>
      <c r="K480" s="16"/>
      <c r="L480" s="16"/>
      <c r="M480" s="16"/>
      <c r="N480" s="16">
        <f t="shared" ref="N480" si="1378">SUM(D474:D480)</f>
        <v>88238</v>
      </c>
      <c r="O480" s="16">
        <f t="shared" ref="O480" si="1379">+H480/BW480</f>
        <v>72320.227176220811</v>
      </c>
      <c r="P480" s="41"/>
      <c r="Q480" s="17">
        <f t="shared" ref="Q480" si="1380">SUM(D474:D480)</f>
        <v>88238</v>
      </c>
      <c r="R480" s="16"/>
      <c r="S480" s="60">
        <f t="shared" ref="S480" si="1381">+(Q480-Q473)/Q473</f>
        <v>0.13127091372966321</v>
      </c>
      <c r="T480" s="16"/>
      <c r="U480" s="41"/>
      <c r="V480" s="10">
        <f t="shared" si="349"/>
        <v>372</v>
      </c>
      <c r="W480" s="34">
        <v>96</v>
      </c>
      <c r="X480" s="33">
        <v>4256</v>
      </c>
      <c r="Y480" s="33"/>
      <c r="Z480" s="33">
        <f t="shared" ref="Z480" si="1382">SUM(W475:W480)</f>
        <v>1440</v>
      </c>
      <c r="AA480" s="33">
        <f t="shared" ref="AA480" si="1383">+AA479+W480</f>
        <v>606128</v>
      </c>
      <c r="AB480" s="33"/>
      <c r="AC480" s="46">
        <f t="shared" ref="AC480" si="1384">+AA480/H480</f>
        <v>1.7794412659876996E-2</v>
      </c>
      <c r="AD480" s="33"/>
      <c r="AE480" s="33">
        <f t="shared" ref="AE480" si="1385">+AA480/BW480</f>
        <v>1286.8959660297239</v>
      </c>
      <c r="AF480" s="50"/>
      <c r="AG480" s="33">
        <f t="shared" ref="AG480" si="1386">SUM(W474:W480)</f>
        <v>1546</v>
      </c>
      <c r="AH480" s="33">
        <f t="shared" ref="AH480" si="1387">SUM(D451:D880)</f>
        <v>1117372607.060914</v>
      </c>
      <c r="AI480" s="213">
        <f t="shared" ref="AI480" si="1388">+(AG480-AG473)/AG473</f>
        <v>-0.22661330665332666</v>
      </c>
      <c r="AJ480" s="50"/>
      <c r="AK480" s="111"/>
      <c r="AL480" s="23">
        <f t="shared" ref="AL480" si="1389">+AP480-AP479</f>
        <v>14540</v>
      </c>
      <c r="AM480" s="24"/>
      <c r="AN480" s="24"/>
      <c r="AO480" s="24">
        <v>178263</v>
      </c>
      <c r="AP480" s="24">
        <v>29087421</v>
      </c>
      <c r="AQ480" s="24">
        <v>20336656</v>
      </c>
      <c r="AR480" s="461">
        <f t="shared" ref="AR480" si="1390">+AL480/AP479</f>
        <v>5.0012243368656862E-4</v>
      </c>
      <c r="AS480" s="25"/>
      <c r="AT480" s="25"/>
      <c r="AU480" s="24"/>
      <c r="AV480" s="298">
        <f t="shared" ref="AV480" si="1391">+AP480/H480</f>
        <v>0.85393443709178929</v>
      </c>
      <c r="AW480" s="298"/>
      <c r="AX480" s="24">
        <f t="shared" ref="AX480" si="1392">+AP480/BW480</f>
        <v>61756.732484076434</v>
      </c>
      <c r="AY480" s="308"/>
      <c r="AZ480" s="111"/>
      <c r="BA480" s="65">
        <f t="shared" ref="BA480" si="1393">+BC480-BC479</f>
        <v>255291</v>
      </c>
      <c r="BB480" s="66"/>
      <c r="BC480" s="66">
        <v>507601876</v>
      </c>
      <c r="BD480" s="66"/>
      <c r="BE480" s="66">
        <f t="shared" ref="BE480" si="1394">+D480</f>
        <v>7978</v>
      </c>
      <c r="BF480" s="66"/>
      <c r="BG480" s="144">
        <f t="shared" ref="BG480" si="1395">+BE480/BA480</f>
        <v>3.125061204664481E-2</v>
      </c>
      <c r="BH480" s="66"/>
      <c r="BI480" s="170"/>
      <c r="BJ480" s="66"/>
      <c r="BK480" s="66">
        <f t="shared" ref="BK480" si="1396">SUM(BA474:BA480)</f>
        <v>4144202</v>
      </c>
      <c r="BL480" s="66"/>
      <c r="BM480" s="144">
        <f t="shared" ref="BM480" si="1397">+Q480/BK480</f>
        <v>2.1291915789819125E-2</v>
      </c>
      <c r="BN480" s="65">
        <f t="shared" ref="BN480" si="1398">+BC480/BW480</f>
        <v>1077710.9893842887</v>
      </c>
      <c r="BO480" s="66"/>
      <c r="BP480" s="66">
        <f t="shared" ref="BP480" si="1399">+BP479+BE480</f>
        <v>33155849</v>
      </c>
      <c r="BQ480" s="66"/>
      <c r="BR480" s="435">
        <f t="shared" ref="BR480" si="1400">+BP480/BC480</f>
        <v>6.5318610051787906E-2</v>
      </c>
      <c r="BS480" s="66"/>
      <c r="BT480" s="75"/>
      <c r="BU480" s="170"/>
      <c r="BV480" s="1"/>
      <c r="BW480" s="61">
        <f t="shared" si="1175"/>
        <v>471</v>
      </c>
    </row>
    <row r="481" spans="2:75" x14ac:dyDescent="0.3">
      <c r="B481" s="347">
        <f t="shared" si="424"/>
        <v>44381</v>
      </c>
      <c r="C481" s="61"/>
      <c r="D481" s="17">
        <v>5749</v>
      </c>
      <c r="E481" s="16"/>
      <c r="F481" s="16"/>
      <c r="G481" s="16"/>
      <c r="H481" s="16">
        <f t="shared" ref="H481" si="1401">+H480+D481</f>
        <v>34068576</v>
      </c>
      <c r="I481" s="16"/>
      <c r="J481" s="436">
        <f t="shared" ref="J481" si="1402">+D481/H480</f>
        <v>1.6877636139830672E-4</v>
      </c>
      <c r="K481" s="16"/>
      <c r="L481" s="16"/>
      <c r="M481" s="16"/>
      <c r="N481" s="16">
        <f t="shared" ref="N481" si="1403">SUM(D475:D481)</f>
        <v>86681</v>
      </c>
      <c r="O481" s="16">
        <f t="shared" ref="O481" si="1404">+H481/BW481</f>
        <v>72179.186440677964</v>
      </c>
      <c r="P481" s="41"/>
      <c r="Q481" s="17">
        <f t="shared" ref="Q481" si="1405">SUM(D475:D481)</f>
        <v>86681</v>
      </c>
      <c r="R481" s="16"/>
      <c r="S481" s="60">
        <f t="shared" ref="S481" si="1406">+(Q481-Q474)/Q474</f>
        <v>7.1683790166042302E-2</v>
      </c>
      <c r="T481" s="16"/>
      <c r="U481" s="41"/>
      <c r="V481" s="10">
        <f t="shared" si="349"/>
        <v>373</v>
      </c>
      <c r="W481" s="34">
        <v>55</v>
      </c>
      <c r="X481" s="33">
        <v>4256</v>
      </c>
      <c r="Y481" s="33"/>
      <c r="Z481" s="33">
        <f t="shared" ref="Z481" si="1407">SUM(W476:W481)</f>
        <v>1331</v>
      </c>
      <c r="AA481" s="33">
        <f t="shared" ref="AA481" si="1408">+AA480+W481</f>
        <v>606183</v>
      </c>
      <c r="AB481" s="33"/>
      <c r="AC481" s="46">
        <f t="shared" ref="AC481" si="1409">+AA481/H481</f>
        <v>1.7793024281378828E-2</v>
      </c>
      <c r="AD481" s="33"/>
      <c r="AE481" s="33">
        <f t="shared" ref="AE481" si="1410">+AA481/BW481</f>
        <v>1284.2860169491526</v>
      </c>
      <c r="AF481" s="50"/>
      <c r="AG481" s="33">
        <f t="shared" ref="AG481" si="1411">SUM(W475:W481)</f>
        <v>1495</v>
      </c>
      <c r="AH481" s="33">
        <f t="shared" ref="AH481" si="1412">SUM(D452:D881)</f>
        <v>1117355682.060914</v>
      </c>
      <c r="AI481" s="213">
        <f t="shared" ref="AI481" si="1413">+(AG481-AG474)/AG474</f>
        <v>-0.25953442298167412</v>
      </c>
      <c r="AJ481" s="50"/>
      <c r="AK481" s="111"/>
      <c r="AL481" s="23">
        <f t="shared" ref="AL481" si="1414">+AP481-AP480</f>
        <v>12851</v>
      </c>
      <c r="AM481" s="24"/>
      <c r="AN481" s="24"/>
      <c r="AO481" s="24">
        <v>178263</v>
      </c>
      <c r="AP481" s="24">
        <v>29100272</v>
      </c>
      <c r="AQ481" s="24">
        <v>20336656</v>
      </c>
      <c r="AR481" s="461">
        <f t="shared" ref="AR481" si="1415">+AL481/AP480</f>
        <v>4.4180609893190601E-4</v>
      </c>
      <c r="AS481" s="25"/>
      <c r="AT481" s="25"/>
      <c r="AU481" s="24"/>
      <c r="AV481" s="298">
        <f t="shared" ref="AV481" si="1416">+AP481/H481</f>
        <v>0.85416754724353605</v>
      </c>
      <c r="AW481" s="298"/>
      <c r="AX481" s="24">
        <f t="shared" ref="AX481" si="1417">+AP481/BW481</f>
        <v>61653.118644067799</v>
      </c>
      <c r="AY481" s="308"/>
      <c r="AZ481" s="111"/>
      <c r="BA481" s="65">
        <f t="shared" ref="BA481" si="1418">+BC481-BC480</f>
        <v>483136</v>
      </c>
      <c r="BB481" s="66"/>
      <c r="BC481" s="66">
        <v>508085012</v>
      </c>
      <c r="BD481" s="66"/>
      <c r="BE481" s="66">
        <f t="shared" ref="BE481" si="1419">+D481</f>
        <v>5749</v>
      </c>
      <c r="BF481" s="66"/>
      <c r="BG481" s="144">
        <f t="shared" ref="BG481" si="1420">+BE481/BA481</f>
        <v>1.1899340972314213E-2</v>
      </c>
      <c r="BH481" s="66"/>
      <c r="BI481" s="170"/>
      <c r="BJ481" s="66"/>
      <c r="BK481" s="66">
        <f t="shared" ref="BK481" si="1421">SUM(BA475:BA481)</f>
        <v>4260795</v>
      </c>
      <c r="BL481" s="66"/>
      <c r="BM481" s="144">
        <f t="shared" ref="BM481" si="1422">+Q481/BK481</f>
        <v>2.0343856017480306E-2</v>
      </c>
      <c r="BN481" s="65">
        <f t="shared" ref="BN481" si="1423">+BC481/BW481</f>
        <v>1076451.2966101696</v>
      </c>
      <c r="BO481" s="66"/>
      <c r="BP481" s="66">
        <f t="shared" ref="BP481" si="1424">+BP480+BE481</f>
        <v>33161598</v>
      </c>
      <c r="BQ481" s="66"/>
      <c r="BR481" s="435">
        <f t="shared" ref="BR481" si="1425">+BP481/BC481</f>
        <v>6.5267813883083017E-2</v>
      </c>
      <c r="BS481" s="66"/>
      <c r="BT481" s="75"/>
      <c r="BU481" s="170"/>
      <c r="BV481" s="1"/>
      <c r="BW481" s="61">
        <f t="shared" si="1175"/>
        <v>472</v>
      </c>
    </row>
    <row r="482" spans="2:75" x14ac:dyDescent="0.3">
      <c r="B482" s="158">
        <f t="shared" si="424"/>
        <v>44382</v>
      </c>
      <c r="C482" s="61"/>
      <c r="D482" s="17">
        <v>5132</v>
      </c>
      <c r="E482" s="16"/>
      <c r="F482" s="16"/>
      <c r="G482" s="16"/>
      <c r="H482" s="16">
        <f t="shared" ref="H482" si="1426">+H481+D482</f>
        <v>34073708</v>
      </c>
      <c r="I482" s="16"/>
      <c r="J482" s="436">
        <f t="shared" ref="J482" si="1427">+D482/H481</f>
        <v>1.5063734979706812E-4</v>
      </c>
      <c r="K482" s="16"/>
      <c r="L482" s="16"/>
      <c r="M482" s="16"/>
      <c r="N482" s="16">
        <f t="shared" ref="N482" si="1428">SUM(D476:D482)</f>
        <v>79831</v>
      </c>
      <c r="O482" s="16">
        <f t="shared" ref="O482" si="1429">+H482/BW482</f>
        <v>72037.437632135305</v>
      </c>
      <c r="P482" s="41"/>
      <c r="Q482" s="17">
        <f t="shared" ref="Q482" si="1430">SUM(D476:D482)</f>
        <v>79831</v>
      </c>
      <c r="R482" s="16"/>
      <c r="S482" s="60">
        <f t="shared" ref="S482" si="1431">+(Q482-Q475)/Q475</f>
        <v>-3.9453736012513535E-2</v>
      </c>
      <c r="T482" s="16"/>
      <c r="U482" s="41"/>
      <c r="V482" s="10">
        <f t="shared" si="349"/>
        <v>374</v>
      </c>
      <c r="W482" s="34">
        <v>36</v>
      </c>
      <c r="X482" s="33">
        <v>4256</v>
      </c>
      <c r="Y482" s="33"/>
      <c r="Z482" s="33">
        <f t="shared" ref="Z482" si="1432">SUM(W477:W482)</f>
        <v>1073</v>
      </c>
      <c r="AA482" s="33">
        <f t="shared" ref="AA482" si="1433">+AA481+W482</f>
        <v>606219</v>
      </c>
      <c r="AB482" s="33"/>
      <c r="AC482" s="46">
        <f t="shared" ref="AC482" si="1434">+AA482/H482</f>
        <v>1.7791400924137755E-2</v>
      </c>
      <c r="AD482" s="33"/>
      <c r="AE482" s="33">
        <f t="shared" ref="AE482" si="1435">+AA482/BW482</f>
        <v>1281.6469344608879</v>
      </c>
      <c r="AF482" s="50"/>
      <c r="AG482" s="33">
        <f t="shared" ref="AG482" si="1436">SUM(W476:W482)</f>
        <v>1367</v>
      </c>
      <c r="AH482" s="33">
        <f t="shared" ref="AH482" si="1437">SUM(D453:D882)</f>
        <v>1117344079.060914</v>
      </c>
      <c r="AI482" s="213">
        <f t="shared" ref="AI482" si="1438">+(AG482-AG475)/AG475</f>
        <v>-0.29753340184994859</v>
      </c>
      <c r="AJ482" s="50"/>
      <c r="AK482" s="111"/>
      <c r="AL482" s="23">
        <f t="shared" ref="AL482" si="1439">+AP482-AP481</f>
        <v>16492</v>
      </c>
      <c r="AM482" s="24"/>
      <c r="AN482" s="24"/>
      <c r="AO482" s="24">
        <v>178263</v>
      </c>
      <c r="AP482" s="24">
        <v>29116764</v>
      </c>
      <c r="AQ482" s="24">
        <v>20336656</v>
      </c>
      <c r="AR482" s="461">
        <f t="shared" ref="AR482" si="1440">+AL482/AP481</f>
        <v>5.6673009791798512E-4</v>
      </c>
      <c r="AS482" s="25"/>
      <c r="AT482" s="25"/>
      <c r="AU482" s="24"/>
      <c r="AV482" s="298">
        <f t="shared" ref="AV482" si="1441">+AP482/H482</f>
        <v>0.85452290663522734</v>
      </c>
      <c r="AW482" s="298"/>
      <c r="AX482" s="24">
        <f t="shared" ref="AX482" si="1442">+AP482/BW482</f>
        <v>61557.64059196617</v>
      </c>
      <c r="AY482" s="308"/>
      <c r="AZ482" s="111"/>
      <c r="BA482" s="65">
        <f t="shared" ref="BA482" si="1443">+BC482-BC481</f>
        <v>380659</v>
      </c>
      <c r="BB482" s="66"/>
      <c r="BC482" s="66">
        <v>508465671</v>
      </c>
      <c r="BD482" s="66"/>
      <c r="BE482" s="66">
        <f t="shared" ref="BE482" si="1444">+D482</f>
        <v>5132</v>
      </c>
      <c r="BF482" s="66"/>
      <c r="BG482" s="144">
        <f t="shared" ref="BG482" si="1445">+BE482/BA482</f>
        <v>1.3481882734941247E-2</v>
      </c>
      <c r="BH482" s="66"/>
      <c r="BI482" s="170"/>
      <c r="BJ482" s="66"/>
      <c r="BK482" s="66">
        <f t="shared" ref="BK482" si="1446">SUM(BA476:BA482)</f>
        <v>3587598</v>
      </c>
      <c r="BL482" s="66"/>
      <c r="BM482" s="144">
        <f t="shared" ref="BM482" si="1447">+Q482/BK482</f>
        <v>2.2251935696251363E-2</v>
      </c>
      <c r="BN482" s="65">
        <f t="shared" ref="BN482" si="1448">+BC482/BW482</f>
        <v>1074980.2769556025</v>
      </c>
      <c r="BO482" s="66"/>
      <c r="BP482" s="66">
        <f t="shared" ref="BP482" si="1449">+BP481+BE482</f>
        <v>33166730</v>
      </c>
      <c r="BQ482" s="66"/>
      <c r="BR482" s="435">
        <f t="shared" ref="BR482" si="1450">+BP482/BC482</f>
        <v>6.5229044735254108E-2</v>
      </c>
      <c r="BS482" s="66"/>
      <c r="BT482" s="75"/>
      <c r="BU482" s="170"/>
      <c r="BV482" s="1"/>
      <c r="BW482" s="61">
        <f t="shared" si="1175"/>
        <v>473</v>
      </c>
    </row>
    <row r="483" spans="2:75" x14ac:dyDescent="0.3">
      <c r="B483" s="158">
        <f t="shared" si="424"/>
        <v>44383</v>
      </c>
      <c r="C483" s="61"/>
      <c r="D483" s="17">
        <v>11612</v>
      </c>
      <c r="E483" s="16"/>
      <c r="F483" s="16"/>
      <c r="G483" s="16"/>
      <c r="H483" s="16">
        <f t="shared" ref="H483" si="1451">+H482+D483</f>
        <v>34085320</v>
      </c>
      <c r="I483" s="16"/>
      <c r="J483" s="436">
        <f t="shared" ref="J483" si="1452">+D483/H482</f>
        <v>3.4079061779833294E-4</v>
      </c>
      <c r="K483" s="16"/>
      <c r="L483" s="16"/>
      <c r="M483" s="16"/>
      <c r="N483" s="16">
        <f t="shared" ref="N483" si="1453">SUM(D477:D483)</f>
        <v>80016</v>
      </c>
      <c r="O483" s="16">
        <f t="shared" ref="O483" si="1454">+H483/BW483</f>
        <v>71909.957805907179</v>
      </c>
      <c r="P483" s="41"/>
      <c r="Q483" s="17">
        <f t="shared" ref="Q483" si="1455">SUM(D477:D483)</f>
        <v>80016</v>
      </c>
      <c r="R483" s="16"/>
      <c r="S483" s="60">
        <f t="shared" ref="S483" si="1456">+(Q483-Q476)/Q476</f>
        <v>-2.0168252452150912E-2</v>
      </c>
      <c r="T483" s="16"/>
      <c r="U483" s="41"/>
      <c r="V483" s="10">
        <f t="shared" si="349"/>
        <v>375</v>
      </c>
      <c r="W483" s="34">
        <v>202</v>
      </c>
      <c r="X483" s="33">
        <v>4256</v>
      </c>
      <c r="Y483" s="33"/>
      <c r="Z483" s="33">
        <f t="shared" ref="Z483" si="1457">SUM(W478:W483)</f>
        <v>1026</v>
      </c>
      <c r="AA483" s="33">
        <f t="shared" ref="AA483" si="1458">+AA482+W483</f>
        <v>606421</v>
      </c>
      <c r="AB483" s="33"/>
      <c r="AC483" s="46">
        <f t="shared" ref="AC483" si="1459">+AA483/H483</f>
        <v>1.7791266152114751E-2</v>
      </c>
      <c r="AD483" s="33"/>
      <c r="AE483" s="33">
        <f t="shared" ref="AE483" si="1460">+AA483/BW483</f>
        <v>1279.3691983122362</v>
      </c>
      <c r="AF483" s="50"/>
      <c r="AG483" s="33">
        <f t="shared" ref="AG483" si="1461">SUM(W477:W483)</f>
        <v>1275</v>
      </c>
      <c r="AH483" s="33">
        <f t="shared" ref="AH483" si="1462">SUM(D454:D883)</f>
        <v>1117337671.060914</v>
      </c>
      <c r="AI483" s="213">
        <f t="shared" ref="AI483" si="1463">+(AG483-AG476)/AG476</f>
        <v>-0.29519071310116085</v>
      </c>
      <c r="AJ483" s="50"/>
      <c r="AK483" s="111"/>
      <c r="AL483" s="23">
        <f t="shared" ref="AL483" si="1464">+AP483-AP482</f>
        <v>28521</v>
      </c>
      <c r="AM483" s="24"/>
      <c r="AN483" s="24"/>
      <c r="AO483" s="24">
        <v>178263</v>
      </c>
      <c r="AP483" s="24">
        <v>29145285</v>
      </c>
      <c r="AQ483" s="24">
        <v>20336656</v>
      </c>
      <c r="AR483" s="461">
        <f t="shared" ref="AR483" si="1465">+AL483/AP482</f>
        <v>9.7953879764935419E-4</v>
      </c>
      <c r="AS483" s="25"/>
      <c r="AT483" s="25"/>
      <c r="AU483" s="24"/>
      <c r="AV483" s="298">
        <f t="shared" ref="AV483" si="1466">+AP483/H483</f>
        <v>0.85506854563782886</v>
      </c>
      <c r="AW483" s="298"/>
      <c r="AX483" s="24">
        <f t="shared" ref="AX483" si="1467">+AP483/BW483</f>
        <v>61487.943037974685</v>
      </c>
      <c r="AY483" s="308"/>
      <c r="AZ483" s="111"/>
      <c r="BA483" s="65">
        <f t="shared" ref="BA483" si="1468">+BC483-BC482</f>
        <v>750932</v>
      </c>
      <c r="BB483" s="66"/>
      <c r="BC483" s="66">
        <v>509216603</v>
      </c>
      <c r="BD483" s="66"/>
      <c r="BE483" s="66">
        <f t="shared" ref="BE483" si="1469">+D483</f>
        <v>11612</v>
      </c>
      <c r="BF483" s="66"/>
      <c r="BG483" s="144">
        <f t="shared" ref="BG483" si="1470">+BE483/BA483</f>
        <v>1.5463450751865681E-2</v>
      </c>
      <c r="BH483" s="66"/>
      <c r="BI483" s="170"/>
      <c r="BJ483" s="66"/>
      <c r="BK483" s="66">
        <f t="shared" ref="BK483" si="1471">SUM(BA477:BA483)</f>
        <v>3824004</v>
      </c>
      <c r="BL483" s="66"/>
      <c r="BM483" s="144">
        <f t="shared" ref="BM483" si="1472">+Q483/BK483</f>
        <v>2.0924664304744451E-2</v>
      </c>
      <c r="BN483" s="65">
        <f t="shared" ref="BN483" si="1473">+BC483/BW483</f>
        <v>1074296.6308016877</v>
      </c>
      <c r="BO483" s="66"/>
      <c r="BP483" s="66">
        <f t="shared" ref="BP483" si="1474">+BP482+BE483</f>
        <v>33178342</v>
      </c>
      <c r="BQ483" s="66"/>
      <c r="BR483" s="435">
        <f t="shared" ref="BR483" si="1475">+BP483/BC483</f>
        <v>6.5155656364173975E-2</v>
      </c>
      <c r="BS483" s="66"/>
      <c r="BT483" s="75"/>
      <c r="BU483" s="170"/>
      <c r="BV483" s="1"/>
      <c r="BW483" s="61">
        <f t="shared" si="1175"/>
        <v>474</v>
      </c>
    </row>
    <row r="484" spans="2:75" x14ac:dyDescent="0.3">
      <c r="B484" s="158">
        <f t="shared" si="424"/>
        <v>44384</v>
      </c>
      <c r="C484" s="61"/>
      <c r="D484" s="17">
        <v>16812</v>
      </c>
      <c r="E484" s="16"/>
      <c r="F484" s="16"/>
      <c r="G484" s="16"/>
      <c r="H484" s="16">
        <f t="shared" ref="H484" si="1476">+H483+D484</f>
        <v>34102132</v>
      </c>
      <c r="I484" s="16"/>
      <c r="J484" s="436">
        <f t="shared" ref="J484" si="1477">+D484/H483</f>
        <v>4.9323286388392427E-4</v>
      </c>
      <c r="K484" s="16"/>
      <c r="L484" s="16"/>
      <c r="M484" s="16"/>
      <c r="N484" s="16">
        <f t="shared" ref="N484" si="1478">SUM(D478:D484)</f>
        <v>82631</v>
      </c>
      <c r="O484" s="16">
        <f t="shared" ref="O484" si="1479">+H484/BW484</f>
        <v>71793.962105263156</v>
      </c>
      <c r="P484" s="41"/>
      <c r="Q484" s="17">
        <f t="shared" ref="Q484" si="1480">SUM(D478:D484)</f>
        <v>82631</v>
      </c>
      <c r="R484" s="16"/>
      <c r="S484" s="60">
        <f t="shared" ref="S484" si="1481">+(Q484-Q477)/Q477</f>
        <v>1.6485847627128918E-3</v>
      </c>
      <c r="T484" s="16"/>
      <c r="U484" s="41"/>
      <c r="V484" s="10">
        <f t="shared" si="349"/>
        <v>376</v>
      </c>
      <c r="W484" s="34">
        <v>251</v>
      </c>
      <c r="X484" s="33">
        <v>4256</v>
      </c>
      <c r="Y484" s="33"/>
      <c r="Z484" s="33">
        <f t="shared" ref="Z484" si="1482">SUM(W479:W484)</f>
        <v>962</v>
      </c>
      <c r="AA484" s="33">
        <f t="shared" ref="AA484" si="1483">+AA483+W484</f>
        <v>606672</v>
      </c>
      <c r="AB484" s="33"/>
      <c r="AC484" s="46">
        <f t="shared" ref="AC484" si="1484">+AA484/H484</f>
        <v>1.7789855484695208E-2</v>
      </c>
      <c r="AD484" s="33"/>
      <c r="AE484" s="33">
        <f t="shared" ref="AE484" si="1485">+AA484/BW484</f>
        <v>1277.2042105263158</v>
      </c>
      <c r="AF484" s="50"/>
      <c r="AG484" s="33">
        <f t="shared" ref="AG484" si="1486">SUM(W478:W484)</f>
        <v>1277</v>
      </c>
      <c r="AH484" s="33">
        <f t="shared" ref="AH484" si="1487">SUM(D455:D884)</f>
        <v>1117325388.060914</v>
      </c>
      <c r="AI484" s="213">
        <f t="shared" ref="AI484" si="1488">+(AG484-AG477)/AG477</f>
        <v>-0.26142278773857719</v>
      </c>
      <c r="AJ484" s="50"/>
      <c r="AK484" s="111"/>
      <c r="AL484" s="23">
        <f t="shared" ref="AL484" si="1489">+AP484-AP483</f>
        <v>23028</v>
      </c>
      <c r="AM484" s="24"/>
      <c r="AN484" s="24"/>
      <c r="AO484" s="24">
        <v>178263</v>
      </c>
      <c r="AP484" s="24">
        <v>29168313</v>
      </c>
      <c r="AQ484" s="24">
        <v>20336656</v>
      </c>
      <c r="AR484" s="461">
        <f t="shared" ref="AR484" si="1490">+AL484/AP483</f>
        <v>7.9011064739974233E-4</v>
      </c>
      <c r="AS484" s="25"/>
      <c r="AT484" s="25"/>
      <c r="AU484" s="24"/>
      <c r="AV484" s="298">
        <f t="shared" ref="AV484" si="1491">+AP484/H484</f>
        <v>0.85532227134655392</v>
      </c>
      <c r="AW484" s="298"/>
      <c r="AX484" s="24">
        <f t="shared" ref="AX484" si="1492">+AP484/BW484</f>
        <v>61406.974736842109</v>
      </c>
      <c r="AY484" s="308"/>
      <c r="AZ484" s="111"/>
      <c r="BA484" s="65">
        <f t="shared" ref="BA484" si="1493">+BC484-BC483</f>
        <v>486270</v>
      </c>
      <c r="BB484" s="66"/>
      <c r="BC484" s="66">
        <v>509702873</v>
      </c>
      <c r="BD484" s="66"/>
      <c r="BE484" s="66">
        <f t="shared" ref="BE484" si="1494">+D484</f>
        <v>16812</v>
      </c>
      <c r="BF484" s="66"/>
      <c r="BG484" s="144">
        <f t="shared" ref="BG484" si="1495">+BE484/BA484</f>
        <v>3.4573385156394597E-2</v>
      </c>
      <c r="BH484" s="66"/>
      <c r="BI484" s="170"/>
      <c r="BJ484" s="66"/>
      <c r="BK484" s="66">
        <f t="shared" ref="BK484" si="1496">SUM(BA478:BA484)</f>
        <v>3543745</v>
      </c>
      <c r="BL484" s="66"/>
      <c r="BM484" s="144">
        <f t="shared" ref="BM484" si="1497">+Q484/BK484</f>
        <v>2.3317422670084895E-2</v>
      </c>
      <c r="BN484" s="65">
        <f t="shared" ref="BN484" si="1498">+BC484/BW484</f>
        <v>1073058.68</v>
      </c>
      <c r="BO484" s="66"/>
      <c r="BP484" s="66">
        <f t="shared" ref="BP484" si="1499">+BP483+BE484</f>
        <v>33195154</v>
      </c>
      <c r="BQ484" s="66"/>
      <c r="BR484" s="435">
        <f t="shared" ref="BR484" si="1500">+BP484/BC484</f>
        <v>6.5126480069889664E-2</v>
      </c>
      <c r="BS484" s="66"/>
      <c r="BT484" s="75"/>
      <c r="BU484" s="170"/>
      <c r="BV484" s="1"/>
      <c r="BW484" s="61">
        <f t="shared" si="1175"/>
        <v>475</v>
      </c>
    </row>
    <row r="485" spans="2:75" x14ac:dyDescent="0.3">
      <c r="B485" s="158">
        <f t="shared" si="424"/>
        <v>44385</v>
      </c>
      <c r="C485" s="61"/>
      <c r="D485" s="17">
        <v>19347</v>
      </c>
      <c r="E485" s="16"/>
      <c r="F485" s="16"/>
      <c r="G485" s="16"/>
      <c r="H485" s="16">
        <f t="shared" ref="H485" si="1501">+H484+D485</f>
        <v>34121479</v>
      </c>
      <c r="I485" s="16"/>
      <c r="J485" s="436">
        <f t="shared" ref="J485" si="1502">+D485/H484</f>
        <v>5.6732523350739477E-4</v>
      </c>
      <c r="K485" s="16"/>
      <c r="L485" s="16"/>
      <c r="M485" s="16"/>
      <c r="N485" s="16">
        <f t="shared" ref="N485" si="1503">SUM(D479:D485)</f>
        <v>85029</v>
      </c>
      <c r="O485" s="16">
        <f t="shared" ref="O485" si="1504">+H485/BW485</f>
        <v>71683.779411764699</v>
      </c>
      <c r="P485" s="41"/>
      <c r="Q485" s="17">
        <f t="shared" ref="Q485" si="1505">SUM(D479:D485)</f>
        <v>85029</v>
      </c>
      <c r="R485" s="16"/>
      <c r="S485" s="60">
        <f t="shared" ref="S485" si="1506">+(Q485-Q478)/Q478</f>
        <v>1.2442846256429796E-2</v>
      </c>
      <c r="T485" s="16"/>
      <c r="U485" s="41"/>
      <c r="V485" s="10">
        <f t="shared" si="349"/>
        <v>377</v>
      </c>
      <c r="W485" s="34">
        <v>261</v>
      </c>
      <c r="X485" s="33">
        <v>4256</v>
      </c>
      <c r="Y485" s="33"/>
      <c r="Z485" s="33">
        <f t="shared" ref="Z485" si="1507">SUM(W480:W485)</f>
        <v>901</v>
      </c>
      <c r="AA485" s="33">
        <f t="shared" ref="AA485" si="1508">+AA484+W485</f>
        <v>606933</v>
      </c>
      <c r="AB485" s="33"/>
      <c r="AC485" s="46">
        <f t="shared" ref="AC485" si="1509">+AA485/H485</f>
        <v>1.7787417714220419E-2</v>
      </c>
      <c r="AD485" s="33"/>
      <c r="AE485" s="33">
        <f t="shared" ref="AE485" si="1510">+AA485/BW485</f>
        <v>1275.0693277310925</v>
      </c>
      <c r="AF485" s="50"/>
      <c r="AG485" s="33">
        <f t="shared" ref="AG485" si="1511">SUM(W479:W485)</f>
        <v>1223</v>
      </c>
      <c r="AH485" s="33">
        <f t="shared" ref="AH485" si="1512">SUM(D456:D885)</f>
        <v>1117311846.060914</v>
      </c>
      <c r="AI485" s="213">
        <f t="shared" ref="AI485" si="1513">+(AG485-AG478)/AG478</f>
        <v>-0.26502403846153844</v>
      </c>
      <c r="AJ485" s="50"/>
      <c r="AK485" s="111"/>
      <c r="AL485" s="23">
        <f t="shared" ref="AL485" si="1514">+AP485-AP484</f>
        <v>34995</v>
      </c>
      <c r="AM485" s="24"/>
      <c r="AN485" s="24"/>
      <c r="AO485" s="24">
        <v>178263</v>
      </c>
      <c r="AP485" s="24">
        <v>29203308</v>
      </c>
      <c r="AQ485" s="24">
        <v>20336656</v>
      </c>
      <c r="AR485" s="461">
        <f t="shared" ref="AR485" si="1515">+AL485/AP484</f>
        <v>1.1997608500704171E-3</v>
      </c>
      <c r="AS485" s="25"/>
      <c r="AT485" s="25"/>
      <c r="AU485" s="24"/>
      <c r="AV485" s="298">
        <f t="shared" ref="AV485" si="1516">+AP485/H485</f>
        <v>0.85586290090180439</v>
      </c>
      <c r="AW485" s="298"/>
      <c r="AX485" s="24">
        <f t="shared" ref="AX485" si="1517">+AP485/BW485</f>
        <v>61351.487394957985</v>
      </c>
      <c r="AY485" s="308"/>
      <c r="AZ485" s="111"/>
      <c r="BA485" s="65">
        <f t="shared" ref="BA485" si="1518">+BC485-BC484</f>
        <v>777468</v>
      </c>
      <c r="BB485" s="66"/>
      <c r="BC485" s="66">
        <v>510480341</v>
      </c>
      <c r="BD485" s="66"/>
      <c r="BE485" s="66">
        <f t="shared" ref="BE485" si="1519">+D485</f>
        <v>19347</v>
      </c>
      <c r="BF485" s="66"/>
      <c r="BG485" s="144">
        <f t="shared" ref="BG485" si="1520">+BE485/BA485</f>
        <v>2.4884625476546945E-2</v>
      </c>
      <c r="BH485" s="66"/>
      <c r="BI485" s="170"/>
      <c r="BJ485" s="66"/>
      <c r="BK485" s="66">
        <f t="shared" ref="BK485" si="1521">SUM(BA479:BA485)</f>
        <v>3875729</v>
      </c>
      <c r="BL485" s="66"/>
      <c r="BM485" s="144">
        <f t="shared" ref="BM485" si="1522">+Q485/BK485</f>
        <v>2.193884040912045E-2</v>
      </c>
      <c r="BN485" s="65">
        <f t="shared" ref="BN485" si="1523">+BC485/BW485</f>
        <v>1072437.6911764706</v>
      </c>
      <c r="BO485" s="66"/>
      <c r="BP485" s="66">
        <f t="shared" ref="BP485" si="1524">+BP484+BE485</f>
        <v>33214501</v>
      </c>
      <c r="BQ485" s="66"/>
      <c r="BR485" s="435">
        <f t="shared" ref="BR485" si="1525">+BP485/BC485</f>
        <v>6.5065191217618307E-2</v>
      </c>
      <c r="BS485" s="66"/>
      <c r="BT485" s="75"/>
      <c r="BU485" s="170"/>
      <c r="BV485" s="1"/>
      <c r="BW485" s="61">
        <f t="shared" si="1175"/>
        <v>476</v>
      </c>
    </row>
    <row r="486" spans="2:75" x14ac:dyDescent="0.3">
      <c r="B486" s="158">
        <f t="shared" si="424"/>
        <v>44386</v>
      </c>
      <c r="C486" s="61"/>
      <c r="D486" s="17">
        <v>27237</v>
      </c>
      <c r="E486" s="16"/>
      <c r="F486" s="16"/>
      <c r="G486" s="16"/>
      <c r="H486" s="16">
        <f t="shared" ref="H486" si="1526">+H485+D486</f>
        <v>34148716</v>
      </c>
      <c r="I486" s="16"/>
      <c r="J486" s="436">
        <f t="shared" ref="J486" si="1527">+D486/H485</f>
        <v>7.9823620775641051E-4</v>
      </c>
      <c r="K486" s="16"/>
      <c r="L486" s="16"/>
      <c r="M486" s="16"/>
      <c r="N486" s="16">
        <f t="shared" ref="N486" si="1528">SUM(D480:D486)</f>
        <v>93867</v>
      </c>
      <c r="O486" s="16">
        <f t="shared" ref="O486" si="1529">+H486/BW486</f>
        <v>71590.599580712791</v>
      </c>
      <c r="P486" s="41"/>
      <c r="Q486" s="17">
        <f t="shared" ref="Q486" si="1530">SUM(D480:D486)</f>
        <v>93867</v>
      </c>
      <c r="R486" s="16"/>
      <c r="S486" s="60">
        <f t="shared" ref="S486" si="1531">+(Q486-Q479)/Q479</f>
        <v>8.0844253045620984E-2</v>
      </c>
      <c r="T486" s="16"/>
      <c r="U486" s="41"/>
      <c r="V486" s="10">
        <f t="shared" si="349"/>
        <v>378</v>
      </c>
      <c r="W486" s="34">
        <v>366</v>
      </c>
      <c r="X486" s="33">
        <v>4256</v>
      </c>
      <c r="Y486" s="33"/>
      <c r="Z486" s="33">
        <f t="shared" ref="Z486" si="1532">SUM(W481:W486)</f>
        <v>1171</v>
      </c>
      <c r="AA486" s="33">
        <f t="shared" ref="AA486" si="1533">+AA485+W486</f>
        <v>607299</v>
      </c>
      <c r="AB486" s="33"/>
      <c r="AC486" s="46">
        <f t="shared" ref="AC486" si="1534">+AA486/H486</f>
        <v>1.7783948304234923E-2</v>
      </c>
      <c r="AD486" s="33"/>
      <c r="AE486" s="33">
        <f t="shared" ref="AE486" si="1535">+AA486/BW486</f>
        <v>1273.1635220125786</v>
      </c>
      <c r="AF486" s="50"/>
      <c r="AG486" s="33">
        <f t="shared" ref="AG486" si="1536">SUM(W480:W486)</f>
        <v>1267</v>
      </c>
      <c r="AH486" s="33">
        <f t="shared" ref="AH486" si="1537">SUM(D457:D886)</f>
        <v>1117297645.060914</v>
      </c>
      <c r="AI486" s="213">
        <f t="shared" ref="AI486" si="1538">+(AG486-AG479)/AG479</f>
        <v>-0.20762976860537835</v>
      </c>
      <c r="AJ486" s="50"/>
      <c r="AK486" s="111"/>
      <c r="AL486" s="23">
        <f t="shared" ref="AL486" si="1539">+AP486-AP485</f>
        <v>19664</v>
      </c>
      <c r="AM486" s="24"/>
      <c r="AN486" s="24"/>
      <c r="AO486" s="24">
        <v>178263</v>
      </c>
      <c r="AP486" s="24">
        <v>29222972</v>
      </c>
      <c r="AQ486" s="24">
        <v>20336656</v>
      </c>
      <c r="AR486" s="461">
        <f t="shared" ref="AR486" si="1540">+AL486/AP485</f>
        <v>6.7334837546486172E-4</v>
      </c>
      <c r="AS486" s="25"/>
      <c r="AT486" s="25"/>
      <c r="AU486" s="24"/>
      <c r="AV486" s="298">
        <f t="shared" ref="AV486" si="1541">+AP486/H486</f>
        <v>0.8557560992922838</v>
      </c>
      <c r="AW486" s="298"/>
      <c r="AX486" s="24">
        <f t="shared" ref="AX486" si="1542">+AP486/BW486</f>
        <v>61264.092243186584</v>
      </c>
      <c r="AY486" s="308"/>
      <c r="AZ486" s="111"/>
      <c r="BA486" s="65">
        <f t="shared" ref="BA486" si="1543">+BC486-BC485</f>
        <v>947663</v>
      </c>
      <c r="BB486" s="66"/>
      <c r="BC486" s="66">
        <v>511428004</v>
      </c>
      <c r="BD486" s="66"/>
      <c r="BE486" s="66">
        <f t="shared" ref="BE486" si="1544">+D486</f>
        <v>27237</v>
      </c>
      <c r="BF486" s="66"/>
      <c r="BG486" s="144">
        <f t="shared" ref="BG486" si="1545">+BE486/BA486</f>
        <v>2.8741229740952216E-2</v>
      </c>
      <c r="BH486" s="66"/>
      <c r="BI486" s="170"/>
      <c r="BJ486" s="66"/>
      <c r="BK486" s="66">
        <f t="shared" ref="BK486" si="1546">SUM(BA480:BA486)</f>
        <v>4081419</v>
      </c>
      <c r="BL486" s="66"/>
      <c r="BM486" s="144">
        <f t="shared" ref="BM486" si="1547">+Q486/BK486</f>
        <v>2.2998618862704368E-2</v>
      </c>
      <c r="BN486" s="65">
        <f t="shared" ref="BN486" si="1548">+BC486/BW486</f>
        <v>1072176.109014675</v>
      </c>
      <c r="BO486" s="66"/>
      <c r="BP486" s="66">
        <f t="shared" ref="BP486" si="1549">+BP485+BE486</f>
        <v>33241738</v>
      </c>
      <c r="BQ486" s="66"/>
      <c r="BR486" s="435">
        <f t="shared" ref="BR486" si="1550">+BP486/BC486</f>
        <v>6.4997883846814139E-2</v>
      </c>
      <c r="BS486" s="66"/>
      <c r="BT486" s="75"/>
      <c r="BU486" s="170"/>
      <c r="BV486" s="1"/>
      <c r="BW486" s="61">
        <f t="shared" si="1175"/>
        <v>477</v>
      </c>
    </row>
    <row r="487" spans="2:75" x14ac:dyDescent="0.3">
      <c r="B487" s="158">
        <f t="shared" si="424"/>
        <v>44387</v>
      </c>
      <c r="C487" s="61"/>
      <c r="D487" s="17">
        <v>14535</v>
      </c>
      <c r="E487" s="16"/>
      <c r="F487" s="16"/>
      <c r="G487" s="16"/>
      <c r="H487" s="16">
        <f t="shared" ref="H487" si="1551">+H486+D487</f>
        <v>34163251</v>
      </c>
      <c r="I487" s="16"/>
      <c r="J487" s="436">
        <f t="shared" ref="J487" si="1552">+D487/H486</f>
        <v>4.2563825825837784E-4</v>
      </c>
      <c r="K487" s="16"/>
      <c r="L487" s="16"/>
      <c r="M487" s="16"/>
      <c r="N487" s="16">
        <f t="shared" ref="N487" si="1553">SUM(D481:D487)</f>
        <v>100424</v>
      </c>
      <c r="O487" s="16">
        <f t="shared" ref="O487" si="1554">+H487/BW487</f>
        <v>71471.236401673639</v>
      </c>
      <c r="P487" s="41"/>
      <c r="Q487" s="17">
        <f t="shared" ref="Q487" si="1555">SUM(D481:D487)</f>
        <v>100424</v>
      </c>
      <c r="R487" s="16"/>
      <c r="S487" s="60">
        <f t="shared" ref="S487" si="1556">+(Q487-Q480)/Q480</f>
        <v>0.13810376481787892</v>
      </c>
      <c r="T487" s="16"/>
      <c r="U487" s="41"/>
      <c r="V487" s="10">
        <f t="shared" si="349"/>
        <v>379</v>
      </c>
      <c r="W487" s="34">
        <v>118</v>
      </c>
      <c r="X487" s="33">
        <v>4256</v>
      </c>
      <c r="Y487" s="33"/>
      <c r="Z487" s="33">
        <f t="shared" ref="Z487" si="1557">SUM(W482:W487)</f>
        <v>1234</v>
      </c>
      <c r="AA487" s="33">
        <f t="shared" ref="AA487" si="1558">+AA486+W487</f>
        <v>607417</v>
      </c>
      <c r="AB487" s="33"/>
      <c r="AC487" s="46">
        <f t="shared" ref="AC487" si="1559">+AA487/H487</f>
        <v>1.7779835999799903E-2</v>
      </c>
      <c r="AD487" s="33"/>
      <c r="AE487" s="33">
        <f t="shared" ref="AE487" si="1560">+AA487/BW487</f>
        <v>1270.7468619246863</v>
      </c>
      <c r="AF487" s="50"/>
      <c r="AG487" s="33">
        <f t="shared" ref="AG487" si="1561">SUM(W481:W487)</f>
        <v>1289</v>
      </c>
      <c r="AH487" s="33">
        <f t="shared" ref="AH487" si="1562">SUM(D458:D887)</f>
        <v>1117280881.060914</v>
      </c>
      <c r="AI487" s="213">
        <f t="shared" ref="AI487" si="1563">+(AG487-AG480)/AG480</f>
        <v>-0.16623544631306597</v>
      </c>
      <c r="AJ487" s="50"/>
      <c r="AK487" s="111"/>
      <c r="AL487" s="23">
        <f t="shared" ref="AL487" si="1564">+AP487-AP486</f>
        <v>11958</v>
      </c>
      <c r="AM487" s="24"/>
      <c r="AN487" s="24"/>
      <c r="AO487" s="24">
        <v>178263</v>
      </c>
      <c r="AP487" s="24">
        <v>29234930</v>
      </c>
      <c r="AQ487" s="24">
        <v>20336656</v>
      </c>
      <c r="AR487" s="461">
        <f t="shared" ref="AR487" si="1565">+AL487/AP486</f>
        <v>4.091986263409485E-4</v>
      </c>
      <c r="AS487" s="25"/>
      <c r="AT487" s="25"/>
      <c r="AU487" s="24"/>
      <c r="AV487" s="298">
        <f t="shared" ref="AV487" si="1566">+AP487/H487</f>
        <v>0.85574203696246587</v>
      </c>
      <c r="AW487" s="298"/>
      <c r="AX487" s="24">
        <f t="shared" ref="AX487" si="1567">+AP487/BW487</f>
        <v>61160.941422594144</v>
      </c>
      <c r="AY487" s="308"/>
      <c r="AZ487" s="111"/>
      <c r="BA487" s="65">
        <f t="shared" ref="BA487" si="1568">+BC487-BC486</f>
        <v>242661</v>
      </c>
      <c r="BB487" s="66"/>
      <c r="BC487" s="66">
        <v>511670665</v>
      </c>
      <c r="BD487" s="66"/>
      <c r="BE487" s="66">
        <f t="shared" ref="BE487" si="1569">+D487</f>
        <v>14535</v>
      </c>
      <c r="BF487" s="66"/>
      <c r="BG487" s="144">
        <f t="shared" ref="BG487" si="1570">+BE487/BA487</f>
        <v>5.9898376747808672E-2</v>
      </c>
      <c r="BH487" s="66"/>
      <c r="BI487" s="170"/>
      <c r="BJ487" s="66"/>
      <c r="BK487" s="66">
        <f t="shared" ref="BK487" si="1571">SUM(BA481:BA487)</f>
        <v>4068789</v>
      </c>
      <c r="BL487" s="66"/>
      <c r="BM487" s="144">
        <f t="shared" ref="BM487" si="1572">+Q487/BK487</f>
        <v>2.4681545295172594E-2</v>
      </c>
      <c r="BN487" s="65">
        <f t="shared" ref="BN487" si="1573">+BC487/BW487</f>
        <v>1070440.7217573221</v>
      </c>
      <c r="BO487" s="66"/>
      <c r="BP487" s="66">
        <f t="shared" ref="BP487" si="1574">+BP486+BE487</f>
        <v>33256273</v>
      </c>
      <c r="BQ487" s="66"/>
      <c r="BR487" s="435">
        <f t="shared" ref="BR487" si="1575">+BP487/BC487</f>
        <v>6.4995465393741111E-2</v>
      </c>
      <c r="BS487" s="66"/>
      <c r="BT487" s="75"/>
      <c r="BU487" s="170"/>
      <c r="BV487" s="1"/>
      <c r="BW487" s="61">
        <f t="shared" si="1175"/>
        <v>478</v>
      </c>
    </row>
    <row r="488" spans="2:75" x14ac:dyDescent="0.3">
      <c r="B488" s="347">
        <f t="shared" si="424"/>
        <v>44388</v>
      </c>
      <c r="C488" s="61"/>
      <c r="D488" s="17">
        <v>6642</v>
      </c>
      <c r="E488" s="16"/>
      <c r="F488" s="16"/>
      <c r="G488" s="16"/>
      <c r="H488" s="16">
        <f t="shared" ref="H488" si="1576">+H487+D488</f>
        <v>34169893</v>
      </c>
      <c r="I488" s="16"/>
      <c r="J488" s="436">
        <f t="shared" ref="J488" si="1577">+D488/H487</f>
        <v>1.9441943625330037E-4</v>
      </c>
      <c r="K488" s="16"/>
      <c r="L488" s="16"/>
      <c r="M488" s="16"/>
      <c r="N488" s="16">
        <f t="shared" ref="N488" si="1578">SUM(D482:D488)</f>
        <v>101317</v>
      </c>
      <c r="O488" s="16">
        <f t="shared" ref="O488" si="1579">+H488/BW488</f>
        <v>71335.893528183718</v>
      </c>
      <c r="P488" s="41"/>
      <c r="Q488" s="17">
        <f t="shared" ref="Q488" si="1580">SUM(D482:D488)</f>
        <v>101317</v>
      </c>
      <c r="R488" s="16"/>
      <c r="S488" s="60">
        <f t="shared" ref="S488" si="1581">+(Q488-Q481)/Q481</f>
        <v>0.16884899805032244</v>
      </c>
      <c r="T488" s="16"/>
      <c r="U488" s="41"/>
      <c r="V488" s="10">
        <f t="shared" si="349"/>
        <v>380</v>
      </c>
      <c r="W488" s="34">
        <v>27</v>
      </c>
      <c r="X488" s="33">
        <v>4256</v>
      </c>
      <c r="Y488" s="33"/>
      <c r="Z488" s="33">
        <f t="shared" ref="Z488" si="1582">SUM(W483:W488)</f>
        <v>1225</v>
      </c>
      <c r="AA488" s="33">
        <f t="shared" ref="AA488" si="1583">+AA487+W488</f>
        <v>607444</v>
      </c>
      <c r="AB488" s="33"/>
      <c r="AC488" s="46">
        <f t="shared" ref="AC488" si="1584">+AA488/H488</f>
        <v>1.777717009532339E-2</v>
      </c>
      <c r="AD488" s="33"/>
      <c r="AE488" s="33">
        <f t="shared" ref="AE488" si="1585">+AA488/BW488</f>
        <v>1268.1503131524009</v>
      </c>
      <c r="AF488" s="50"/>
      <c r="AG488" s="33">
        <f t="shared" ref="AG488" si="1586">SUM(W482:W488)</f>
        <v>1261</v>
      </c>
      <c r="AH488" s="33">
        <f t="shared" ref="AH488" si="1587">SUM(D459:D888)</f>
        <v>1117264736.060914</v>
      </c>
      <c r="AI488" s="213">
        <f t="shared" ref="AI488" si="1588">+(AG488-AG481)/AG481</f>
        <v>-0.15652173913043479</v>
      </c>
      <c r="AJ488" s="50"/>
      <c r="AK488" s="111"/>
      <c r="AL488" s="23">
        <f t="shared" ref="AL488" si="1589">+AP488-AP487</f>
        <v>9173</v>
      </c>
      <c r="AM488" s="24"/>
      <c r="AN488" s="24"/>
      <c r="AO488" s="24">
        <v>178263</v>
      </c>
      <c r="AP488" s="24">
        <v>29244103</v>
      </c>
      <c r="AQ488" s="24">
        <v>20336656</v>
      </c>
      <c r="AR488" s="461">
        <f t="shared" ref="AR488" si="1590">+AL488/AP487</f>
        <v>3.1376849542653256E-4</v>
      </c>
      <c r="AS488" s="25"/>
      <c r="AT488" s="25"/>
      <c r="AU488" s="24"/>
      <c r="AV488" s="298">
        <f t="shared" ref="AV488" si="1591">+AP488/H488</f>
        <v>0.85584414911688489</v>
      </c>
      <c r="AW488" s="298"/>
      <c r="AX488" s="24">
        <f t="shared" ref="AX488" si="1592">+AP488/BW488</f>
        <v>61052.407098121083</v>
      </c>
      <c r="AY488" s="308"/>
      <c r="AZ488" s="111"/>
      <c r="BA488" s="65">
        <f t="shared" ref="BA488" si="1593">+BC488-BC487</f>
        <v>134862</v>
      </c>
      <c r="BB488" s="66"/>
      <c r="BC488" s="66">
        <v>511805527</v>
      </c>
      <c r="BD488" s="66"/>
      <c r="BE488" s="66">
        <f t="shared" ref="BE488" si="1594">+D488</f>
        <v>6642</v>
      </c>
      <c r="BF488" s="66"/>
      <c r="BG488" s="144">
        <f t="shared" ref="BG488" si="1595">+BE488/BA488</f>
        <v>4.9250344796903503E-2</v>
      </c>
      <c r="BH488" s="66"/>
      <c r="BI488" s="170"/>
      <c r="BJ488" s="66"/>
      <c r="BK488" s="66">
        <f t="shared" ref="BK488" si="1596">SUM(BA482:BA488)</f>
        <v>3720515</v>
      </c>
      <c r="BL488" s="66"/>
      <c r="BM488" s="144">
        <f t="shared" ref="BM488" si="1597">+Q488/BK488</f>
        <v>2.7231982669065975E-2</v>
      </c>
      <c r="BN488" s="65">
        <f t="shared" ref="BN488" si="1598">+BC488/BW488</f>
        <v>1068487.5302713988</v>
      </c>
      <c r="BO488" s="66"/>
      <c r="BP488" s="66">
        <f t="shared" ref="BP488" si="1599">+BP487+BE488</f>
        <v>33262915</v>
      </c>
      <c r="BQ488" s="66"/>
      <c r="BR488" s="435">
        <f t="shared" ref="BR488" si="1600">+BP488/BC488</f>
        <v>6.4991316516204795E-2</v>
      </c>
      <c r="BS488" s="66"/>
      <c r="BT488" s="75"/>
      <c r="BU488" s="170"/>
      <c r="BV488" s="1"/>
      <c r="BW488" s="61">
        <f t="shared" si="1175"/>
        <v>479</v>
      </c>
    </row>
    <row r="489" spans="2:75" x14ac:dyDescent="0.3">
      <c r="B489" s="158">
        <f t="shared" si="424"/>
        <v>44389</v>
      </c>
      <c r="C489" s="61"/>
      <c r="D489" s="17">
        <v>19996</v>
      </c>
      <c r="E489" s="16"/>
      <c r="F489" s="16"/>
      <c r="G489" s="16"/>
      <c r="H489" s="16">
        <f t="shared" ref="H489" si="1601">+H488+D489</f>
        <v>34189889</v>
      </c>
      <c r="I489" s="16"/>
      <c r="J489" s="436">
        <f t="shared" ref="J489" si="1602">+D489/H488</f>
        <v>5.8519352109179853E-4</v>
      </c>
      <c r="K489" s="16"/>
      <c r="L489" s="16"/>
      <c r="M489" s="16"/>
      <c r="N489" s="16">
        <f t="shared" ref="N489" si="1603">SUM(D483:D489)</f>
        <v>116181</v>
      </c>
      <c r="O489" s="16">
        <f t="shared" ref="O489" si="1604">+H489/BW489</f>
        <v>71228.93541666666</v>
      </c>
      <c r="P489" s="41"/>
      <c r="Q489" s="17">
        <f t="shared" ref="Q489" si="1605">SUM(D483:D489)</f>
        <v>116181</v>
      </c>
      <c r="R489" s="16"/>
      <c r="S489" s="60">
        <f t="shared" ref="S489" si="1606">+(Q489-Q482)/Q482</f>
        <v>0.45533689919955905</v>
      </c>
      <c r="T489" s="16"/>
      <c r="U489" s="41"/>
      <c r="V489" s="10">
        <f t="shared" si="349"/>
        <v>381</v>
      </c>
      <c r="W489" s="34">
        <v>163</v>
      </c>
      <c r="X489" s="33">
        <v>4256</v>
      </c>
      <c r="Y489" s="33"/>
      <c r="Z489" s="33">
        <f t="shared" ref="Z489" si="1607">SUM(W484:W489)</f>
        <v>1186</v>
      </c>
      <c r="AA489" s="33">
        <f t="shared" ref="AA489" si="1608">+AA488+W489</f>
        <v>607607</v>
      </c>
      <c r="AB489" s="33"/>
      <c r="AC489" s="46">
        <f t="shared" ref="AC489" si="1609">+AA489/H489</f>
        <v>1.7771540586165695E-2</v>
      </c>
      <c r="AD489" s="33"/>
      <c r="AE489" s="33">
        <f t="shared" ref="AE489" si="1610">+AA489/BW489</f>
        <v>1265.8479166666666</v>
      </c>
      <c r="AF489" s="50"/>
      <c r="AG489" s="33">
        <f t="shared" ref="AG489" si="1611">SUM(W483:W489)</f>
        <v>1388</v>
      </c>
      <c r="AH489" s="33">
        <f t="shared" ref="AH489" si="1612">SUM(D460:D889)</f>
        <v>1117255309.060914</v>
      </c>
      <c r="AI489" s="213">
        <f t="shared" ref="AI489" si="1613">+(AG489-AG482)/AG482</f>
        <v>1.5362106803218726E-2</v>
      </c>
      <c r="AJ489" s="50"/>
      <c r="AK489" s="111"/>
      <c r="AL489" s="23">
        <f t="shared" ref="AL489" si="1614">+AP489-AP488</f>
        <v>37544</v>
      </c>
      <c r="AM489" s="24"/>
      <c r="AN489" s="24"/>
      <c r="AO489" s="24">
        <v>178263</v>
      </c>
      <c r="AP489" s="24">
        <v>29281647</v>
      </c>
      <c r="AQ489" s="24">
        <v>20336656</v>
      </c>
      <c r="AR489" s="461">
        <f t="shared" ref="AR489" si="1615">+AL489/AP488</f>
        <v>1.2838143813130463E-3</v>
      </c>
      <c r="AS489" s="25"/>
      <c r="AT489" s="25"/>
      <c r="AU489" s="24"/>
      <c r="AV489" s="298">
        <f t="shared" ref="AV489" si="1616">+AP489/H489</f>
        <v>0.85644171000379676</v>
      </c>
      <c r="AW489" s="298"/>
      <c r="AX489" s="24">
        <f t="shared" ref="AX489" si="1617">+AP489/BW489</f>
        <v>61003.431250000001</v>
      </c>
      <c r="AY489" s="308"/>
      <c r="AZ489" s="111"/>
      <c r="BA489" s="65">
        <f t="shared" ref="BA489" si="1618">+BC489-BC488</f>
        <v>1358363</v>
      </c>
      <c r="BB489" s="66"/>
      <c r="BC489" s="66">
        <v>513163890</v>
      </c>
      <c r="BD489" s="66"/>
      <c r="BE489" s="66">
        <f t="shared" ref="BE489" si="1619">+D489</f>
        <v>19996</v>
      </c>
      <c r="BF489" s="66"/>
      <c r="BG489" s="144">
        <f t="shared" ref="BG489" si="1620">+BE489/BA489</f>
        <v>1.4720660088650825E-2</v>
      </c>
      <c r="BH489" s="66"/>
      <c r="BI489" s="170"/>
      <c r="BJ489" s="66"/>
      <c r="BK489" s="66">
        <f t="shared" ref="BK489" si="1621">SUM(BA483:BA489)</f>
        <v>4698219</v>
      </c>
      <c r="BL489" s="66"/>
      <c r="BM489" s="144">
        <f t="shared" ref="BM489" si="1622">+Q489/BK489</f>
        <v>2.4728732313244656E-2</v>
      </c>
      <c r="BN489" s="65">
        <f t="shared" ref="BN489" si="1623">+BC489/BW489</f>
        <v>1069091.4375</v>
      </c>
      <c r="BO489" s="66"/>
      <c r="BP489" s="66">
        <f t="shared" ref="BP489" si="1624">+BP488+BE489</f>
        <v>33282911</v>
      </c>
      <c r="BQ489" s="66"/>
      <c r="BR489" s="435">
        <f t="shared" ref="BR489" si="1625">+BP489/BC489</f>
        <v>6.4858248307377978E-2</v>
      </c>
      <c r="BS489" s="66"/>
      <c r="BT489" s="75"/>
      <c r="BU489" s="170"/>
      <c r="BV489" s="1"/>
      <c r="BW489" s="61">
        <f t="shared" si="1175"/>
        <v>480</v>
      </c>
    </row>
    <row r="490" spans="2:75" x14ac:dyDescent="0.3">
      <c r="B490" s="158">
        <f t="shared" si="424"/>
        <v>44390</v>
      </c>
      <c r="C490" s="61"/>
      <c r="D490" s="17">
        <v>39754</v>
      </c>
      <c r="E490" s="16"/>
      <c r="F490" s="16"/>
      <c r="G490" s="16"/>
      <c r="H490" s="16">
        <f t="shared" ref="H490" si="1626">+H489+D490</f>
        <v>34229643</v>
      </c>
      <c r="I490" s="16"/>
      <c r="J490" s="436">
        <f t="shared" ref="J490" si="1627">+D490/H489</f>
        <v>1.1627414174991912E-3</v>
      </c>
      <c r="K490" s="16"/>
      <c r="L490" s="16"/>
      <c r="M490" s="16"/>
      <c r="N490" s="16">
        <f t="shared" ref="N490" si="1628">SUM(D484:D490)</f>
        <v>144323</v>
      </c>
      <c r="O490" s="16">
        <f t="shared" ref="O490" si="1629">+H490/BW490</f>
        <v>71163.498960498953</v>
      </c>
      <c r="P490" s="41"/>
      <c r="Q490" s="17">
        <f t="shared" ref="Q490" si="1630">SUM(D484:D490)</f>
        <v>144323</v>
      </c>
      <c r="R490" s="16"/>
      <c r="S490" s="60">
        <f t="shared" ref="S490" si="1631">+(Q490-Q483)/Q483</f>
        <v>0.80367676464707061</v>
      </c>
      <c r="T490" s="16"/>
      <c r="U490" s="41"/>
      <c r="V490" s="10">
        <f t="shared" si="349"/>
        <v>382</v>
      </c>
      <c r="W490" s="34">
        <v>171</v>
      </c>
      <c r="X490" s="33">
        <v>4256</v>
      </c>
      <c r="Y490" s="33"/>
      <c r="Z490" s="33">
        <f t="shared" ref="Z490" si="1632">SUM(W485:W490)</f>
        <v>1106</v>
      </c>
      <c r="AA490" s="33">
        <f t="shared" ref="AA490" si="1633">+AA489+W490</f>
        <v>607778</v>
      </c>
      <c r="AB490" s="33"/>
      <c r="AC490" s="46">
        <f t="shared" ref="AC490" si="1634">+AA490/H490</f>
        <v>1.7755896548497452E-2</v>
      </c>
      <c r="AD490" s="33"/>
      <c r="AE490" s="33">
        <f t="shared" ref="AE490" si="1635">+AA490/BW490</f>
        <v>1263.5717255717257</v>
      </c>
      <c r="AF490" s="50"/>
      <c r="AG490" s="33">
        <f t="shared" ref="AG490" si="1636">SUM(W484:W490)</f>
        <v>1357</v>
      </c>
      <c r="AH490" s="33">
        <f t="shared" ref="AH490" si="1637">SUM(D461:D890)</f>
        <v>1117250024.060914</v>
      </c>
      <c r="AI490" s="213">
        <f t="shared" ref="AI490" si="1638">+(AG490-AG483)/AG483</f>
        <v>6.431372549019608E-2</v>
      </c>
      <c r="AJ490" s="50"/>
      <c r="AK490" s="111" t="s">
        <v>26</v>
      </c>
      <c r="AL490" s="23">
        <f t="shared" ref="AL490" si="1639">+AP490-AP489</f>
        <v>18353</v>
      </c>
      <c r="AM490" s="24"/>
      <c r="AN490" s="24"/>
      <c r="AO490" s="24">
        <v>178263</v>
      </c>
      <c r="AP490" s="24">
        <v>29300000</v>
      </c>
      <c r="AQ490" s="24">
        <v>20336656</v>
      </c>
      <c r="AR490" s="461">
        <f t="shared" ref="AR490" si="1640">+AL490/AP489</f>
        <v>6.2677485320412473E-4</v>
      </c>
      <c r="AS490" s="25"/>
      <c r="AT490" s="25"/>
      <c r="AU490" s="24"/>
      <c r="AV490" s="298">
        <f t="shared" ref="AV490" si="1641">+AP490/H490</f>
        <v>0.85598321898945895</v>
      </c>
      <c r="AW490" s="298"/>
      <c r="AX490" s="24">
        <f t="shared" ref="AX490" si="1642">+AP490/BW490</f>
        <v>60914.760914760918</v>
      </c>
      <c r="AY490" s="308"/>
      <c r="AZ490" s="111" t="s">
        <v>26</v>
      </c>
      <c r="BA490" s="65">
        <f t="shared" ref="BA490" si="1643">+BC490-BC489</f>
        <v>536110</v>
      </c>
      <c r="BB490" s="66"/>
      <c r="BC490" s="66">
        <v>513700000</v>
      </c>
      <c r="BD490" s="66"/>
      <c r="BE490" s="66">
        <f t="shared" ref="BE490" si="1644">+D490</f>
        <v>39754</v>
      </c>
      <c r="BF490" s="66"/>
      <c r="BG490" s="144">
        <f t="shared" ref="BG490" si="1645">+BE490/BA490</f>
        <v>7.4152692544440513E-2</v>
      </c>
      <c r="BH490" s="66"/>
      <c r="BI490" s="170"/>
      <c r="BJ490" s="66"/>
      <c r="BK490" s="66">
        <f t="shared" ref="BK490" si="1646">SUM(BA484:BA490)</f>
        <v>4483397</v>
      </c>
      <c r="BL490" s="66"/>
      <c r="BM490" s="144">
        <f t="shared" ref="BM490" si="1647">+Q490/BK490</f>
        <v>3.2190546587777077E-2</v>
      </c>
      <c r="BN490" s="65">
        <f t="shared" ref="BN490" si="1648">+BC490/BW490</f>
        <v>1067983.367983368</v>
      </c>
      <c r="BO490" s="66"/>
      <c r="BP490" s="66">
        <f t="shared" ref="BP490" si="1649">+BP489+BE490</f>
        <v>33322665</v>
      </c>
      <c r="BQ490" s="66"/>
      <c r="BR490" s="435">
        <f t="shared" ref="BR490" si="1650">+BP490/BC490</f>
        <v>6.4867948218804747E-2</v>
      </c>
      <c r="BS490" s="66"/>
      <c r="BT490" s="75"/>
      <c r="BU490" s="170"/>
      <c r="BV490" s="1"/>
      <c r="BW490" s="61">
        <f t="shared" si="1175"/>
        <v>481</v>
      </c>
    </row>
    <row r="491" spans="2:75" x14ac:dyDescent="0.3">
      <c r="B491" s="158">
        <f t="shared" si="424"/>
        <v>44391</v>
      </c>
      <c r="C491" s="61"/>
      <c r="D491" s="17">
        <v>35447</v>
      </c>
      <c r="E491" s="16"/>
      <c r="F491" s="16"/>
      <c r="G491" s="16"/>
      <c r="H491" s="16">
        <f t="shared" ref="H491" si="1651">+H490+D491</f>
        <v>34265090</v>
      </c>
      <c r="I491" s="16"/>
      <c r="J491" s="436">
        <f t="shared" ref="J491" si="1652">+D491/H490</f>
        <v>1.0355644083112406E-3</v>
      </c>
      <c r="K491" s="16"/>
      <c r="L491" s="16"/>
      <c r="M491" s="16"/>
      <c r="N491" s="16">
        <f t="shared" ref="N491" si="1653">SUM(D485:D491)</f>
        <v>162958</v>
      </c>
      <c r="O491" s="16">
        <f t="shared" ref="O491" si="1654">+H491/BW491</f>
        <v>71089.398340248968</v>
      </c>
      <c r="P491" s="41"/>
      <c r="Q491" s="17">
        <f t="shared" ref="Q491" si="1655">SUM(D485:D491)</f>
        <v>162958</v>
      </c>
      <c r="R491" s="16"/>
      <c r="S491" s="60">
        <f t="shared" ref="S491" si="1656">+(Q491-Q484)/Q484</f>
        <v>0.97211700209364527</v>
      </c>
      <c r="T491" s="16"/>
      <c r="U491" s="41"/>
      <c r="V491" s="10">
        <f t="shared" si="349"/>
        <v>383</v>
      </c>
      <c r="W491" s="34">
        <v>347</v>
      </c>
      <c r="X491" s="33">
        <v>4256</v>
      </c>
      <c r="Y491" s="33"/>
      <c r="Z491" s="33">
        <f t="shared" ref="Z491" si="1657">SUM(W486:W491)</f>
        <v>1192</v>
      </c>
      <c r="AA491" s="33">
        <f t="shared" ref="AA491" si="1658">+AA490+W491</f>
        <v>608125</v>
      </c>
      <c r="AB491" s="33"/>
      <c r="AC491" s="46">
        <f t="shared" ref="AC491" si="1659">+AA491/H491</f>
        <v>1.7747655120707403E-2</v>
      </c>
      <c r="AD491" s="33"/>
      <c r="AE491" s="33">
        <f t="shared" ref="AE491" si="1660">+AA491/BW491</f>
        <v>1261.6701244813278</v>
      </c>
      <c r="AF491" s="50"/>
      <c r="AG491" s="33">
        <f t="shared" ref="AG491" si="1661">SUM(W485:W491)</f>
        <v>1453</v>
      </c>
      <c r="AH491" s="33">
        <f t="shared" ref="AH491" si="1662">SUM(D462:D891)</f>
        <v>1117238503.060914</v>
      </c>
      <c r="AI491" s="213">
        <f t="shared" ref="AI491" si="1663">+(AG491-AG484)/AG484</f>
        <v>0.13782302270947533</v>
      </c>
      <c r="AJ491" s="50"/>
      <c r="AK491" s="111"/>
      <c r="AL491" s="23">
        <f t="shared" ref="AL491" si="1664">+AP491-AP490</f>
        <v>24300</v>
      </c>
      <c r="AM491" s="24"/>
      <c r="AN491" s="24"/>
      <c r="AO491" s="24">
        <v>178263</v>
      </c>
      <c r="AP491" s="24">
        <v>29324300</v>
      </c>
      <c r="AQ491" s="24">
        <v>20336656</v>
      </c>
      <c r="AR491" s="461">
        <f t="shared" ref="AR491" si="1665">+AL491/AP490</f>
        <v>8.2935153583617749E-4</v>
      </c>
      <c r="AS491" s="25"/>
      <c r="AT491" s="25"/>
      <c r="AU491" s="24"/>
      <c r="AV491" s="298">
        <f t="shared" ref="AV491" si="1666">+AP491/H491</f>
        <v>0.85580688683438455</v>
      </c>
      <c r="AW491" s="298"/>
      <c r="AX491" s="24">
        <f t="shared" ref="AX491" si="1667">+AP491/BW491</f>
        <v>60838.796680497922</v>
      </c>
      <c r="AY491" s="308"/>
      <c r="AZ491" s="111"/>
      <c r="BA491" s="65">
        <f t="shared" ref="BA491" si="1668">+BC491-BC490</f>
        <v>874420</v>
      </c>
      <c r="BB491" s="66"/>
      <c r="BC491" s="66">
        <v>514574420</v>
      </c>
      <c r="BD491" s="66"/>
      <c r="BE491" s="66">
        <f t="shared" ref="BE491" si="1669">+D491</f>
        <v>35447</v>
      </c>
      <c r="BF491" s="66"/>
      <c r="BG491" s="144">
        <f t="shared" ref="BG491" si="1670">+BE491/BA491</f>
        <v>4.0537727865327874E-2</v>
      </c>
      <c r="BH491" s="66"/>
      <c r="BI491" s="170"/>
      <c r="BJ491" s="66"/>
      <c r="BK491" s="66">
        <f t="shared" ref="BK491" si="1671">SUM(BA485:BA491)</f>
        <v>4871547</v>
      </c>
      <c r="BL491" s="66"/>
      <c r="BM491" s="144">
        <f t="shared" ref="BM491" si="1672">+Q491/BK491</f>
        <v>3.3450975634639266E-2</v>
      </c>
      <c r="BN491" s="65">
        <f t="shared" ref="BN491" si="1673">+BC491/BW491</f>
        <v>1067581.7842323652</v>
      </c>
      <c r="BO491" s="66"/>
      <c r="BP491" s="66">
        <f t="shared" ref="BP491" si="1674">+BP490+BE491</f>
        <v>33358112</v>
      </c>
      <c r="BQ491" s="66"/>
      <c r="BR491" s="435">
        <f t="shared" ref="BR491" si="1675">+BP491/BC491</f>
        <v>6.4826603700976815E-2</v>
      </c>
      <c r="BS491" s="66"/>
      <c r="BT491" s="75"/>
      <c r="BU491" s="170"/>
      <c r="BV491" s="1"/>
      <c r="BW491" s="61">
        <f t="shared" si="1175"/>
        <v>482</v>
      </c>
    </row>
    <row r="492" spans="2:75" x14ac:dyDescent="0.3">
      <c r="B492" s="158">
        <f t="shared" si="424"/>
        <v>44392</v>
      </c>
      <c r="C492" s="61"/>
      <c r="D492" s="17">
        <v>36674</v>
      </c>
      <c r="E492" s="16"/>
      <c r="F492" s="16"/>
      <c r="G492" s="16"/>
      <c r="H492" s="16">
        <f t="shared" ref="H492" si="1676">+H491+D492</f>
        <v>34301764</v>
      </c>
      <c r="I492" s="16"/>
      <c r="J492" s="436">
        <f t="shared" ref="J492" si="1677">+D492/H491</f>
        <v>1.0703021646813126E-3</v>
      </c>
      <c r="K492" s="16"/>
      <c r="L492" s="16"/>
      <c r="M492" s="16"/>
      <c r="N492" s="16">
        <f t="shared" ref="N492" si="1678">SUM(D486:D492)</f>
        <v>180285</v>
      </c>
      <c r="O492" s="16">
        <f t="shared" ref="O492" si="1679">+H492/BW492</f>
        <v>71018.144927536225</v>
      </c>
      <c r="P492" s="41"/>
      <c r="Q492" s="17">
        <f t="shared" ref="Q492" si="1680">SUM(D486:D492)</f>
        <v>180285</v>
      </c>
      <c r="R492" s="16"/>
      <c r="S492" s="60">
        <f t="shared" ref="S492" si="1681">+(Q492-Q485)/Q485</f>
        <v>1.1202766115090146</v>
      </c>
      <c r="T492" s="16"/>
      <c r="U492" s="41"/>
      <c r="V492" s="10">
        <f t="shared" si="349"/>
        <v>384</v>
      </c>
      <c r="W492" s="34">
        <v>344</v>
      </c>
      <c r="X492" s="33">
        <v>4256</v>
      </c>
      <c r="Y492" s="33"/>
      <c r="Z492" s="33">
        <f t="shared" ref="Z492" si="1682">SUM(W487:W492)</f>
        <v>1170</v>
      </c>
      <c r="AA492" s="33">
        <f t="shared" ref="AA492" si="1683">+AA491+W492</f>
        <v>608469</v>
      </c>
      <c r="AB492" s="33"/>
      <c r="AC492" s="46">
        <f t="shared" ref="AC492" si="1684">+AA492/H492</f>
        <v>1.7738708714805453E-2</v>
      </c>
      <c r="AD492" s="33"/>
      <c r="AE492" s="33">
        <f t="shared" ref="AE492" si="1685">+AA492/BW492</f>
        <v>1259.7701863354037</v>
      </c>
      <c r="AF492" s="50"/>
      <c r="AG492" s="33">
        <f t="shared" ref="AG492" si="1686">SUM(W486:W492)</f>
        <v>1536</v>
      </c>
      <c r="AH492" s="33">
        <f t="shared" ref="AH492" si="1687">SUM(D463:D892)</f>
        <v>1117225923.060914</v>
      </c>
      <c r="AI492" s="213">
        <f t="shared" ref="AI492" si="1688">+(AG492-AG485)/AG485</f>
        <v>0.25592804578904332</v>
      </c>
      <c r="AJ492" s="50"/>
      <c r="AK492" s="111"/>
      <c r="AL492" s="23">
        <f t="shared" ref="AL492" si="1689">+AP492-AP491</f>
        <v>17613</v>
      </c>
      <c r="AM492" s="24"/>
      <c r="AN492" s="24"/>
      <c r="AO492" s="24">
        <v>178263</v>
      </c>
      <c r="AP492" s="24">
        <v>29341913</v>
      </c>
      <c r="AQ492" s="24">
        <v>20336656</v>
      </c>
      <c r="AR492" s="461">
        <f t="shared" ref="AR492" si="1690">+AL492/AP491</f>
        <v>6.006281479864822E-4</v>
      </c>
      <c r="AS492" s="25"/>
      <c r="AT492" s="25"/>
      <c r="AU492" s="24"/>
      <c r="AV492" s="298">
        <f t="shared" ref="AV492" si="1691">+AP492/H492</f>
        <v>0.85540536632460074</v>
      </c>
      <c r="AW492" s="298"/>
      <c r="AX492" s="24">
        <f t="shared" ref="AX492" si="1692">+AP492/BW492</f>
        <v>60749.302277432711</v>
      </c>
      <c r="AY492" s="308"/>
      <c r="AZ492" s="111"/>
      <c r="BA492" s="65">
        <f t="shared" ref="BA492" si="1693">+BC492-BC491</f>
        <v>637606</v>
      </c>
      <c r="BB492" s="66"/>
      <c r="BC492" s="66">
        <v>515212026</v>
      </c>
      <c r="BD492" s="66"/>
      <c r="BE492" s="66">
        <f t="shared" ref="BE492" si="1694">+D492</f>
        <v>36674</v>
      </c>
      <c r="BF492" s="66"/>
      <c r="BG492" s="144">
        <f t="shared" ref="BG492" si="1695">+BE492/BA492</f>
        <v>5.7518279313557276E-2</v>
      </c>
      <c r="BH492" s="66"/>
      <c r="BI492" s="170"/>
      <c r="BJ492" s="66"/>
      <c r="BK492" s="66">
        <f t="shared" ref="BK492" si="1696">SUM(BA486:BA492)</f>
        <v>4731685</v>
      </c>
      <c r="BL492" s="66"/>
      <c r="BM492" s="144">
        <f t="shared" ref="BM492" si="1697">+Q492/BK492</f>
        <v>3.810164877839501E-2</v>
      </c>
      <c r="BN492" s="65">
        <f t="shared" ref="BN492" si="1698">+BC492/BW492</f>
        <v>1066691.5652173914</v>
      </c>
      <c r="BO492" s="66"/>
      <c r="BP492" s="66">
        <f t="shared" ref="BP492" si="1699">+BP491+BE492</f>
        <v>33394786</v>
      </c>
      <c r="BQ492" s="66"/>
      <c r="BR492" s="435">
        <f t="shared" ref="BR492" si="1700">+BP492/BC492</f>
        <v>6.4817559208138517E-2</v>
      </c>
      <c r="BS492" s="66"/>
      <c r="BT492" s="75"/>
      <c r="BU492" s="170"/>
      <c r="BV492" s="1"/>
      <c r="BW492" s="61">
        <f t="shared" si="1175"/>
        <v>483</v>
      </c>
    </row>
    <row r="493" spans="2:75" x14ac:dyDescent="0.3">
      <c r="B493" s="158">
        <f t="shared" si="424"/>
        <v>44393</v>
      </c>
      <c r="C493" s="61"/>
      <c r="D493" s="17">
        <v>40529</v>
      </c>
      <c r="E493" s="16"/>
      <c r="F493" s="16"/>
      <c r="G493" s="16"/>
      <c r="H493" s="16">
        <f t="shared" ref="H493" si="1701">+H492+D493</f>
        <v>34342293</v>
      </c>
      <c r="I493" s="16"/>
      <c r="J493" s="436">
        <f t="shared" ref="J493" si="1702">+D493/H492</f>
        <v>1.1815427334874089E-3</v>
      </c>
      <c r="K493" s="16"/>
      <c r="L493" s="16"/>
      <c r="M493" s="16"/>
      <c r="N493" s="16">
        <f t="shared" ref="N493" si="1703">SUM(D487:D493)</f>
        <v>193577</v>
      </c>
      <c r="O493" s="16">
        <f t="shared" ref="O493" si="1704">+H493/BW493</f>
        <v>70955.150826446275</v>
      </c>
      <c r="P493" s="41"/>
      <c r="Q493" s="17">
        <f t="shared" ref="Q493" si="1705">SUM(D487:D493)</f>
        <v>193577</v>
      </c>
      <c r="R493" s="16"/>
      <c r="S493" s="60">
        <f t="shared" ref="S493" si="1706">+(Q493-Q486)/Q486</f>
        <v>1.0622476482682945</v>
      </c>
      <c r="T493" s="16"/>
      <c r="U493" s="41"/>
      <c r="V493" s="10">
        <f t="shared" si="349"/>
        <v>385</v>
      </c>
      <c r="W493" s="34">
        <v>293</v>
      </c>
      <c r="X493" s="33">
        <v>4256</v>
      </c>
      <c r="Y493" s="33"/>
      <c r="Z493" s="33">
        <f t="shared" ref="Z493" si="1707">SUM(W488:W493)</f>
        <v>1345</v>
      </c>
      <c r="AA493" s="33">
        <f t="shared" ref="AA493" si="1708">+AA492+W493</f>
        <v>608762</v>
      </c>
      <c r="AB493" s="33"/>
      <c r="AC493" s="46">
        <f t="shared" ref="AC493" si="1709">+AA493/H493</f>
        <v>1.7726306161327084E-2</v>
      </c>
      <c r="AD493" s="33"/>
      <c r="AE493" s="33">
        <f t="shared" ref="AE493" si="1710">+AA493/BW493</f>
        <v>1257.7727272727273</v>
      </c>
      <c r="AF493" s="50"/>
      <c r="AG493" s="33">
        <f t="shared" ref="AG493" si="1711">SUM(W487:W493)</f>
        <v>1463</v>
      </c>
      <c r="AH493" s="33">
        <f t="shared" ref="AH493" si="1712">SUM(D464:D893)</f>
        <v>1117211860.060914</v>
      </c>
      <c r="AI493" s="213">
        <f t="shared" ref="AI493" si="1713">+(AG493-AG486)/AG486</f>
        <v>0.15469613259668508</v>
      </c>
      <c r="AJ493" s="50"/>
      <c r="AK493" s="111"/>
      <c r="AL493" s="23">
        <f t="shared" ref="AL493" si="1714">+AP493-AP492</f>
        <v>16618</v>
      </c>
      <c r="AM493" s="24"/>
      <c r="AN493" s="24"/>
      <c r="AO493" s="24">
        <v>178263</v>
      </c>
      <c r="AP493" s="24">
        <v>29358531</v>
      </c>
      <c r="AQ493" s="24">
        <v>20336656</v>
      </c>
      <c r="AR493" s="461">
        <f t="shared" ref="AR493" si="1715">+AL493/AP492</f>
        <v>5.6635707426438075E-4</v>
      </c>
      <c r="AS493" s="25"/>
      <c r="AT493" s="25"/>
      <c r="AU493" s="24"/>
      <c r="AV493" s="298">
        <f t="shared" ref="AV493" si="1716">+AP493/H493</f>
        <v>0.85487975424355034</v>
      </c>
      <c r="AW493" s="298"/>
      <c r="AX493" s="24">
        <f t="shared" ref="AX493" si="1717">+AP493/BW493</f>
        <v>60658.121900826445</v>
      </c>
      <c r="AY493" s="308"/>
      <c r="AZ493" s="111"/>
      <c r="BA493" s="65">
        <f t="shared" ref="BA493" si="1718">+BC493-BC492</f>
        <v>852776</v>
      </c>
      <c r="BB493" s="66"/>
      <c r="BC493" s="66">
        <v>516064802</v>
      </c>
      <c r="BD493" s="66"/>
      <c r="BE493" s="66">
        <f t="shared" ref="BE493" si="1719">+D493</f>
        <v>40529</v>
      </c>
      <c r="BF493" s="66"/>
      <c r="BG493" s="144">
        <f t="shared" ref="BG493" si="1720">+BE493/BA493</f>
        <v>4.7525962269107012E-2</v>
      </c>
      <c r="BH493" s="66"/>
      <c r="BI493" s="170"/>
      <c r="BJ493" s="66"/>
      <c r="BK493" s="66">
        <f t="shared" ref="BK493" si="1721">SUM(BA487:BA493)</f>
        <v>4636798</v>
      </c>
      <c r="BL493" s="66"/>
      <c r="BM493" s="144">
        <f t="shared" ref="BM493" si="1722">+Q493/BK493</f>
        <v>4.1747990747062952E-2</v>
      </c>
      <c r="BN493" s="65">
        <f t="shared" ref="BN493" si="1723">+BC493/BW493</f>
        <v>1066249.5909090908</v>
      </c>
      <c r="BO493" s="66"/>
      <c r="BP493" s="66">
        <f t="shared" ref="BP493" si="1724">+BP492+BE493</f>
        <v>33435315</v>
      </c>
      <c r="BQ493" s="66"/>
      <c r="BR493" s="435">
        <f t="shared" ref="BR493" si="1725">+BP493/BC493</f>
        <v>6.478898555069447E-2</v>
      </c>
      <c r="BS493" s="66"/>
      <c r="BT493" s="75"/>
      <c r="BU493" s="170"/>
      <c r="BV493" s="1"/>
      <c r="BW493" s="61">
        <f t="shared" si="1175"/>
        <v>484</v>
      </c>
    </row>
    <row r="494" spans="2:75" x14ac:dyDescent="0.3">
      <c r="B494" s="158">
        <f t="shared" si="424"/>
        <v>44394</v>
      </c>
      <c r="C494" s="61"/>
      <c r="D494" s="17">
        <v>24081</v>
      </c>
      <c r="E494" s="16"/>
      <c r="F494" s="16"/>
      <c r="G494" s="16"/>
      <c r="H494" s="16">
        <f t="shared" ref="H494" si="1726">+H493+D494</f>
        <v>34366374</v>
      </c>
      <c r="I494" s="16"/>
      <c r="J494" s="436">
        <f t="shared" ref="J494" si="1727">+D494/H493</f>
        <v>7.0120536214631911E-4</v>
      </c>
      <c r="K494" s="16"/>
      <c r="L494" s="16"/>
      <c r="M494" s="16"/>
      <c r="N494" s="16">
        <f t="shared" ref="N494" si="1728">SUM(D488:D494)</f>
        <v>203123</v>
      </c>
      <c r="O494" s="16">
        <f t="shared" ref="O494" si="1729">+H494/BW494</f>
        <v>70858.503092783503</v>
      </c>
      <c r="P494" s="41"/>
      <c r="Q494" s="17">
        <f t="shared" ref="Q494" si="1730">SUM(D488:D494)</f>
        <v>203123</v>
      </c>
      <c r="R494" s="16"/>
      <c r="S494" s="60">
        <f t="shared" ref="S494" si="1731">+(Q494-Q487)/Q487</f>
        <v>1.0226539472636023</v>
      </c>
      <c r="T494" s="16"/>
      <c r="U494" s="41"/>
      <c r="V494" s="10">
        <f t="shared" si="349"/>
        <v>386</v>
      </c>
      <c r="W494" s="34">
        <v>113</v>
      </c>
      <c r="X494" s="33">
        <v>4256</v>
      </c>
      <c r="Y494" s="33"/>
      <c r="Z494" s="33">
        <f t="shared" ref="Z494" si="1732">SUM(W489:W494)</f>
        <v>1431</v>
      </c>
      <c r="AA494" s="33">
        <f t="shared" ref="AA494" si="1733">+AA493+W494</f>
        <v>608875</v>
      </c>
      <c r="AB494" s="33"/>
      <c r="AC494" s="46">
        <f t="shared" ref="AC494" si="1734">+AA494/H494</f>
        <v>1.7717173187954016E-2</v>
      </c>
      <c r="AD494" s="33"/>
      <c r="AE494" s="33">
        <f t="shared" ref="AE494" si="1735">+AA494/BW494</f>
        <v>1255.4123711340205</v>
      </c>
      <c r="AF494" s="50"/>
      <c r="AG494" s="33">
        <f t="shared" ref="AG494" si="1736">SUM(W488:W494)</f>
        <v>1458</v>
      </c>
      <c r="AH494" s="33">
        <f t="shared" ref="AH494" si="1737">SUM(D465:D894)</f>
        <v>1117198127.060914</v>
      </c>
      <c r="AI494" s="213">
        <f t="shared" ref="AI494" si="1738">+(AG494-AG487)/AG487</f>
        <v>0.13110938712179984</v>
      </c>
      <c r="AJ494" s="50"/>
      <c r="AK494" s="111"/>
      <c r="AL494" s="23">
        <f t="shared" ref="AL494" si="1739">+AP494-AP493</f>
        <v>10650</v>
      </c>
      <c r="AM494" s="24"/>
      <c r="AN494" s="24"/>
      <c r="AO494" s="24">
        <v>178263</v>
      </c>
      <c r="AP494" s="24">
        <v>29369181</v>
      </c>
      <c r="AQ494" s="24">
        <v>20336656</v>
      </c>
      <c r="AR494" s="461">
        <f t="shared" ref="AR494" si="1740">+AL494/AP493</f>
        <v>3.6275656980248774E-4</v>
      </c>
      <c r="AS494" s="25"/>
      <c r="AT494" s="25"/>
      <c r="AU494" s="24"/>
      <c r="AV494" s="298">
        <f t="shared" ref="AV494" si="1741">+AP494/H494</f>
        <v>0.8545906239628307</v>
      </c>
      <c r="AW494" s="298"/>
      <c r="AX494" s="24">
        <f t="shared" ref="AX494" si="1742">+AP494/BW494</f>
        <v>60555.01237113402</v>
      </c>
      <c r="AY494" s="308"/>
      <c r="AZ494" s="111"/>
      <c r="BA494" s="65">
        <f t="shared" ref="BA494" si="1743">+BC494-BC493</f>
        <v>212860</v>
      </c>
      <c r="BB494" s="66"/>
      <c r="BC494" s="66">
        <v>516277662</v>
      </c>
      <c r="BD494" s="66"/>
      <c r="BE494" s="66">
        <f t="shared" ref="BE494" si="1744">+D494</f>
        <v>24081</v>
      </c>
      <c r="BF494" s="66"/>
      <c r="BG494" s="144">
        <f t="shared" ref="BG494" si="1745">+BE494/BA494</f>
        <v>0.11313069623226533</v>
      </c>
      <c r="BH494" s="66"/>
      <c r="BI494" s="170"/>
      <c r="BJ494" s="66"/>
      <c r="BK494" s="66">
        <f t="shared" ref="BK494" si="1746">SUM(BA488:BA494)</f>
        <v>4606997</v>
      </c>
      <c r="BL494" s="66"/>
      <c r="BM494" s="144">
        <f t="shared" ref="BM494" si="1747">+Q494/BK494</f>
        <v>4.409010902329652E-2</v>
      </c>
      <c r="BN494" s="65">
        <f t="shared" ref="BN494" si="1748">+BC494/BW494</f>
        <v>1064490.024742268</v>
      </c>
      <c r="BO494" s="66"/>
      <c r="BP494" s="66">
        <f t="shared" ref="BP494" si="1749">+BP493+BE494</f>
        <v>33459396</v>
      </c>
      <c r="BQ494" s="66"/>
      <c r="BR494" s="435">
        <f t="shared" ref="BR494" si="1750">+BP494/BC494</f>
        <v>6.480891671815156E-2</v>
      </c>
      <c r="BS494" s="66"/>
      <c r="BT494" s="75"/>
      <c r="BU494" s="170"/>
      <c r="BV494" s="1"/>
      <c r="BW494" s="61">
        <f t="shared" si="1175"/>
        <v>485</v>
      </c>
    </row>
    <row r="495" spans="2:75" x14ac:dyDescent="0.3">
      <c r="B495" s="347">
        <f t="shared" si="424"/>
        <v>44395</v>
      </c>
      <c r="C495" s="61"/>
      <c r="D495" s="17">
        <v>22278</v>
      </c>
      <c r="E495" s="16"/>
      <c r="F495" s="16"/>
      <c r="G495" s="16"/>
      <c r="H495" s="16">
        <f t="shared" ref="H495" si="1751">+H494+D495</f>
        <v>34388652</v>
      </c>
      <c r="I495" s="16"/>
      <c r="J495" s="436">
        <f t="shared" ref="J495" si="1752">+D495/H494</f>
        <v>6.4824994338943064E-4</v>
      </c>
      <c r="K495" s="16"/>
      <c r="L495" s="16"/>
      <c r="M495" s="16"/>
      <c r="N495" s="16">
        <f t="shared" ref="N495" si="1753">SUM(D489:D495)</f>
        <v>218759</v>
      </c>
      <c r="O495" s="16">
        <f t="shared" ref="O495" si="1754">+H495/BW495</f>
        <v>70758.543209876545</v>
      </c>
      <c r="P495" s="41"/>
      <c r="Q495" s="17">
        <f t="shared" ref="Q495" si="1755">SUM(D489:D495)</f>
        <v>218759</v>
      </c>
      <c r="R495" s="16"/>
      <c r="S495" s="60">
        <f t="shared" ref="S495" si="1756">+(Q495-Q488)/Q488</f>
        <v>1.1591539425762705</v>
      </c>
      <c r="T495" s="16"/>
      <c r="U495" s="41"/>
      <c r="V495" s="10">
        <f t="shared" si="349"/>
        <v>387</v>
      </c>
      <c r="W495" s="34">
        <v>82</v>
      </c>
      <c r="X495" s="33">
        <v>4256</v>
      </c>
      <c r="Y495" s="33"/>
      <c r="Z495" s="33">
        <f t="shared" ref="Z495" si="1757">SUM(W490:W495)</f>
        <v>1350</v>
      </c>
      <c r="AA495" s="33">
        <f t="shared" ref="AA495" si="1758">+AA494+W495</f>
        <v>608957</v>
      </c>
      <c r="AB495" s="33"/>
      <c r="AC495" s="46">
        <f t="shared" ref="AC495" si="1759">+AA495/H495</f>
        <v>1.7708079979407161E-2</v>
      </c>
      <c r="AD495" s="33"/>
      <c r="AE495" s="33">
        <f t="shared" ref="AE495" si="1760">+AA495/BW495</f>
        <v>1252.9979423868313</v>
      </c>
      <c r="AF495" s="50"/>
      <c r="AG495" s="33">
        <f t="shared" ref="AG495" si="1761">SUM(W489:W495)</f>
        <v>1513</v>
      </c>
      <c r="AH495" s="33">
        <f t="shared" ref="AH495" si="1762">SUM(D466:D895)</f>
        <v>1117184738.060914</v>
      </c>
      <c r="AI495" s="213">
        <f t="shared" ref="AI495" si="1763">+(AG495-AG488)/AG488</f>
        <v>0.19984139571768439</v>
      </c>
      <c r="AJ495" s="50"/>
      <c r="AK495" s="111"/>
      <c r="AL495" s="23">
        <f t="shared" ref="AL495" si="1764">+AP495-AP494</f>
        <v>11352</v>
      </c>
      <c r="AM495" s="24"/>
      <c r="AN495" s="24"/>
      <c r="AO495" s="24">
        <v>178263</v>
      </c>
      <c r="AP495" s="24">
        <v>29380533</v>
      </c>
      <c r="AQ495" s="24">
        <v>20336656</v>
      </c>
      <c r="AR495" s="461">
        <f t="shared" ref="AR495" si="1765">+AL495/AP494</f>
        <v>3.8652763248658519E-4</v>
      </c>
      <c r="AS495" s="25"/>
      <c r="AT495" s="25"/>
      <c r="AU495" s="24"/>
      <c r="AV495" s="298">
        <f t="shared" ref="AV495" si="1766">+AP495/H495</f>
        <v>0.85436710342702582</v>
      </c>
      <c r="AW495" s="298"/>
      <c r="AX495" s="24">
        <f t="shared" ref="AX495" si="1767">+AP495/BW495</f>
        <v>60453.771604938273</v>
      </c>
      <c r="AY495" s="308"/>
      <c r="AZ495" s="111"/>
      <c r="BA495" s="65">
        <f t="shared" ref="BA495" si="1768">+BC495-BC494</f>
        <v>1092874</v>
      </c>
      <c r="BB495" s="66"/>
      <c r="BC495" s="66">
        <v>517370536</v>
      </c>
      <c r="BD495" s="66"/>
      <c r="BE495" s="66">
        <f t="shared" ref="BE495" si="1769">+D495</f>
        <v>22278</v>
      </c>
      <c r="BF495" s="66"/>
      <c r="BG495" s="144">
        <f t="shared" ref="BG495" si="1770">+BE495/BA495</f>
        <v>2.0384783607259392E-2</v>
      </c>
      <c r="BH495" s="66"/>
      <c r="BI495" s="170"/>
      <c r="BJ495" s="66"/>
      <c r="BK495" s="66">
        <f t="shared" ref="BK495" si="1771">SUM(BA489:BA495)</f>
        <v>5565009</v>
      </c>
      <c r="BL495" s="66"/>
      <c r="BM495" s="144">
        <f t="shared" ref="BM495" si="1772">+Q495/BK495</f>
        <v>3.9309729777615814E-2</v>
      </c>
      <c r="BN495" s="65">
        <f t="shared" ref="BN495" si="1773">+BC495/BW495</f>
        <v>1064548.4279835392</v>
      </c>
      <c r="BO495" s="66"/>
      <c r="BP495" s="66">
        <f t="shared" ref="BP495" si="1774">+BP494+BE495</f>
        <v>33481674</v>
      </c>
      <c r="BQ495" s="66"/>
      <c r="BR495" s="435">
        <f t="shared" ref="BR495" si="1775">+BP495/BC495</f>
        <v>6.4715076855478296E-2</v>
      </c>
      <c r="BS495" s="66"/>
      <c r="BT495" s="75"/>
      <c r="BU495" s="170"/>
      <c r="BV495" s="1"/>
      <c r="BW495" s="61">
        <f t="shared" si="1175"/>
        <v>486</v>
      </c>
    </row>
    <row r="496" spans="2:75" x14ac:dyDescent="0.3">
      <c r="B496" s="158">
        <f t="shared" si="424"/>
        <v>44396</v>
      </c>
      <c r="C496" s="61"/>
      <c r="D496" s="17">
        <v>32576</v>
      </c>
      <c r="E496" s="16"/>
      <c r="F496" s="16"/>
      <c r="G496" s="16"/>
      <c r="H496" s="16">
        <f t="shared" ref="H496" si="1776">+H495+D496</f>
        <v>34421228</v>
      </c>
      <c r="I496" s="16"/>
      <c r="J496" s="436">
        <f t="shared" ref="J496" si="1777">+D496/H495</f>
        <v>9.4728923948516502E-4</v>
      </c>
      <c r="K496" s="16"/>
      <c r="L496" s="16"/>
      <c r="M496" s="16"/>
      <c r="N496" s="16">
        <f t="shared" ref="N496" si="1778">SUM(D490:D496)</f>
        <v>231339</v>
      </c>
      <c r="O496" s="16">
        <f t="shared" ref="O496" si="1779">+H496/BW496</f>
        <v>70680.139630390142</v>
      </c>
      <c r="P496" s="41"/>
      <c r="Q496" s="17">
        <f t="shared" ref="Q496" si="1780">SUM(D490:D496)</f>
        <v>231339</v>
      </c>
      <c r="R496" s="16"/>
      <c r="S496" s="60">
        <f t="shared" ref="S496" si="1781">+(Q496-Q489)/Q489</f>
        <v>0.99119477367211506</v>
      </c>
      <c r="T496" s="16"/>
      <c r="U496" s="41"/>
      <c r="V496" s="10">
        <f t="shared" si="349"/>
        <v>388</v>
      </c>
      <c r="W496" s="34">
        <v>137</v>
      </c>
      <c r="X496" s="33">
        <v>4256</v>
      </c>
      <c r="Y496" s="33"/>
      <c r="Z496" s="33">
        <f t="shared" ref="Z496" si="1782">SUM(W491:W496)</f>
        <v>1316</v>
      </c>
      <c r="AA496" s="33">
        <f t="shared" ref="AA496" si="1783">+AA495+W496</f>
        <v>609094</v>
      </c>
      <c r="AB496" s="33"/>
      <c r="AC496" s="46">
        <f t="shared" ref="AC496" si="1784">+AA496/H496</f>
        <v>1.7695301283266244E-2</v>
      </c>
      <c r="AD496" s="33"/>
      <c r="AE496" s="33">
        <f t="shared" ref="AE496" si="1785">+AA496/BW496</f>
        <v>1250.7063655030802</v>
      </c>
      <c r="AF496" s="50"/>
      <c r="AG496" s="33">
        <f t="shared" ref="AG496" si="1786">SUM(W490:W496)</f>
        <v>1487</v>
      </c>
      <c r="AH496" s="33">
        <f t="shared" ref="AH496" si="1787">SUM(D467:D896)</f>
        <v>1117176956.060914</v>
      </c>
      <c r="AI496" s="213">
        <f t="shared" ref="AI496" si="1788">+(AG496-AG489)/AG489</f>
        <v>7.1325648414985593E-2</v>
      </c>
      <c r="AJ496" s="50"/>
      <c r="AK496" s="111"/>
      <c r="AL496" s="23">
        <f t="shared" ref="AL496" si="1789">+AP496-AP495</f>
        <v>31423</v>
      </c>
      <c r="AM496" s="24"/>
      <c r="AN496" s="24"/>
      <c r="AO496" s="24">
        <v>178263</v>
      </c>
      <c r="AP496" s="24">
        <v>29411956</v>
      </c>
      <c r="AQ496" s="24">
        <v>20336656</v>
      </c>
      <c r="AR496" s="461">
        <f t="shared" ref="AR496" si="1790">+AL496/AP495</f>
        <v>1.0695176973133877E-3</v>
      </c>
      <c r="AS496" s="25"/>
      <c r="AT496" s="25"/>
      <c r="AU496" s="24"/>
      <c r="AV496" s="298">
        <f t="shared" ref="AV496" si="1791">+AP496/H496</f>
        <v>0.85447143257062186</v>
      </c>
      <c r="AW496" s="298"/>
      <c r="AX496" s="24">
        <f t="shared" ref="AX496" si="1792">+AP496/BW496</f>
        <v>60394.160164271045</v>
      </c>
      <c r="AY496" s="308"/>
      <c r="AZ496" s="111"/>
      <c r="BA496" s="65">
        <f t="shared" ref="BA496" si="1793">+BC496-BC495</f>
        <v>614626</v>
      </c>
      <c r="BB496" s="66"/>
      <c r="BC496" s="66">
        <v>517985162</v>
      </c>
      <c r="BD496" s="66"/>
      <c r="BE496" s="66">
        <f t="shared" ref="BE496" si="1794">+D496</f>
        <v>32576</v>
      </c>
      <c r="BF496" s="66"/>
      <c r="BG496" s="144">
        <f t="shared" ref="BG496" si="1795">+BE496/BA496</f>
        <v>5.3001337398678218E-2</v>
      </c>
      <c r="BH496" s="66"/>
      <c r="BI496" s="170"/>
      <c r="BJ496" s="66"/>
      <c r="BK496" s="66">
        <f t="shared" ref="BK496" si="1796">SUM(BA490:BA496)</f>
        <v>4821272</v>
      </c>
      <c r="BL496" s="66"/>
      <c r="BM496" s="144">
        <f t="shared" ref="BM496" si="1797">+Q496/BK496</f>
        <v>4.7982980425082838E-2</v>
      </c>
      <c r="BN496" s="65">
        <f t="shared" ref="BN496" si="1798">+BC496/BW496</f>
        <v>1063624.5626283367</v>
      </c>
      <c r="BO496" s="66"/>
      <c r="BP496" s="66">
        <f t="shared" ref="BP496" si="1799">+BP495+BE496</f>
        <v>33514250</v>
      </c>
      <c r="BQ496" s="66"/>
      <c r="BR496" s="435">
        <f t="shared" ref="BR496" si="1800">+BP496/BC496</f>
        <v>6.4701177675819219E-2</v>
      </c>
      <c r="BS496" s="66"/>
      <c r="BT496" s="75"/>
      <c r="BU496" s="170"/>
      <c r="BV496" s="1"/>
      <c r="BW496" s="61">
        <f t="shared" si="1175"/>
        <v>487</v>
      </c>
    </row>
    <row r="497" spans="2:75" x14ac:dyDescent="0.3">
      <c r="B497" s="158">
        <f t="shared" si="424"/>
        <v>44397</v>
      </c>
      <c r="C497" s="61"/>
      <c r="D497" s="17">
        <v>44232</v>
      </c>
      <c r="E497" s="16"/>
      <c r="F497" s="16"/>
      <c r="G497" s="16"/>
      <c r="H497" s="16">
        <f t="shared" ref="H497" si="1801">+H496+D497</f>
        <v>34465460</v>
      </c>
      <c r="I497" s="16"/>
      <c r="J497" s="436">
        <f t="shared" ref="J497" si="1802">+D497/H496</f>
        <v>1.2850209760093393E-3</v>
      </c>
      <c r="K497" s="16"/>
      <c r="L497" s="16"/>
      <c r="M497" s="16"/>
      <c r="N497" s="16">
        <f t="shared" ref="N497" si="1803">SUM(D491:D497)</f>
        <v>235817</v>
      </c>
      <c r="O497" s="16">
        <f t="shared" ref="O497" si="1804">+H497/BW497</f>
        <v>70625.942622950824</v>
      </c>
      <c r="P497" s="41"/>
      <c r="Q497" s="17">
        <f t="shared" ref="Q497" si="1805">SUM(D491:D497)</f>
        <v>235817</v>
      </c>
      <c r="R497" s="16"/>
      <c r="S497" s="60">
        <f t="shared" ref="S497" si="1806">+(Q497-Q490)/Q490</f>
        <v>0.63395300818303391</v>
      </c>
      <c r="T497" s="16"/>
      <c r="U497" s="41"/>
      <c r="V497" s="10">
        <f t="shared" si="349"/>
        <v>389</v>
      </c>
      <c r="W497" s="34">
        <v>256</v>
      </c>
      <c r="X497" s="33">
        <v>4256</v>
      </c>
      <c r="Y497" s="33"/>
      <c r="Z497" s="33">
        <f t="shared" ref="Z497" si="1807">SUM(W492:W497)</f>
        <v>1225</v>
      </c>
      <c r="AA497" s="33">
        <f t="shared" ref="AA497" si="1808">+AA496+W497</f>
        <v>609350</v>
      </c>
      <c r="AB497" s="33"/>
      <c r="AC497" s="46">
        <f t="shared" ref="AC497" si="1809">+AA497/H497</f>
        <v>1.7680019358511392E-2</v>
      </c>
      <c r="AD497" s="33"/>
      <c r="AE497" s="33">
        <f t="shared" ref="AE497" si="1810">+AA497/BW497</f>
        <v>1248.6680327868853</v>
      </c>
      <c r="AF497" s="50"/>
      <c r="AG497" s="33">
        <f t="shared" ref="AG497" si="1811">SUM(W491:W497)</f>
        <v>1572</v>
      </c>
      <c r="AH497" s="33">
        <f t="shared" ref="AH497" si="1812">SUM(D468:D897)</f>
        <v>1117172534.060914</v>
      </c>
      <c r="AI497" s="213">
        <f t="shared" ref="AI497" si="1813">+(AG497-AG490)/AG490</f>
        <v>0.15843773028739869</v>
      </c>
      <c r="AJ497" s="50"/>
      <c r="AK497" s="111"/>
      <c r="AL497" s="23">
        <f t="shared" ref="AL497" si="1814">+AP497-AP496</f>
        <v>23215</v>
      </c>
      <c r="AM497" s="24"/>
      <c r="AN497" s="24"/>
      <c r="AO497" s="24">
        <v>178263</v>
      </c>
      <c r="AP497" s="24">
        <v>29435171</v>
      </c>
      <c r="AQ497" s="24">
        <v>20336656</v>
      </c>
      <c r="AR497" s="461">
        <f t="shared" ref="AR497" si="1815">+AL497/AP496</f>
        <v>7.8930486636114917E-4</v>
      </c>
      <c r="AS497" s="25"/>
      <c r="AT497" s="25"/>
      <c r="AU497" s="24"/>
      <c r="AV497" s="298">
        <f t="shared" ref="AV497" si="1816">+AP497/H497</f>
        <v>0.85404840092080592</v>
      </c>
      <c r="AW497" s="298"/>
      <c r="AX497" s="24">
        <f t="shared" ref="AX497" si="1817">+AP497/BW497</f>
        <v>60317.973360655735</v>
      </c>
      <c r="AY497" s="308"/>
      <c r="AZ497" s="111"/>
      <c r="BA497" s="65">
        <f t="shared" ref="BA497" si="1818">+BC497-BC496</f>
        <v>673069</v>
      </c>
      <c r="BB497" s="66"/>
      <c r="BC497" s="66">
        <v>518658231</v>
      </c>
      <c r="BD497" s="66"/>
      <c r="BE497" s="66">
        <f t="shared" ref="BE497" si="1819">+D497</f>
        <v>44232</v>
      </c>
      <c r="BF497" s="66"/>
      <c r="BG497" s="144">
        <f t="shared" ref="BG497" si="1820">+BE497/BA497</f>
        <v>6.571688786736575E-2</v>
      </c>
      <c r="BH497" s="66"/>
      <c r="BI497" s="170"/>
      <c r="BJ497" s="66"/>
      <c r="BK497" s="66">
        <f t="shared" ref="BK497" si="1821">SUM(BA491:BA497)</f>
        <v>4958231</v>
      </c>
      <c r="BL497" s="66"/>
      <c r="BM497" s="144">
        <f t="shared" ref="BM497" si="1822">+Q497/BK497</f>
        <v>4.7560712681599546E-2</v>
      </c>
      <c r="BN497" s="65">
        <f t="shared" ref="BN497" si="1823">+BC497/BW497</f>
        <v>1062824.2438524591</v>
      </c>
      <c r="BO497" s="66"/>
      <c r="BP497" s="66">
        <f t="shared" ref="BP497" si="1824">+BP496+BE497</f>
        <v>33558482</v>
      </c>
      <c r="BQ497" s="66"/>
      <c r="BR497" s="435">
        <f t="shared" ref="BR497" si="1825">+BP497/BC497</f>
        <v>6.4702495775103203E-2</v>
      </c>
      <c r="BS497" s="66"/>
      <c r="BT497" s="75"/>
      <c r="BU497" s="170"/>
      <c r="BV497" s="1"/>
      <c r="BW497" s="61">
        <f t="shared" si="1175"/>
        <v>488</v>
      </c>
    </row>
    <row r="498" spans="2:75" x14ac:dyDescent="0.3">
      <c r="B498" s="158">
        <f t="shared" si="424"/>
        <v>44398</v>
      </c>
      <c r="C498" s="61"/>
      <c r="D498" s="17">
        <v>56525</v>
      </c>
      <c r="E498" s="16"/>
      <c r="F498" s="16"/>
      <c r="G498" s="16"/>
      <c r="H498" s="16">
        <f t="shared" ref="H498" si="1826">+H497+D498</f>
        <v>34521985</v>
      </c>
      <c r="I498" s="16"/>
      <c r="J498" s="436">
        <f t="shared" ref="J498" si="1827">+D498/H497</f>
        <v>1.6400477463524351E-3</v>
      </c>
      <c r="K498" s="16"/>
      <c r="L498" s="16"/>
      <c r="M498" s="16"/>
      <c r="N498" s="16">
        <f t="shared" ref="N498" si="1828">SUM(D492:D498)</f>
        <v>256895</v>
      </c>
      <c r="O498" s="16">
        <f t="shared" ref="O498" si="1829">+H498/BW498</f>
        <v>70597.106339468301</v>
      </c>
      <c r="P498" s="41"/>
      <c r="Q498" s="17">
        <f t="shared" ref="Q498" si="1830">SUM(D492:D498)</f>
        <v>256895</v>
      </c>
      <c r="R498" s="16"/>
      <c r="S498" s="60">
        <f t="shared" ref="S498" si="1831">+(Q498-Q491)/Q491</f>
        <v>0.57644914640582234</v>
      </c>
      <c r="T498" s="16"/>
      <c r="U498" s="41"/>
      <c r="V498" s="10">
        <f t="shared" si="349"/>
        <v>390</v>
      </c>
      <c r="W498" s="34">
        <v>416</v>
      </c>
      <c r="X498" s="33">
        <v>4256</v>
      </c>
      <c r="Y498" s="33"/>
      <c r="Z498" s="33">
        <f t="shared" ref="Z498" si="1832">SUM(W493:W498)</f>
        <v>1297</v>
      </c>
      <c r="AA498" s="33">
        <f t="shared" ref="AA498" si="1833">+AA497+W498</f>
        <v>609766</v>
      </c>
      <c r="AB498" s="33"/>
      <c r="AC498" s="46">
        <f t="shared" ref="AC498" si="1834">+AA498/H498</f>
        <v>1.7663121051700821E-2</v>
      </c>
      <c r="AD498" s="33"/>
      <c r="AE498" s="33">
        <f t="shared" ref="AE498" si="1835">+AA498/BW498</f>
        <v>1246.9652351738241</v>
      </c>
      <c r="AF498" s="50"/>
      <c r="AG498" s="33">
        <f t="shared" ref="AG498" si="1836">SUM(W492:W498)</f>
        <v>1641</v>
      </c>
      <c r="AH498" s="33">
        <f t="shared" ref="AH498" si="1837">SUM(D469:D898)</f>
        <v>1117162779.060914</v>
      </c>
      <c r="AI498" s="213">
        <f t="shared" ref="AI498" si="1838">+(AG498-AG491)/AG491</f>
        <v>0.12938747419132829</v>
      </c>
      <c r="AJ498" s="50"/>
      <c r="AK498" s="111"/>
      <c r="AL498" s="23">
        <f t="shared" ref="AL498" si="1839">+AP498-AP497</f>
        <v>23232</v>
      </c>
      <c r="AM498" s="24"/>
      <c r="AN498" s="24"/>
      <c r="AO498" s="24">
        <v>178263</v>
      </c>
      <c r="AP498" s="24">
        <v>29458403</v>
      </c>
      <c r="AQ498" s="24">
        <v>20336656</v>
      </c>
      <c r="AR498" s="461">
        <f t="shared" ref="AR498" si="1840">+AL498/AP497</f>
        <v>7.8925989592518425E-4</v>
      </c>
      <c r="AS498" s="25"/>
      <c r="AT498" s="25"/>
      <c r="AU498" s="24"/>
      <c r="AV498" s="298">
        <f t="shared" ref="AV498" si="1841">+AP498/H498</f>
        <v>0.85332297664806933</v>
      </c>
      <c r="AW498" s="298"/>
      <c r="AX498" s="24">
        <f t="shared" ref="AX498" si="1842">+AP498/BW498</f>
        <v>60242.132924335376</v>
      </c>
      <c r="AY498" s="308"/>
      <c r="AZ498" s="111"/>
      <c r="BA498" s="65">
        <f t="shared" ref="BA498" si="1843">+BC498-BC497</f>
        <v>822020</v>
      </c>
      <c r="BB498" s="66"/>
      <c r="BC498" s="66">
        <v>519480251</v>
      </c>
      <c r="BD498" s="66"/>
      <c r="BE498" s="66">
        <f t="shared" ref="BE498" si="1844">+D498</f>
        <v>56525</v>
      </c>
      <c r="BF498" s="66"/>
      <c r="BG498" s="144">
        <f t="shared" ref="BG498" si="1845">+BE498/BA498</f>
        <v>6.8763533733972412E-2</v>
      </c>
      <c r="BH498" s="66"/>
      <c r="BI498" s="170"/>
      <c r="BJ498" s="66"/>
      <c r="BK498" s="66">
        <f t="shared" ref="BK498" si="1846">SUM(BA492:BA498)</f>
        <v>4905831</v>
      </c>
      <c r="BL498" s="66"/>
      <c r="BM498" s="144">
        <f t="shared" ref="BM498" si="1847">+Q498/BK498</f>
        <v>5.2365236389105126E-2</v>
      </c>
      <c r="BN498" s="65">
        <f t="shared" ref="BN498" si="1848">+BC498/BW498</f>
        <v>1062331.8016359918</v>
      </c>
      <c r="BO498" s="66"/>
      <c r="BP498" s="66">
        <f t="shared" ref="BP498" si="1849">+BP497+BE498</f>
        <v>33615007</v>
      </c>
      <c r="BQ498" s="66"/>
      <c r="BR498" s="435">
        <f t="shared" ref="BR498" si="1850">+BP498/BC498</f>
        <v>6.4708921918188569E-2</v>
      </c>
      <c r="BS498" s="66"/>
      <c r="BT498" s="75"/>
      <c r="BU498" s="170"/>
      <c r="BV498" s="1"/>
      <c r="BW498" s="61">
        <f t="shared" si="1175"/>
        <v>489</v>
      </c>
    </row>
    <row r="499" spans="2:75" x14ac:dyDescent="0.3">
      <c r="B499" s="158">
        <f t="shared" si="424"/>
        <v>44399</v>
      </c>
      <c r="C499" s="61"/>
      <c r="D499" s="17">
        <v>61651</v>
      </c>
      <c r="E499" s="16"/>
      <c r="F499" s="16"/>
      <c r="G499" s="16"/>
      <c r="H499" s="16">
        <f t="shared" ref="H499" si="1851">+H498+D499</f>
        <v>34583636</v>
      </c>
      <c r="I499" s="16"/>
      <c r="J499" s="436">
        <f t="shared" ref="J499" si="1852">+D499/H498</f>
        <v>1.7858474824086737E-3</v>
      </c>
      <c r="K499" s="16"/>
      <c r="L499" s="16"/>
      <c r="M499" s="16"/>
      <c r="N499" s="16">
        <f t="shared" ref="N499" si="1853">SUM(D493:D499)</f>
        <v>281872</v>
      </c>
      <c r="O499" s="16">
        <f t="shared" ref="O499" si="1854">+H499/BW499</f>
        <v>70578.848979591843</v>
      </c>
      <c r="P499" s="41"/>
      <c r="Q499" s="17">
        <f t="shared" ref="Q499" si="1855">SUM(D493:D499)</f>
        <v>281872</v>
      </c>
      <c r="R499" s="16"/>
      <c r="S499" s="60">
        <f t="shared" ref="S499" si="1856">+(Q499-Q492)/Q492</f>
        <v>0.56348004548353992</v>
      </c>
      <c r="T499" s="16"/>
      <c r="U499" s="41"/>
      <c r="V499" s="10">
        <f t="shared" si="349"/>
        <v>391</v>
      </c>
      <c r="W499" s="34">
        <v>365</v>
      </c>
      <c r="X499" s="33">
        <v>4256</v>
      </c>
      <c r="Y499" s="33"/>
      <c r="Z499" s="33">
        <f t="shared" ref="Z499" si="1857">SUM(W494:W499)</f>
        <v>1369</v>
      </c>
      <c r="AA499" s="33">
        <f t="shared" ref="AA499" si="1858">+AA498+W499</f>
        <v>610131</v>
      </c>
      <c r="AB499" s="33"/>
      <c r="AC499" s="46">
        <f t="shared" ref="AC499" si="1859">+AA499/H499</f>
        <v>1.7642187767648261E-2</v>
      </c>
      <c r="AD499" s="33"/>
      <c r="AE499" s="33">
        <f t="shared" ref="AE499" si="1860">+AA499/BW499</f>
        <v>1245.165306122449</v>
      </c>
      <c r="AF499" s="50"/>
      <c r="AG499" s="33">
        <f t="shared" ref="AG499" si="1861">SUM(W493:W499)</f>
        <v>1662</v>
      </c>
      <c r="AH499" s="33">
        <f t="shared" ref="AH499" si="1862">SUM(D470:D899)</f>
        <v>1117149905.060914</v>
      </c>
      <c r="AI499" s="213">
        <f t="shared" ref="AI499" si="1863">+(AG499-AG492)/AG492</f>
        <v>8.203125E-2</v>
      </c>
      <c r="AJ499" s="50"/>
      <c r="AK499" s="111"/>
      <c r="AL499" s="23">
        <f t="shared" ref="AL499" si="1864">+AP499-AP498</f>
        <v>19770</v>
      </c>
      <c r="AM499" s="24"/>
      <c r="AN499" s="24"/>
      <c r="AO499" s="24">
        <v>178263</v>
      </c>
      <c r="AP499" s="24">
        <v>29478173</v>
      </c>
      <c r="AQ499" s="24">
        <v>20336656</v>
      </c>
      <c r="AR499" s="461">
        <f t="shared" ref="AR499" si="1865">+AL499/AP498</f>
        <v>6.7111581031734817E-4</v>
      </c>
      <c r="AS499" s="25"/>
      <c r="AT499" s="25"/>
      <c r="AU499" s="24"/>
      <c r="AV499" s="298">
        <f t="shared" ref="AV499" si="1866">+AP499/H499</f>
        <v>0.85237344621600808</v>
      </c>
      <c r="AW499" s="298"/>
      <c r="AX499" s="24">
        <f t="shared" ref="AX499" si="1867">+AP499/BW499</f>
        <v>60159.53673469388</v>
      </c>
      <c r="AY499" s="308"/>
      <c r="AZ499" s="111"/>
      <c r="BA499" s="65">
        <f t="shared" ref="BA499" si="1868">+BC499-BC498</f>
        <v>931237</v>
      </c>
      <c r="BB499" s="66"/>
      <c r="BC499" s="66">
        <v>520411488</v>
      </c>
      <c r="BD499" s="66"/>
      <c r="BE499" s="66">
        <f t="shared" ref="BE499" si="1869">+D499</f>
        <v>61651</v>
      </c>
      <c r="BF499" s="66"/>
      <c r="BG499" s="144">
        <f t="shared" ref="BG499" si="1870">+BE499/BA499</f>
        <v>6.6203340288240264E-2</v>
      </c>
      <c r="BH499" s="66"/>
      <c r="BI499" s="170"/>
      <c r="BJ499" s="66"/>
      <c r="BK499" s="66">
        <f t="shared" ref="BK499" si="1871">SUM(BA493:BA499)</f>
        <v>5199462</v>
      </c>
      <c r="BL499" s="66"/>
      <c r="BM499" s="144">
        <f t="shared" ref="BM499" si="1872">+Q499/BK499</f>
        <v>5.4211762678523276E-2</v>
      </c>
      <c r="BN499" s="65">
        <f t="shared" ref="BN499" si="1873">+BC499/BW499</f>
        <v>1062064.2612244899</v>
      </c>
      <c r="BO499" s="66"/>
      <c r="BP499" s="66">
        <f t="shared" ref="BP499" si="1874">+BP498+BE499</f>
        <v>33676658</v>
      </c>
      <c r="BQ499" s="66"/>
      <c r="BR499" s="435">
        <f t="shared" ref="BR499" si="1875">+BP499/BC499</f>
        <v>6.4711596066841626E-2</v>
      </c>
      <c r="BS499" s="66"/>
      <c r="BT499" s="75"/>
      <c r="BU499" s="170"/>
      <c r="BV499" s="1"/>
      <c r="BW499" s="61">
        <f t="shared" si="1175"/>
        <v>490</v>
      </c>
    </row>
    <row r="500" spans="2:75" x14ac:dyDescent="0.3">
      <c r="B500" s="158">
        <f t="shared" si="424"/>
        <v>44400</v>
      </c>
      <c r="C500" s="61"/>
      <c r="D500" s="17">
        <v>67485</v>
      </c>
      <c r="E500" s="16"/>
      <c r="F500" s="16"/>
      <c r="G500" s="16"/>
      <c r="H500" s="16">
        <f t="shared" ref="H500" si="1876">+H499+D500</f>
        <v>34651121</v>
      </c>
      <c r="I500" s="16"/>
      <c r="J500" s="436">
        <f t="shared" ref="J500" si="1877">+D500/H499</f>
        <v>1.9513564160807152E-3</v>
      </c>
      <c r="K500" s="16"/>
      <c r="L500" s="16"/>
      <c r="M500" s="16"/>
      <c r="N500" s="16">
        <f t="shared" ref="N500" si="1878">SUM(D494:D500)</f>
        <v>308828</v>
      </c>
      <c r="O500" s="16">
        <f t="shared" ref="O500" si="1879">+H500/BW500</f>
        <v>70572.547861507133</v>
      </c>
      <c r="P500" s="41"/>
      <c r="Q500" s="17">
        <f t="shared" ref="Q500" si="1880">SUM(D494:D500)</f>
        <v>308828</v>
      </c>
      <c r="R500" s="16"/>
      <c r="S500" s="60">
        <f t="shared" ref="S500" si="1881">+(Q500-Q493)/Q493</f>
        <v>0.5953754836576659</v>
      </c>
      <c r="T500" s="16"/>
      <c r="U500" s="41"/>
      <c r="V500" s="10">
        <f t="shared" si="349"/>
        <v>392</v>
      </c>
      <c r="W500" s="34">
        <v>428</v>
      </c>
      <c r="X500" s="33">
        <v>4256</v>
      </c>
      <c r="Y500" s="33"/>
      <c r="Z500" s="33">
        <f t="shared" ref="Z500" si="1882">SUM(W495:W500)</f>
        <v>1684</v>
      </c>
      <c r="AA500" s="33">
        <f t="shared" ref="AA500" si="1883">+AA499+W500</f>
        <v>610559</v>
      </c>
      <c r="AB500" s="33"/>
      <c r="AC500" s="46">
        <f t="shared" ref="AC500" si="1884">+AA500/H500</f>
        <v>1.7620180311049678E-2</v>
      </c>
      <c r="AD500" s="33"/>
      <c r="AE500" s="33">
        <f t="shared" ref="AE500" si="1885">+AA500/BW500</f>
        <v>1243.5010183299389</v>
      </c>
      <c r="AF500" s="50"/>
      <c r="AG500" s="33">
        <f t="shared" ref="AG500" si="1886">SUM(W494:W500)</f>
        <v>1797</v>
      </c>
      <c r="AH500" s="33">
        <f t="shared" ref="AH500" si="1887">SUM(D471:D900)</f>
        <v>1117136540.060914</v>
      </c>
      <c r="AI500" s="213">
        <f t="shared" ref="AI500" si="1888">+(AG500-AG493)/AG493</f>
        <v>0.22829801777170197</v>
      </c>
      <c r="AJ500" s="50"/>
      <c r="AK500" s="111"/>
      <c r="AL500" s="23">
        <f t="shared" ref="AL500" si="1889">+AP500-AP499</f>
        <v>19702</v>
      </c>
      <c r="AM500" s="24"/>
      <c r="AN500" s="24"/>
      <c r="AO500" s="24">
        <v>178263</v>
      </c>
      <c r="AP500" s="24">
        <v>29497875</v>
      </c>
      <c r="AQ500" s="24">
        <v>20336656</v>
      </c>
      <c r="AR500" s="461">
        <f t="shared" ref="AR500" si="1890">+AL500/AP499</f>
        <v>6.6835892441502399E-4</v>
      </c>
      <c r="AS500" s="25"/>
      <c r="AT500" s="25"/>
      <c r="AU500" s="24"/>
      <c r="AV500" s="298">
        <f t="shared" ref="AV500" si="1891">+AP500/H500</f>
        <v>0.85128198305619029</v>
      </c>
      <c r="AW500" s="298"/>
      <c r="AX500" s="24">
        <f t="shared" ref="AX500" si="1892">+AP500/BW500</f>
        <v>60077.138492871687</v>
      </c>
      <c r="AY500" s="308"/>
      <c r="AZ500" s="111"/>
      <c r="BA500" s="65">
        <f t="shared" ref="BA500" si="1893">+BC500-BC499</f>
        <v>930368</v>
      </c>
      <c r="BB500" s="66"/>
      <c r="BC500" s="66">
        <v>521341856</v>
      </c>
      <c r="BD500" s="66"/>
      <c r="BE500" s="66">
        <f t="shared" ref="BE500" si="1894">+D500</f>
        <v>67485</v>
      </c>
      <c r="BF500" s="66"/>
      <c r="BG500" s="144">
        <f t="shared" ref="BG500" si="1895">+BE500/BA500</f>
        <v>7.2535813785512826E-2</v>
      </c>
      <c r="BH500" s="66"/>
      <c r="BI500" s="170"/>
      <c r="BJ500" s="66"/>
      <c r="BK500" s="66">
        <f t="shared" ref="BK500" si="1896">SUM(BA494:BA500)</f>
        <v>5277054</v>
      </c>
      <c r="BL500" s="66"/>
      <c r="BM500" s="144">
        <f t="shared" ref="BM500" si="1897">+Q500/BK500</f>
        <v>5.8522804579979666E-2</v>
      </c>
      <c r="BN500" s="65">
        <f t="shared" ref="BN500" si="1898">+BC500/BW500</f>
        <v>1061796.0407331975</v>
      </c>
      <c r="BO500" s="66"/>
      <c r="BP500" s="66">
        <f t="shared" ref="BP500" si="1899">+BP499+BE500</f>
        <v>33744143</v>
      </c>
      <c r="BQ500" s="66"/>
      <c r="BR500" s="435">
        <f t="shared" ref="BR500" si="1900">+BP500/BC500</f>
        <v>6.4725558885492598E-2</v>
      </c>
      <c r="BS500" s="66"/>
      <c r="BT500" s="75"/>
      <c r="BU500" s="170"/>
      <c r="BV500" s="1"/>
      <c r="BW500" s="61">
        <f t="shared" si="1175"/>
        <v>491</v>
      </c>
    </row>
    <row r="501" spans="2:75" x14ac:dyDescent="0.3">
      <c r="B501" s="158">
        <f t="shared" si="424"/>
        <v>44401</v>
      </c>
      <c r="C501" s="61"/>
      <c r="D501" s="17">
        <v>36779</v>
      </c>
      <c r="E501" s="16"/>
      <c r="F501" s="16"/>
      <c r="G501" s="16"/>
      <c r="H501" s="16">
        <f t="shared" ref="H501" si="1901">+H500+D501</f>
        <v>34687900</v>
      </c>
      <c r="I501" s="16"/>
      <c r="J501" s="436">
        <f t="shared" ref="J501" si="1902">+D501/H500</f>
        <v>1.061408662651924E-3</v>
      </c>
      <c r="K501" s="16"/>
      <c r="L501" s="16"/>
      <c r="M501" s="16"/>
      <c r="N501" s="16">
        <f t="shared" ref="N501" si="1903">SUM(D495:D501)</f>
        <v>321526</v>
      </c>
      <c r="O501" s="16">
        <f t="shared" ref="O501" si="1904">+H501/BW501</f>
        <v>70503.861788617884</v>
      </c>
      <c r="P501" s="41"/>
      <c r="Q501" s="17">
        <f t="shared" ref="Q501" si="1905">SUM(D495:D501)</f>
        <v>321526</v>
      </c>
      <c r="R501" s="16"/>
      <c r="S501" s="60">
        <f t="shared" ref="S501" si="1906">+(Q501-Q494)/Q494</f>
        <v>0.58291281637234582</v>
      </c>
      <c r="T501" s="16"/>
      <c r="U501" s="41"/>
      <c r="V501" s="10">
        <f t="shared" si="349"/>
        <v>393</v>
      </c>
      <c r="W501" s="34">
        <v>151</v>
      </c>
      <c r="X501" s="33">
        <v>4256</v>
      </c>
      <c r="Y501" s="33"/>
      <c r="Z501" s="33">
        <f t="shared" ref="Z501" si="1907">SUM(W496:W501)</f>
        <v>1753</v>
      </c>
      <c r="AA501" s="33">
        <f t="shared" ref="AA501" si="1908">+AA500+W501</f>
        <v>610710</v>
      </c>
      <c r="AB501" s="33"/>
      <c r="AC501" s="46">
        <f t="shared" ref="AC501" si="1909">+AA501/H501</f>
        <v>1.7605851031627744E-2</v>
      </c>
      <c r="AD501" s="33"/>
      <c r="AE501" s="33">
        <f t="shared" ref="AE501" si="1910">+AA501/BW501</f>
        <v>1241.280487804878</v>
      </c>
      <c r="AF501" s="50"/>
      <c r="AG501" s="33">
        <f t="shared" ref="AG501" si="1911">SUM(W495:W501)</f>
        <v>1835</v>
      </c>
      <c r="AH501" s="33">
        <f t="shared" ref="AH501" si="1912">SUM(D472:D901)</f>
        <v>1117121080.060914</v>
      </c>
      <c r="AI501" s="213">
        <f t="shared" ref="AI501" si="1913">+(AG501-AG494)/AG494</f>
        <v>0.25857338820301784</v>
      </c>
      <c r="AJ501" s="50"/>
      <c r="AK501" s="111"/>
      <c r="AL501" s="23">
        <f t="shared" ref="AL501" si="1914">+AP501-AP500</f>
        <v>9248</v>
      </c>
      <c r="AM501" s="24"/>
      <c r="AN501" s="24"/>
      <c r="AO501" s="24">
        <v>178263</v>
      </c>
      <c r="AP501" s="24">
        <v>29507123</v>
      </c>
      <c r="AQ501" s="24">
        <v>20336656</v>
      </c>
      <c r="AR501" s="461">
        <f t="shared" ref="AR501" si="1915">+AL501/AP500</f>
        <v>3.1351410906717855E-4</v>
      </c>
      <c r="AS501" s="25"/>
      <c r="AT501" s="25"/>
      <c r="AU501" s="24"/>
      <c r="AV501" s="298">
        <f t="shared" ref="AV501" si="1916">+AP501/H501</f>
        <v>0.85064598894715449</v>
      </c>
      <c r="AW501" s="298"/>
      <c r="AX501" s="24">
        <f t="shared" ref="AX501" si="1917">+AP501/BW501</f>
        <v>59973.827235772354</v>
      </c>
      <c r="AY501" s="308"/>
      <c r="AZ501" s="111"/>
      <c r="BA501" s="65">
        <f t="shared" ref="BA501" si="1918">+BC501-BC500</f>
        <v>393453</v>
      </c>
      <c r="BB501" s="66"/>
      <c r="BC501" s="66">
        <v>521735309</v>
      </c>
      <c r="BD501" s="66"/>
      <c r="BE501" s="66">
        <f t="shared" ref="BE501" si="1919">+D501</f>
        <v>36779</v>
      </c>
      <c r="BF501" s="66"/>
      <c r="BG501" s="144">
        <f t="shared" ref="BG501" si="1920">+BE501/BA501</f>
        <v>9.3477492864459027E-2</v>
      </c>
      <c r="BH501" s="66"/>
      <c r="BI501" s="170"/>
      <c r="BJ501" s="66"/>
      <c r="BK501" s="66">
        <f t="shared" ref="BK501" si="1921">SUM(BA495:BA501)</f>
        <v>5457647</v>
      </c>
      <c r="BL501" s="66"/>
      <c r="BM501" s="144">
        <f t="shared" ref="BM501" si="1922">+Q501/BK501</f>
        <v>5.8912934456918892E-2</v>
      </c>
      <c r="BN501" s="65">
        <f t="shared" ref="BN501" si="1923">+BC501/BW501</f>
        <v>1060437.6199186991</v>
      </c>
      <c r="BO501" s="66"/>
      <c r="BP501" s="66">
        <f t="shared" ref="BP501" si="1924">+BP500+BE501</f>
        <v>33780922</v>
      </c>
      <c r="BQ501" s="66"/>
      <c r="BR501" s="435">
        <f t="shared" ref="BR501" si="1925">+BP501/BC501</f>
        <v>6.4747241402440717E-2</v>
      </c>
      <c r="BS501" s="66"/>
      <c r="BT501" s="75"/>
      <c r="BU501" s="170"/>
      <c r="BV501" s="1"/>
      <c r="BW501" s="61">
        <f t="shared" si="1175"/>
        <v>492</v>
      </c>
    </row>
    <row r="502" spans="2:75" x14ac:dyDescent="0.3">
      <c r="B502" s="347">
        <f t="shared" si="424"/>
        <v>44402</v>
      </c>
      <c r="C502" s="61"/>
      <c r="D502" s="17">
        <v>13818</v>
      </c>
      <c r="E502" s="16"/>
      <c r="F502" s="16"/>
      <c r="G502" s="16"/>
      <c r="H502" s="16">
        <f t="shared" ref="H502" si="1926">+H501+D502</f>
        <v>34701718</v>
      </c>
      <c r="I502" s="16"/>
      <c r="J502" s="436">
        <f t="shared" ref="J502" si="1927">+D502/H501</f>
        <v>3.9835216314622676E-4</v>
      </c>
      <c r="K502" s="16"/>
      <c r="L502" s="16"/>
      <c r="M502" s="16"/>
      <c r="N502" s="16">
        <f t="shared" ref="N502" si="1928">SUM(D496:D502)</f>
        <v>313066</v>
      </c>
      <c r="O502" s="16">
        <f t="shared" ref="O502" si="1929">+H502/BW502</f>
        <v>70388.880324543614</v>
      </c>
      <c r="P502" s="41"/>
      <c r="Q502" s="17">
        <f t="shared" ref="Q502" si="1930">SUM(D496:D502)</f>
        <v>313066</v>
      </c>
      <c r="R502" s="16"/>
      <c r="S502" s="60">
        <f t="shared" ref="S502" si="1931">+(Q502-Q495)/Q495</f>
        <v>0.43109997760092156</v>
      </c>
      <c r="T502" s="16"/>
      <c r="U502" s="41"/>
      <c r="V502" s="10">
        <f t="shared" si="349"/>
        <v>394</v>
      </c>
      <c r="W502" s="34">
        <v>49</v>
      </c>
      <c r="X502" s="33">
        <v>4256</v>
      </c>
      <c r="Y502" s="33"/>
      <c r="Z502" s="33">
        <f t="shared" ref="Z502" si="1932">SUM(W497:W502)</f>
        <v>1665</v>
      </c>
      <c r="AA502" s="33">
        <f t="shared" ref="AA502" si="1933">+AA501+W502</f>
        <v>610759</v>
      </c>
      <c r="AB502" s="33"/>
      <c r="AC502" s="46">
        <f t="shared" ref="AC502" si="1934">+AA502/H502</f>
        <v>1.7600252529283995E-2</v>
      </c>
      <c r="AD502" s="33"/>
      <c r="AE502" s="33">
        <f t="shared" ref="AE502" si="1935">+AA502/BW502</f>
        <v>1238.8620689655172</v>
      </c>
      <c r="AF502" s="50"/>
      <c r="AG502" s="33">
        <f t="shared" ref="AG502" si="1936">SUM(W496:W502)</f>
        <v>1802</v>
      </c>
      <c r="AH502" s="33">
        <f t="shared" ref="AH502" si="1937">SUM(D473:D902)</f>
        <v>1117105543.060914</v>
      </c>
      <c r="AI502" s="213">
        <f t="shared" ref="AI502" si="1938">+(AG502-AG495)/AG495</f>
        <v>0.19101123595505617</v>
      </c>
      <c r="AJ502" s="50"/>
      <c r="AK502" s="111"/>
      <c r="AL502" s="23">
        <f t="shared" ref="AL502" si="1939">+AP502-AP501</f>
        <v>4786</v>
      </c>
      <c r="AM502" s="24"/>
      <c r="AN502" s="24"/>
      <c r="AO502" s="24">
        <v>178263</v>
      </c>
      <c r="AP502" s="24">
        <v>29511909</v>
      </c>
      <c r="AQ502" s="24">
        <v>20336656</v>
      </c>
      <c r="AR502" s="461">
        <f t="shared" ref="AR502" si="1940">+AL502/AP501</f>
        <v>1.6219812416141011E-4</v>
      </c>
      <c r="AS502" s="25"/>
      <c r="AT502" s="25"/>
      <c r="AU502" s="24"/>
      <c r="AV502" s="298">
        <f t="shared" ref="AV502" si="1941">+AP502/H502</f>
        <v>0.85044518545162517</v>
      </c>
      <c r="AW502" s="298"/>
      <c r="AX502" s="24">
        <f t="shared" ref="AX502" si="1942">+AP502/BW502</f>
        <v>59861.884381338743</v>
      </c>
      <c r="AY502" s="308"/>
      <c r="AZ502" s="111"/>
      <c r="BA502" s="65">
        <f t="shared" ref="BA502" si="1943">+BC502-BC501</f>
        <v>1873647</v>
      </c>
      <c r="BB502" s="66"/>
      <c r="BC502" s="66">
        <v>523608956</v>
      </c>
      <c r="BD502" s="66"/>
      <c r="BE502" s="66">
        <f t="shared" ref="BE502" si="1944">+D502</f>
        <v>13818</v>
      </c>
      <c r="BF502" s="66"/>
      <c r="BG502" s="144">
        <f t="shared" ref="BG502" si="1945">+BE502/BA502</f>
        <v>7.3749217435301311E-3</v>
      </c>
      <c r="BH502" s="66"/>
      <c r="BI502" s="170"/>
      <c r="BJ502" s="66"/>
      <c r="BK502" s="66">
        <f t="shared" ref="BK502" si="1946">SUM(BA496:BA502)</f>
        <v>6238420</v>
      </c>
      <c r="BL502" s="66"/>
      <c r="BM502" s="144">
        <f t="shared" ref="BM502" si="1947">+Q502/BK502</f>
        <v>5.0183540063028782E-2</v>
      </c>
      <c r="BN502" s="65">
        <f t="shared" ref="BN502" si="1948">+BC502/BW502</f>
        <v>1062087.1318458419</v>
      </c>
      <c r="BO502" s="66"/>
      <c r="BP502" s="66">
        <f t="shared" ref="BP502" si="1949">+BP501+BE502</f>
        <v>33794740</v>
      </c>
      <c r="BQ502" s="66"/>
      <c r="BR502" s="435">
        <f t="shared" ref="BR502" si="1950">+BP502/BC502</f>
        <v>6.4541944160328685E-2</v>
      </c>
      <c r="BS502" s="66"/>
      <c r="BT502" s="75"/>
      <c r="BU502" s="170"/>
      <c r="BV502" s="1"/>
      <c r="BW502" s="61">
        <f t="shared" si="1175"/>
        <v>493</v>
      </c>
    </row>
    <row r="503" spans="2:75" x14ac:dyDescent="0.3">
      <c r="B503" s="158">
        <f t="shared" si="424"/>
        <v>44403</v>
      </c>
      <c r="C503" s="61"/>
      <c r="D503" s="17">
        <v>35816</v>
      </c>
      <c r="E503" s="16"/>
      <c r="F503" s="16"/>
      <c r="G503" s="16"/>
      <c r="H503" s="16">
        <f t="shared" ref="H503" si="1951">+H502+D503</f>
        <v>34737534</v>
      </c>
      <c r="I503" s="16"/>
      <c r="J503" s="436">
        <f t="shared" ref="J503" si="1952">+D503/H502</f>
        <v>1.0321102834159393E-3</v>
      </c>
      <c r="K503" s="16"/>
      <c r="L503" s="16"/>
      <c r="M503" s="16"/>
      <c r="N503" s="16">
        <f t="shared" ref="N503" si="1953">SUM(D497:D503)</f>
        <v>316306</v>
      </c>
      <c r="O503" s="16">
        <f t="shared" ref="O503" si="1954">+H503/BW503</f>
        <v>70318.894736842107</v>
      </c>
      <c r="P503" s="41"/>
      <c r="Q503" s="17">
        <f t="shared" ref="Q503" si="1955">SUM(D497:D503)</f>
        <v>316306</v>
      </c>
      <c r="R503" s="16"/>
      <c r="S503" s="60">
        <f t="shared" ref="S503" si="1956">+(Q503-Q496)/Q496</f>
        <v>0.36728351034628837</v>
      </c>
      <c r="T503" s="16"/>
      <c r="U503" s="41"/>
      <c r="V503" s="10">
        <f t="shared" si="349"/>
        <v>395</v>
      </c>
      <c r="W503" s="34">
        <v>132</v>
      </c>
      <c r="X503" s="33">
        <v>4256</v>
      </c>
      <c r="Y503" s="33"/>
      <c r="Z503" s="33">
        <f t="shared" ref="Z503" si="1957">SUM(W498:W503)</f>
        <v>1541</v>
      </c>
      <c r="AA503" s="33">
        <f t="shared" ref="AA503" si="1958">+AA502+W503</f>
        <v>610891</v>
      </c>
      <c r="AB503" s="33"/>
      <c r="AC503" s="46">
        <f t="shared" ref="AC503" si="1959">+AA503/H503</f>
        <v>1.7585905781337272E-2</v>
      </c>
      <c r="AD503" s="33"/>
      <c r="AE503" s="33">
        <f t="shared" ref="AE503" si="1960">+AA503/BW503</f>
        <v>1236.6214574898786</v>
      </c>
      <c r="AF503" s="50"/>
      <c r="AG503" s="33">
        <f t="shared" ref="AG503" si="1961">SUM(W497:W503)</f>
        <v>1797</v>
      </c>
      <c r="AH503" s="33">
        <f t="shared" ref="AH503" si="1962">SUM(D474:D903)</f>
        <v>1117098957.060914</v>
      </c>
      <c r="AI503" s="213">
        <f t="shared" ref="AI503" si="1963">+(AG503-AG496)/AG496</f>
        <v>0.20847343644922664</v>
      </c>
      <c r="AJ503" s="50"/>
      <c r="AK503" s="111"/>
      <c r="AL503" s="23">
        <f t="shared" ref="AL503" si="1964">+AP503-AP502</f>
        <v>36559</v>
      </c>
      <c r="AM503" s="24"/>
      <c r="AN503" s="24"/>
      <c r="AO503" s="24">
        <v>178263</v>
      </c>
      <c r="AP503" s="24">
        <v>29548468</v>
      </c>
      <c r="AQ503" s="24">
        <v>20336656</v>
      </c>
      <c r="AR503" s="461">
        <f t="shared" ref="AR503" si="1965">+AL503/AP502</f>
        <v>1.2387880431591193E-3</v>
      </c>
      <c r="AS503" s="25"/>
      <c r="AT503" s="25"/>
      <c r="AU503" s="24"/>
      <c r="AV503" s="298">
        <f t="shared" ref="AV503" si="1966">+AP503/H503</f>
        <v>0.85062077233231348</v>
      </c>
      <c r="AW503" s="298"/>
      <c r="AX503" s="24">
        <f t="shared" ref="AX503" si="1967">+AP503/BW503</f>
        <v>59814.712550607284</v>
      </c>
      <c r="AY503" s="308"/>
      <c r="AZ503" s="111"/>
      <c r="BA503" s="65">
        <f t="shared" ref="BA503" si="1968">+BC503-BC502</f>
        <v>2374930</v>
      </c>
      <c r="BB503" s="66"/>
      <c r="BC503" s="66">
        <v>525983886</v>
      </c>
      <c r="BD503" s="66"/>
      <c r="BE503" s="66">
        <f t="shared" ref="BE503" si="1969">+D503</f>
        <v>35816</v>
      </c>
      <c r="BF503" s="66"/>
      <c r="BG503" s="144">
        <f t="shared" ref="BG503" si="1970">+BE503/BA503</f>
        <v>1.5080865541300165E-2</v>
      </c>
      <c r="BH503" s="66"/>
      <c r="BI503" s="170"/>
      <c r="BJ503" s="66"/>
      <c r="BK503" s="66">
        <f t="shared" ref="BK503" si="1971">SUM(BA497:BA503)</f>
        <v>7998724</v>
      </c>
      <c r="BL503" s="66"/>
      <c r="BM503" s="144">
        <f t="shared" ref="BM503" si="1972">+Q503/BK503</f>
        <v>3.9544557356898428E-2</v>
      </c>
      <c r="BN503" s="65">
        <f t="shared" ref="BN503" si="1973">+BC503/BW503</f>
        <v>1064744.7085020242</v>
      </c>
      <c r="BO503" s="66"/>
      <c r="BP503" s="66">
        <f t="shared" ref="BP503" si="1974">+BP502+BE503</f>
        <v>33830556</v>
      </c>
      <c r="BQ503" s="66"/>
      <c r="BR503" s="435">
        <f t="shared" ref="BR503" si="1975">+BP503/BC503</f>
        <v>6.4318616787435196E-2</v>
      </c>
      <c r="BS503" s="66"/>
      <c r="BT503" s="75"/>
      <c r="BU503" s="170"/>
      <c r="BV503" s="1"/>
      <c r="BW503" s="61">
        <f t="shared" si="1175"/>
        <v>494</v>
      </c>
    </row>
    <row r="504" spans="2:75" x14ac:dyDescent="0.3">
      <c r="B504" s="158">
        <f t="shared" si="424"/>
        <v>44404</v>
      </c>
      <c r="C504" s="61"/>
      <c r="D504" s="17">
        <v>61581</v>
      </c>
      <c r="E504" s="16"/>
      <c r="F504" s="16"/>
      <c r="G504" s="16"/>
      <c r="H504" s="16">
        <f t="shared" ref="H504" si="1976">+H503+D504</f>
        <v>34799115</v>
      </c>
      <c r="I504" s="16"/>
      <c r="J504" s="436">
        <f t="shared" ref="J504" si="1977">+D504/H503</f>
        <v>1.7727510536585584E-3</v>
      </c>
      <c r="K504" s="16"/>
      <c r="L504" s="16"/>
      <c r="M504" s="16"/>
      <c r="N504" s="16">
        <f t="shared" ref="N504" si="1978">SUM(D498:D504)</f>
        <v>333655</v>
      </c>
      <c r="O504" s="16">
        <f t="shared" ref="O504" si="1979">+H504/BW504</f>
        <v>70301.242424242431</v>
      </c>
      <c r="P504" s="41"/>
      <c r="Q504" s="17">
        <f t="shared" ref="Q504" si="1980">SUM(D498:D504)</f>
        <v>333655</v>
      </c>
      <c r="R504" s="16"/>
      <c r="S504" s="60">
        <f t="shared" ref="S504" si="1981">+(Q504-Q497)/Q497</f>
        <v>0.41488951178244149</v>
      </c>
      <c r="T504" s="16"/>
      <c r="U504" s="41"/>
      <c r="V504" s="10">
        <f t="shared" si="349"/>
        <v>396</v>
      </c>
      <c r="W504" s="34">
        <v>339</v>
      </c>
      <c r="X504" s="33">
        <v>4256</v>
      </c>
      <c r="Y504" s="33"/>
      <c r="Z504" s="33">
        <f t="shared" ref="Z504" si="1982">SUM(W499:W504)</f>
        <v>1464</v>
      </c>
      <c r="AA504" s="33">
        <f t="shared" ref="AA504" si="1983">+AA503+W504</f>
        <v>611230</v>
      </c>
      <c r="AB504" s="33"/>
      <c r="AC504" s="46">
        <f t="shared" ref="AC504" si="1984">+AA504/H504</f>
        <v>1.7564527143865583E-2</v>
      </c>
      <c r="AD504" s="33"/>
      <c r="AE504" s="33">
        <f t="shared" ref="AE504" si="1985">+AA504/BW504</f>
        <v>1234.8080808080808</v>
      </c>
      <c r="AF504" s="50"/>
      <c r="AG504" s="33">
        <f t="shared" ref="AG504" si="1986">SUM(W498:W504)</f>
        <v>1880</v>
      </c>
      <c r="AH504" s="33">
        <f t="shared" ref="AH504" si="1987">SUM(D475:D904)</f>
        <v>1117091651.060914</v>
      </c>
      <c r="AI504" s="213">
        <f t="shared" ref="AI504" si="1988">+(AG504-AG497)/AG497</f>
        <v>0.19592875318066158</v>
      </c>
      <c r="AJ504" s="50"/>
      <c r="AK504" s="111"/>
      <c r="AL504" s="23">
        <f t="shared" ref="AL504" si="1989">+AP504-AP503</f>
        <v>22966</v>
      </c>
      <c r="AM504" s="24"/>
      <c r="AN504" s="24"/>
      <c r="AO504" s="24">
        <v>178263</v>
      </c>
      <c r="AP504" s="24">
        <v>29571434</v>
      </c>
      <c r="AQ504" s="24">
        <v>20336656</v>
      </c>
      <c r="AR504" s="461">
        <f t="shared" ref="AR504" si="1990">+AL504/AP503</f>
        <v>7.7723149640109934E-4</v>
      </c>
      <c r="AS504" s="25"/>
      <c r="AT504" s="25"/>
      <c r="AU504" s="24"/>
      <c r="AV504" s="298">
        <f t="shared" ref="AV504" si="1991">+AP504/H504</f>
        <v>0.84977546124377012</v>
      </c>
      <c r="AW504" s="298"/>
      <c r="AX504" s="24">
        <f t="shared" ref="AX504" si="1992">+AP504/BW504</f>
        <v>59740.270707070704</v>
      </c>
      <c r="AY504" s="308"/>
      <c r="AZ504" s="111"/>
      <c r="BA504" s="65">
        <f t="shared" ref="BA504:BA505" si="1993">+BC504-BC503</f>
        <v>892346</v>
      </c>
      <c r="BB504" s="66"/>
      <c r="BC504" s="66">
        <v>526876232</v>
      </c>
      <c r="BD504" s="66"/>
      <c r="BE504" s="66">
        <f t="shared" ref="BE504" si="1994">+D504</f>
        <v>61581</v>
      </c>
      <c r="BF504" s="66"/>
      <c r="BG504" s="144">
        <f t="shared" ref="BG504" si="1995">+BE504/BA504</f>
        <v>6.9010226974738492E-2</v>
      </c>
      <c r="BH504" s="66"/>
      <c r="BI504" s="170"/>
      <c r="BJ504" s="66"/>
      <c r="BK504" s="66">
        <f t="shared" ref="BK504" si="1996">SUM(BA498:BA504)</f>
        <v>8218001</v>
      </c>
      <c r="BL504" s="66"/>
      <c r="BM504" s="144">
        <f t="shared" ref="BM504" si="1997">+Q504/BK504</f>
        <v>4.060050613281746E-2</v>
      </c>
      <c r="BN504" s="65">
        <f t="shared" ref="BN504" si="1998">+BC504/BW504</f>
        <v>1064396.4282828283</v>
      </c>
      <c r="BO504" s="66"/>
      <c r="BP504" s="66">
        <f t="shared" ref="BP504" si="1999">+BP503+BE504</f>
        <v>33892137</v>
      </c>
      <c r="BQ504" s="66"/>
      <c r="BR504" s="435">
        <f t="shared" ref="BR504" si="2000">+BP504/BC504</f>
        <v>6.4326562751458483E-2</v>
      </c>
      <c r="BS504" s="66"/>
      <c r="BT504" s="75"/>
      <c r="BU504" s="170"/>
      <c r="BV504" s="1"/>
      <c r="BW504" s="61">
        <f t="shared" si="1175"/>
        <v>495</v>
      </c>
    </row>
    <row r="505" spans="2:75" x14ac:dyDescent="0.3">
      <c r="B505" s="158">
        <f t="shared" si="424"/>
        <v>44405</v>
      </c>
      <c r="C505" s="61"/>
      <c r="D505" s="17">
        <v>84534</v>
      </c>
      <c r="E505" s="16"/>
      <c r="F505" s="16"/>
      <c r="G505" s="16"/>
      <c r="H505" s="16">
        <f t="shared" ref="H505" si="2001">+H504+D505</f>
        <v>34883649</v>
      </c>
      <c r="I505" s="16"/>
      <c r="J505" s="436">
        <f t="shared" ref="J505" si="2002">+D505/H504</f>
        <v>2.4291997080960249E-3</v>
      </c>
      <c r="K505" s="16"/>
      <c r="L505" s="16"/>
      <c r="M505" s="16"/>
      <c r="N505" s="16">
        <f t="shared" ref="N505" si="2003">SUM(D499:D505)</f>
        <v>361664</v>
      </c>
      <c r="O505" s="16">
        <f t="shared" ref="O505" si="2004">+H505/BW505</f>
        <v>70329.9375</v>
      </c>
      <c r="P505" s="41"/>
      <c r="Q505" s="17">
        <f t="shared" ref="Q505" si="2005">SUM(D499:D505)</f>
        <v>361664</v>
      </c>
      <c r="R505" s="16"/>
      <c r="S505" s="60">
        <f t="shared" ref="S505" si="2006">+(Q505-Q498)/Q498</f>
        <v>0.40782810097510658</v>
      </c>
      <c r="T505" s="16"/>
      <c r="U505" s="41"/>
      <c r="V505" s="10">
        <f t="shared" si="349"/>
        <v>397</v>
      </c>
      <c r="W505" s="34">
        <v>483</v>
      </c>
      <c r="X505" s="33">
        <v>4256</v>
      </c>
      <c r="Y505" s="33"/>
      <c r="Z505" s="33">
        <f t="shared" ref="Z505" si="2007">SUM(W500:W505)</f>
        <v>1582</v>
      </c>
      <c r="AA505" s="33">
        <f t="shared" ref="AA505" si="2008">+AA504+W505</f>
        <v>611713</v>
      </c>
      <c r="AB505" s="33"/>
      <c r="AC505" s="46">
        <f t="shared" ref="AC505" si="2009">+AA505/H505</f>
        <v>1.7535808825504463E-2</v>
      </c>
      <c r="AD505" s="33"/>
      <c r="AE505" s="33">
        <f t="shared" ref="AE505" si="2010">+AA505/BW505</f>
        <v>1233.2923387096773</v>
      </c>
      <c r="AF505" s="50"/>
      <c r="AG505" s="33">
        <f t="shared" ref="AG505" si="2011">SUM(W499:W505)</f>
        <v>1947</v>
      </c>
      <c r="AH505" s="33">
        <f t="shared" ref="AH505" si="2012">SUM(D476:D905)</f>
        <v>1117079669.060914</v>
      </c>
      <c r="AI505" s="213">
        <f t="shared" ref="AI505" si="2013">+(AG505-AG498)/AG498</f>
        <v>0.18647166361974407</v>
      </c>
      <c r="AJ505" s="50"/>
      <c r="AK505" s="111"/>
      <c r="AL505" s="23">
        <f t="shared" ref="AL505" si="2014">+AP505-AP504</f>
        <v>32524</v>
      </c>
      <c r="AM505" s="24"/>
      <c r="AN505" s="24"/>
      <c r="AO505" s="24">
        <v>178263</v>
      </c>
      <c r="AP505" s="24">
        <v>29603958</v>
      </c>
      <c r="AQ505" s="24">
        <v>20336656</v>
      </c>
      <c r="AR505" s="461">
        <f t="shared" ref="AR505" si="2015">+AL505/AP504</f>
        <v>1.0998452087240679E-3</v>
      </c>
      <c r="AS505" s="25"/>
      <c r="AT505" s="25"/>
      <c r="AU505" s="24"/>
      <c r="AV505" s="298">
        <f t="shared" ref="AV505" si="2016">+AP505/H505</f>
        <v>0.84864854591330163</v>
      </c>
      <c r="AW505" s="298"/>
      <c r="AX505" s="24">
        <f t="shared" ref="AX505" si="2017">+AP505/BW505</f>
        <v>59685.399193548386</v>
      </c>
      <c r="AY505" s="308"/>
      <c r="AZ505" s="111"/>
      <c r="BA505" s="65">
        <f t="shared" si="1993"/>
        <v>204920</v>
      </c>
      <c r="BB505" s="66"/>
      <c r="BC505" s="66">
        <v>527081152</v>
      </c>
      <c r="BD505" s="66"/>
      <c r="BE505" s="66">
        <f t="shared" ref="BE505" si="2018">+D505</f>
        <v>84534</v>
      </c>
      <c r="BF505" s="66"/>
      <c r="BG505" s="144">
        <f t="shared" ref="BG505" si="2019">+BE505/BA505</f>
        <v>0.41252195978918604</v>
      </c>
      <c r="BH505" s="66"/>
      <c r="BI505" s="170"/>
      <c r="BJ505" s="66"/>
      <c r="BK505" s="66">
        <f t="shared" ref="BK505" si="2020">SUM(BA499:BA505)</f>
        <v>7600901</v>
      </c>
      <c r="BL505" s="66"/>
      <c r="BM505" s="144">
        <f t="shared" ref="BM505" si="2021">+Q505/BK505</f>
        <v>4.7581727482044561E-2</v>
      </c>
      <c r="BN505" s="65">
        <f t="shared" ref="BN505" si="2022">+BC505/BW505</f>
        <v>1062663.6129032257</v>
      </c>
      <c r="BO505" s="66"/>
      <c r="BP505" s="66">
        <f t="shared" ref="BP505" si="2023">+BP504+BE505</f>
        <v>33976671</v>
      </c>
      <c r="BQ505" s="66"/>
      <c r="BR505" s="435">
        <f t="shared" ref="BR505" si="2024">+BP505/BC505</f>
        <v>6.4461935075986174E-2</v>
      </c>
      <c r="BS505" s="66"/>
      <c r="BT505" s="75"/>
      <c r="BU505" s="170"/>
      <c r="BV505" s="1"/>
      <c r="BW505" s="61">
        <f t="shared" si="1175"/>
        <v>496</v>
      </c>
    </row>
    <row r="506" spans="2:75" x14ac:dyDescent="0.3">
      <c r="B506" s="158">
        <f t="shared" si="424"/>
        <v>44406</v>
      </c>
      <c r="C506" s="61"/>
      <c r="D506" s="17">
        <v>84513</v>
      </c>
      <c r="E506" s="16"/>
      <c r="F506" s="16"/>
      <c r="G506" s="16"/>
      <c r="H506" s="16">
        <f t="shared" ref="H506" si="2025">+H505+D506</f>
        <v>34968162</v>
      </c>
      <c r="I506" s="16"/>
      <c r="J506" s="436">
        <f t="shared" ref="J506" si="2026">+D506/H505</f>
        <v>2.422710995630073E-3</v>
      </c>
      <c r="K506" s="16"/>
      <c r="L506" s="16"/>
      <c r="M506" s="16"/>
      <c r="N506" s="16">
        <f t="shared" ref="N506" si="2027">SUM(D500:D506)</f>
        <v>384526</v>
      </c>
      <c r="O506" s="16">
        <f t="shared" ref="O506" si="2028">+H506/BW506</f>
        <v>70358.474849094564</v>
      </c>
      <c r="P506" s="41"/>
      <c r="Q506" s="17">
        <f t="shared" ref="Q506" si="2029">SUM(D500:D506)</f>
        <v>384526</v>
      </c>
      <c r="R506" s="16"/>
      <c r="S506" s="60">
        <f t="shared" ref="S506" si="2030">+(Q506-Q499)/Q499</f>
        <v>0.36418658114321395</v>
      </c>
      <c r="T506" s="16"/>
      <c r="U506" s="41"/>
      <c r="V506" s="10">
        <f t="shared" si="349"/>
        <v>398</v>
      </c>
      <c r="W506" s="34">
        <v>485</v>
      </c>
      <c r="X506" s="33">
        <v>4256</v>
      </c>
      <c r="Y506" s="33"/>
      <c r="Z506" s="33">
        <f t="shared" ref="Z506" si="2031">SUM(W501:W506)</f>
        <v>1639</v>
      </c>
      <c r="AA506" s="33">
        <f t="shared" ref="AA506" si="2032">+AA505+W506</f>
        <v>612198</v>
      </c>
      <c r="AB506" s="33"/>
      <c r="AC506" s="46">
        <f t="shared" ref="AC506" si="2033">+AA506/H506</f>
        <v>1.7507297066400002E-2</v>
      </c>
      <c r="AD506" s="33"/>
      <c r="AE506" s="33">
        <f t="shared" ref="AE506" si="2034">+AA506/BW506</f>
        <v>1231.7867203219316</v>
      </c>
      <c r="AF506" s="50"/>
      <c r="AG506" s="33">
        <f t="shared" ref="AG506" si="2035">SUM(W500:W506)</f>
        <v>2067</v>
      </c>
      <c r="AH506" s="33">
        <f t="shared" ref="AH506" si="2036">SUM(D477:D906)</f>
        <v>1117068242.060914</v>
      </c>
      <c r="AI506" s="213">
        <f t="shared" ref="AI506" si="2037">+(AG506-AG499)/AG499</f>
        <v>0.24368231046931407</v>
      </c>
      <c r="AJ506" s="50"/>
      <c r="AK506" s="111" t="s">
        <v>26</v>
      </c>
      <c r="AL506" s="23">
        <f t="shared" ref="AL506" si="2038">+AP506-AP505</f>
        <v>46042</v>
      </c>
      <c r="AM506" s="24"/>
      <c r="AN506" s="24"/>
      <c r="AO506" s="24">
        <v>178263</v>
      </c>
      <c r="AP506" s="24">
        <v>29650000</v>
      </c>
      <c r="AQ506" s="24">
        <v>20336656</v>
      </c>
      <c r="AR506" s="461">
        <f t="shared" ref="AR506" si="2039">+AL506/AP505</f>
        <v>1.5552650088207799E-3</v>
      </c>
      <c r="AS506" s="25"/>
      <c r="AT506" s="25"/>
      <c r="AU506" s="24"/>
      <c r="AV506" s="298">
        <f t="shared" ref="AV506" si="2040">+AP506/H506</f>
        <v>0.84791416832260158</v>
      </c>
      <c r="AW506" s="298"/>
      <c r="AX506" s="24">
        <f t="shared" ref="AX506" si="2041">+AP506/BW506</f>
        <v>59657.947686116699</v>
      </c>
      <c r="AY506" s="308"/>
      <c r="AZ506" s="111" t="s">
        <v>26</v>
      </c>
      <c r="BA506" s="65">
        <f t="shared" ref="BA506" si="2042">+BC506-BC505</f>
        <v>218848</v>
      </c>
      <c r="BB506" s="66"/>
      <c r="BC506" s="66">
        <v>527300000</v>
      </c>
      <c r="BD506" s="66"/>
      <c r="BE506" s="66">
        <f t="shared" ref="BE506" si="2043">+D506</f>
        <v>84513</v>
      </c>
      <c r="BF506" s="66"/>
      <c r="BG506" s="144">
        <f t="shared" ref="BG506" si="2044">+BE506/BA506</f>
        <v>0.38617213773943559</v>
      </c>
      <c r="BH506" s="66"/>
      <c r="BI506" s="170"/>
      <c r="BJ506" s="66"/>
      <c r="BK506" s="66">
        <f t="shared" ref="BK506" si="2045">SUM(BA500:BA506)</f>
        <v>6888512</v>
      </c>
      <c r="BL506" s="66"/>
      <c r="BM506" s="144">
        <f t="shared" ref="BM506" si="2046">+Q506/BK506</f>
        <v>5.5821344290319881E-2</v>
      </c>
      <c r="BN506" s="65">
        <f t="shared" ref="BN506" si="2047">+BC506/BW506</f>
        <v>1060965.7947686117</v>
      </c>
      <c r="BO506" s="66"/>
      <c r="BP506" s="66">
        <f t="shared" ref="BP506" si="2048">+BP505+BE506</f>
        <v>34061184</v>
      </c>
      <c r="BQ506" s="66"/>
      <c r="BR506" s="435">
        <f t="shared" ref="BR506" si="2049">+BP506/BC506</f>
        <v>6.4595456097098422E-2</v>
      </c>
      <c r="BS506" s="66"/>
      <c r="BT506" s="75"/>
      <c r="BU506" s="170"/>
      <c r="BV506" s="1"/>
      <c r="BW506" s="61">
        <f t="shared" si="1175"/>
        <v>497</v>
      </c>
    </row>
    <row r="507" spans="2:75" x14ac:dyDescent="0.3">
      <c r="B507" s="158">
        <f t="shared" si="424"/>
        <v>44407</v>
      </c>
      <c r="C507" s="61"/>
      <c r="D507" s="17">
        <v>101098</v>
      </c>
      <c r="E507" s="16"/>
      <c r="F507" s="16"/>
      <c r="G507" s="16"/>
      <c r="H507" s="16">
        <f t="shared" ref="H507" si="2050">+H506+D507</f>
        <v>35069260</v>
      </c>
      <c r="I507" s="16"/>
      <c r="J507" s="436">
        <f t="shared" ref="J507" si="2051">+D507/H506</f>
        <v>2.8911442357193382E-3</v>
      </c>
      <c r="K507" s="16"/>
      <c r="L507" s="16"/>
      <c r="M507" s="16"/>
      <c r="N507" s="16">
        <f t="shared" ref="N507" si="2052">SUM(D501:D507)</f>
        <v>418139</v>
      </c>
      <c r="O507" s="16">
        <f t="shared" ref="O507" si="2053">+H507/BW507</f>
        <v>70420.200803212851</v>
      </c>
      <c r="P507" s="41"/>
      <c r="Q507" s="17">
        <f t="shared" ref="Q507" si="2054">SUM(D501:D507)</f>
        <v>418139</v>
      </c>
      <c r="R507" s="16"/>
      <c r="S507" s="60">
        <f t="shared" ref="S507" si="2055">+(Q507-Q500)/Q500</f>
        <v>0.35395430466149441</v>
      </c>
      <c r="T507" s="16"/>
      <c r="U507" s="41"/>
      <c r="V507" s="10">
        <f t="shared" si="349"/>
        <v>399</v>
      </c>
      <c r="W507" s="34">
        <v>429</v>
      </c>
      <c r="X507" s="33">
        <v>4256</v>
      </c>
      <c r="Y507" s="33"/>
      <c r="Z507" s="33">
        <f t="shared" ref="Z507" si="2056">SUM(W502:W507)</f>
        <v>1917</v>
      </c>
      <c r="AA507" s="33">
        <f t="shared" ref="AA507" si="2057">+AA506+W507</f>
        <v>612627</v>
      </c>
      <c r="AB507" s="33"/>
      <c r="AC507" s="46">
        <f t="shared" ref="AC507" si="2058">+AA507/H507</f>
        <v>1.7469059797668957E-2</v>
      </c>
      <c r="AD507" s="33"/>
      <c r="AE507" s="33">
        <f t="shared" ref="AE507" si="2059">+AA507/BW507</f>
        <v>1230.1746987951808</v>
      </c>
      <c r="AF507" s="50"/>
      <c r="AG507" s="33">
        <f t="shared" ref="AG507" si="2060">SUM(W501:W507)</f>
        <v>2068</v>
      </c>
      <c r="AH507" s="33">
        <f t="shared" ref="AH507" si="2061">SUM(D478:D907)</f>
        <v>1117054045.060914</v>
      </c>
      <c r="AI507" s="213">
        <f t="shared" ref="AI507" si="2062">+(AG507-AG500)/AG500</f>
        <v>0.15080690038953812</v>
      </c>
      <c r="AJ507" s="50"/>
      <c r="AK507" s="111" t="s">
        <v>26</v>
      </c>
      <c r="AL507" s="23">
        <f t="shared" ref="AL507" si="2063">+AP507-AP506</f>
        <v>2038</v>
      </c>
      <c r="AM507" s="24"/>
      <c r="AN507" s="24"/>
      <c r="AO507" s="24">
        <v>178263</v>
      </c>
      <c r="AP507" s="24">
        <v>29652038</v>
      </c>
      <c r="AQ507" s="24">
        <v>20336656</v>
      </c>
      <c r="AR507" s="461">
        <f t="shared" ref="AR507" si="2064">+AL507/AP506</f>
        <v>6.8735244519392918E-5</v>
      </c>
      <c r="AS507" s="25"/>
      <c r="AT507" s="25"/>
      <c r="AU507" s="24"/>
      <c r="AV507" s="298">
        <f t="shared" ref="AV507" si="2065">+AP507/H507</f>
        <v>0.84552790677647605</v>
      </c>
      <c r="AW507" s="298"/>
      <c r="AX507" s="24">
        <f t="shared" ref="AX507" si="2066">+AP507/BW507</f>
        <v>59542.244979919677</v>
      </c>
      <c r="AY507" s="308"/>
      <c r="AZ507" s="111" t="s">
        <v>26</v>
      </c>
      <c r="BA507" s="65">
        <f t="shared" ref="BA507" si="2067">+BC507-BC506</f>
        <v>1878910</v>
      </c>
      <c r="BB507" s="66"/>
      <c r="BC507" s="66">
        <v>529178910</v>
      </c>
      <c r="BD507" s="66"/>
      <c r="BE507" s="66">
        <f t="shared" ref="BE507" si="2068">+D507</f>
        <v>101098</v>
      </c>
      <c r="BF507" s="66"/>
      <c r="BG507" s="144">
        <f t="shared" ref="BG507" si="2069">+BE507/BA507</f>
        <v>5.3806728369107618E-2</v>
      </c>
      <c r="BH507" s="66"/>
      <c r="BI507" s="170"/>
      <c r="BJ507" s="66"/>
      <c r="BK507" s="66">
        <f t="shared" ref="BK507" si="2070">SUM(BA501:BA507)</f>
        <v>7837054</v>
      </c>
      <c r="BL507" s="66"/>
      <c r="BM507" s="144">
        <f t="shared" ref="BM507" si="2071">+Q507/BK507</f>
        <v>5.3354104743950977E-2</v>
      </c>
      <c r="BN507" s="65">
        <f t="shared" ref="BN507" si="2072">+BC507/BW507</f>
        <v>1062608.2530120481</v>
      </c>
      <c r="BO507" s="66"/>
      <c r="BP507" s="66">
        <f t="shared" ref="BP507" si="2073">+BP506+BE507</f>
        <v>34162282</v>
      </c>
      <c r="BQ507" s="66"/>
      <c r="BR507" s="435">
        <f t="shared" ref="BR507" si="2074">+BP507/BC507</f>
        <v>6.4557149490330215E-2</v>
      </c>
      <c r="BS507" s="66"/>
      <c r="BT507" s="75"/>
      <c r="BU507" s="170"/>
      <c r="BV507" s="1"/>
      <c r="BW507" s="61">
        <f t="shared" si="1175"/>
        <v>498</v>
      </c>
    </row>
    <row r="508" spans="2:75" x14ac:dyDescent="0.3">
      <c r="B508" s="158">
        <f t="shared" si="424"/>
        <v>44408</v>
      </c>
      <c r="C508" s="61"/>
      <c r="D508" s="17">
        <v>51898</v>
      </c>
      <c r="E508" s="16"/>
      <c r="F508" s="16"/>
      <c r="G508" s="16"/>
      <c r="H508" s="16">
        <f t="shared" ref="H508" si="2075">+H507+D508</f>
        <v>35121158</v>
      </c>
      <c r="I508" s="16"/>
      <c r="J508" s="436">
        <f t="shared" ref="J508" si="2076">+D508/H507</f>
        <v>1.4798715456214361E-3</v>
      </c>
      <c r="K508" s="16"/>
      <c r="L508" s="16"/>
      <c r="M508" s="16"/>
      <c r="N508" s="16">
        <f t="shared" ref="N508" si="2077">SUM(D502:D508)</f>
        <v>433258</v>
      </c>
      <c r="O508" s="16">
        <f t="shared" ref="O508" si="2078">+H508/BW508</f>
        <v>70383.082164328662</v>
      </c>
      <c r="P508" s="41"/>
      <c r="Q508" s="17">
        <f t="shared" ref="Q508" si="2079">SUM(D502:D508)</f>
        <v>433258</v>
      </c>
      <c r="R508" s="16"/>
      <c r="S508" s="60">
        <f t="shared" ref="S508" si="2080">+(Q508-Q501)/Q501</f>
        <v>0.34750533393877947</v>
      </c>
      <c r="T508" s="16"/>
      <c r="U508" s="41"/>
      <c r="V508" s="10">
        <f t="shared" si="349"/>
        <v>400</v>
      </c>
      <c r="W508" s="34">
        <v>241</v>
      </c>
      <c r="X508" s="33">
        <v>4256</v>
      </c>
      <c r="Y508" s="33"/>
      <c r="Z508" s="33">
        <f t="shared" ref="Z508" si="2081">SUM(W503:W508)</f>
        <v>2109</v>
      </c>
      <c r="AA508" s="33">
        <f t="shared" ref="AA508" si="2082">+AA507+W508</f>
        <v>612868</v>
      </c>
      <c r="AB508" s="33"/>
      <c r="AC508" s="46">
        <f t="shared" ref="AC508" si="2083">+AA508/H508</f>
        <v>1.7450107994730697E-2</v>
      </c>
      <c r="AD508" s="33"/>
      <c r="AE508" s="33">
        <f t="shared" ref="AE508" si="2084">+AA508/BW508</f>
        <v>1228.1923847695391</v>
      </c>
      <c r="AF508" s="50"/>
      <c r="AG508" s="33">
        <f t="shared" ref="AG508" si="2085">SUM(W502:W508)</f>
        <v>2158</v>
      </c>
      <c r="AH508" s="33">
        <f t="shared" ref="AH508" si="2086">SUM(D479:D908)</f>
        <v>1117037096.060914</v>
      </c>
      <c r="AI508" s="213">
        <f t="shared" ref="AI508" si="2087">+(AG508-AG501)/AG501</f>
        <v>0.17602179836512261</v>
      </c>
      <c r="AJ508" s="50"/>
      <c r="AK508" s="111" t="s">
        <v>26</v>
      </c>
      <c r="AL508" s="23">
        <f t="shared" ref="AL508" si="2088">+AP508-AP507</f>
        <v>14079</v>
      </c>
      <c r="AM508" s="24"/>
      <c r="AN508" s="24"/>
      <c r="AO508" s="24">
        <v>178263</v>
      </c>
      <c r="AP508" s="24">
        <v>29666117</v>
      </c>
      <c r="AQ508" s="24">
        <v>20336656</v>
      </c>
      <c r="AR508" s="461">
        <f t="shared" ref="AR508" si="2089">+AL508/AP507</f>
        <v>4.7480716165276734E-4</v>
      </c>
      <c r="AS508" s="25"/>
      <c r="AT508" s="25"/>
      <c r="AU508" s="24"/>
      <c r="AV508" s="298">
        <f t="shared" ref="AV508" si="2090">+AP508/H508</f>
        <v>0.84467935254298843</v>
      </c>
      <c r="AW508" s="298"/>
      <c r="AX508" s="24">
        <f t="shared" ref="AX508" si="2091">+AP508/BW508</f>
        <v>59451.136272545089</v>
      </c>
      <c r="AY508" s="308"/>
      <c r="AZ508" s="111" t="s">
        <v>26</v>
      </c>
      <c r="BA508" s="65">
        <f t="shared" ref="BA508" si="2092">+BC508-BC507</f>
        <v>500910</v>
      </c>
      <c r="BB508" s="66"/>
      <c r="BC508" s="66">
        <v>529679820</v>
      </c>
      <c r="BD508" s="66"/>
      <c r="BE508" s="66">
        <f t="shared" ref="BE508" si="2093">+D508</f>
        <v>51898</v>
      </c>
      <c r="BF508" s="66"/>
      <c r="BG508" s="144">
        <f t="shared" ref="BG508" si="2094">+BE508/BA508</f>
        <v>0.10360743446926593</v>
      </c>
      <c r="BH508" s="66"/>
      <c r="BI508" s="170"/>
      <c r="BJ508" s="66"/>
      <c r="BK508" s="66">
        <f t="shared" ref="BK508" si="2095">SUM(BA502:BA508)</f>
        <v>7944511</v>
      </c>
      <c r="BL508" s="66"/>
      <c r="BM508" s="144">
        <f t="shared" ref="BM508" si="2096">+Q508/BK508</f>
        <v>5.4535515150019934E-2</v>
      </c>
      <c r="BN508" s="65">
        <f t="shared" ref="BN508" si="2097">+BC508/BW508</f>
        <v>1061482.6052104209</v>
      </c>
      <c r="BO508" s="66"/>
      <c r="BP508" s="66">
        <f t="shared" ref="BP508" si="2098">+BP507+BE508</f>
        <v>34214180</v>
      </c>
      <c r="BQ508" s="66"/>
      <c r="BR508" s="435">
        <f t="shared" ref="BR508" si="2099">+BP508/BC508</f>
        <v>6.4594078739869679E-2</v>
      </c>
      <c r="BS508" s="66"/>
      <c r="BT508" s="75"/>
      <c r="BU508" s="170"/>
      <c r="BV508" s="1"/>
      <c r="BW508" s="61">
        <f t="shared" si="1175"/>
        <v>499</v>
      </c>
    </row>
    <row r="509" spans="2:75" x14ac:dyDescent="0.3">
      <c r="B509" s="347">
        <f t="shared" si="424"/>
        <v>44409</v>
      </c>
      <c r="C509" s="61"/>
      <c r="D509" s="17">
        <v>21768</v>
      </c>
      <c r="E509" s="16"/>
      <c r="F509" s="16"/>
      <c r="G509" s="16"/>
      <c r="H509" s="16">
        <f t="shared" ref="H509" si="2100">+H508+D509</f>
        <v>35142926</v>
      </c>
      <c r="I509" s="16"/>
      <c r="J509" s="436">
        <f t="shared" ref="J509" si="2101">+D509/H508</f>
        <v>6.1979733128389447E-4</v>
      </c>
      <c r="K509" s="16"/>
      <c r="L509" s="16"/>
      <c r="M509" s="16"/>
      <c r="N509" s="16">
        <f t="shared" ref="N509" si="2102">SUM(D503:D509)</f>
        <v>441208</v>
      </c>
      <c r="O509" s="16">
        <f t="shared" ref="O509" si="2103">+H509/BW509</f>
        <v>70285.851999999999</v>
      </c>
      <c r="P509" s="41"/>
      <c r="Q509" s="17">
        <f t="shared" ref="Q509" si="2104">SUM(D503:D509)</f>
        <v>441208</v>
      </c>
      <c r="R509" s="16"/>
      <c r="S509" s="60">
        <f t="shared" ref="S509" si="2105">+(Q509-Q502)/Q502</f>
        <v>0.40931305219985564</v>
      </c>
      <c r="T509" s="16"/>
      <c r="U509" s="41"/>
      <c r="V509" s="10">
        <f t="shared" si="349"/>
        <v>401</v>
      </c>
      <c r="W509" s="34">
        <v>64</v>
      </c>
      <c r="X509" s="33">
        <v>4256</v>
      </c>
      <c r="Y509" s="33"/>
      <c r="Z509" s="33">
        <f t="shared" ref="Z509" si="2106">SUM(W504:W509)</f>
        <v>2041</v>
      </c>
      <c r="AA509" s="33">
        <f t="shared" ref="AA509" si="2107">+AA508+W509</f>
        <v>612932</v>
      </c>
      <c r="AB509" s="33"/>
      <c r="AC509" s="46">
        <f t="shared" ref="AC509" si="2108">+AA509/H509</f>
        <v>1.7441120298292749E-2</v>
      </c>
      <c r="AD509" s="33"/>
      <c r="AE509" s="33">
        <f t="shared" ref="AE509" si="2109">+AA509/BW509</f>
        <v>1225.864</v>
      </c>
      <c r="AF509" s="50"/>
      <c r="AG509" s="33">
        <f t="shared" ref="AG509" si="2110">SUM(W503:W509)</f>
        <v>2173</v>
      </c>
      <c r="AH509" s="33">
        <f t="shared" ref="AH509" si="2111">SUM(D480:D909)</f>
        <v>1117018697.060914</v>
      </c>
      <c r="AI509" s="213">
        <f t="shared" ref="AI509" si="2112">+(AG509-AG502)/AG502</f>
        <v>0.20588235294117646</v>
      </c>
      <c r="AJ509" s="50"/>
      <c r="AK509" s="111" t="s">
        <v>26</v>
      </c>
      <c r="AL509" s="23">
        <f t="shared" ref="AL509" si="2113">+AP509-AP508</f>
        <v>7173</v>
      </c>
      <c r="AM509" s="24"/>
      <c r="AN509" s="24"/>
      <c r="AO509" s="24">
        <v>178263</v>
      </c>
      <c r="AP509" s="24">
        <v>29673290</v>
      </c>
      <c r="AQ509" s="24">
        <v>20336656</v>
      </c>
      <c r="AR509" s="461">
        <f t="shared" ref="AR509" si="2114">+AL509/AP508</f>
        <v>2.4179099677925492E-4</v>
      </c>
      <c r="AS509" s="25"/>
      <c r="AT509" s="25"/>
      <c r="AU509" s="24"/>
      <c r="AV509" s="298">
        <f t="shared" ref="AV509" si="2115">+AP509/H509</f>
        <v>0.84436025617218102</v>
      </c>
      <c r="AW509" s="298"/>
      <c r="AX509" s="24">
        <f t="shared" ref="AX509" si="2116">+AP509/BW509</f>
        <v>59346.58</v>
      </c>
      <c r="AY509" s="308"/>
      <c r="AZ509" s="111" t="s">
        <v>26</v>
      </c>
      <c r="BA509" s="65">
        <f t="shared" ref="BA509" si="2117">+BC509-BC508</f>
        <v>238229</v>
      </c>
      <c r="BB509" s="66"/>
      <c r="BC509" s="66">
        <v>529918049</v>
      </c>
      <c r="BD509" s="66"/>
      <c r="BE509" s="66">
        <f t="shared" ref="BE509" si="2118">+D509</f>
        <v>21768</v>
      </c>
      <c r="BF509" s="66"/>
      <c r="BG509" s="144">
        <f t="shared" ref="BG509" si="2119">+BE509/BA509</f>
        <v>9.1374265937396365E-2</v>
      </c>
      <c r="BH509" s="66"/>
      <c r="BI509" s="170"/>
      <c r="BJ509" s="66"/>
      <c r="BK509" s="66">
        <f t="shared" ref="BK509" si="2120">SUM(BA503:BA509)</f>
        <v>6309093</v>
      </c>
      <c r="BL509" s="66"/>
      <c r="BM509" s="144">
        <f t="shared" ref="BM509" si="2121">+Q509/BK509</f>
        <v>6.9932080570059757E-2</v>
      </c>
      <c r="BN509" s="65">
        <f t="shared" ref="BN509" si="2122">+BC509/BW509</f>
        <v>1059836.098</v>
      </c>
      <c r="BO509" s="66"/>
      <c r="BP509" s="66">
        <f t="shared" ref="BP509" si="2123">+BP508+BE509</f>
        <v>34235948</v>
      </c>
      <c r="BQ509" s="66"/>
      <c r="BR509" s="435">
        <f t="shared" ref="BR509" si="2124">+BP509/BC509</f>
        <v>6.4606117992406786E-2</v>
      </c>
      <c r="BS509" s="66"/>
      <c r="BT509" s="75"/>
      <c r="BU509" s="170"/>
      <c r="BV509" s="1"/>
      <c r="BW509" s="61">
        <f t="shared" si="1175"/>
        <v>500</v>
      </c>
    </row>
    <row r="510" spans="2:75" x14ac:dyDescent="0.3">
      <c r="B510" s="158">
        <f t="shared" si="424"/>
        <v>44410</v>
      </c>
      <c r="C510" s="61"/>
      <c r="D510" s="17"/>
      <c r="E510" s="16"/>
      <c r="F510" s="16"/>
      <c r="G510" s="16"/>
      <c r="H510" s="16"/>
      <c r="I510" s="16"/>
      <c r="J510" s="436"/>
      <c r="K510" s="16"/>
      <c r="L510" s="16"/>
      <c r="M510" s="16"/>
      <c r="N510" s="16"/>
      <c r="O510" s="16"/>
      <c r="P510" s="41"/>
      <c r="Q510" s="17"/>
      <c r="R510" s="16"/>
      <c r="S510" s="60"/>
      <c r="T510" s="16"/>
      <c r="U510" s="41"/>
      <c r="V510" s="10"/>
      <c r="W510" s="34"/>
      <c r="X510" s="33"/>
      <c r="Y510" s="33"/>
      <c r="Z510" s="33"/>
      <c r="AA510" s="33"/>
      <c r="AB510" s="33"/>
      <c r="AC510" s="46"/>
      <c r="AD510" s="33"/>
      <c r="AE510" s="33"/>
      <c r="AF510" s="50"/>
      <c r="AG510" s="33"/>
      <c r="AH510" s="33"/>
      <c r="AI510" s="213"/>
      <c r="AJ510" s="50"/>
      <c r="AK510" s="111"/>
      <c r="AL510" s="23"/>
      <c r="AM510" s="24"/>
      <c r="AN510" s="24"/>
      <c r="AO510" s="24"/>
      <c r="AP510" s="24"/>
      <c r="AQ510" s="24"/>
      <c r="AR510" s="461"/>
      <c r="AS510" s="25"/>
      <c r="AT510" s="25"/>
      <c r="AU510" s="24"/>
      <c r="AV510" s="298"/>
      <c r="AW510" s="298"/>
      <c r="AX510" s="24"/>
      <c r="AY510" s="308"/>
      <c r="AZ510" s="111"/>
      <c r="BA510" s="65"/>
      <c r="BB510" s="66"/>
      <c r="BC510" s="66"/>
      <c r="BD510" s="66"/>
      <c r="BE510" s="66"/>
      <c r="BF510" s="66"/>
      <c r="BG510" s="144"/>
      <c r="BH510" s="66"/>
      <c r="BI510" s="170"/>
      <c r="BJ510" s="66"/>
      <c r="BK510" s="66"/>
      <c r="BL510" s="66"/>
      <c r="BM510" s="144"/>
      <c r="BN510" s="65"/>
      <c r="BO510" s="66"/>
      <c r="BP510" s="66"/>
      <c r="BQ510" s="66"/>
      <c r="BR510" s="435"/>
      <c r="BS510" s="66"/>
      <c r="BT510" s="75"/>
      <c r="BU510" s="170"/>
      <c r="BV510" s="1"/>
      <c r="BW510" s="61"/>
    </row>
    <row r="511" spans="2:75" x14ac:dyDescent="0.3">
      <c r="B511" s="158">
        <f t="shared" si="424"/>
        <v>44411</v>
      </c>
      <c r="C511" s="61"/>
      <c r="D511" s="17"/>
      <c r="E511" s="16"/>
      <c r="F511" s="16"/>
      <c r="G511" s="16"/>
      <c r="H511" s="16"/>
      <c r="I511" s="16"/>
      <c r="J511" s="436"/>
      <c r="K511" s="16"/>
      <c r="L511" s="16"/>
      <c r="M511" s="16"/>
      <c r="N511" s="16"/>
      <c r="O511" s="16"/>
      <c r="P511" s="41"/>
      <c r="Q511" s="17"/>
      <c r="R511" s="16"/>
      <c r="S511" s="60"/>
      <c r="T511" s="16"/>
      <c r="U511" s="41"/>
      <c r="V511" s="10"/>
      <c r="W511" s="34"/>
      <c r="X511" s="33"/>
      <c r="Y511" s="33"/>
      <c r="Z511" s="33"/>
      <c r="AA511" s="33"/>
      <c r="AB511" s="33"/>
      <c r="AC511" s="46"/>
      <c r="AD511" s="33"/>
      <c r="AE511" s="33"/>
      <c r="AF511" s="50"/>
      <c r="AG511" s="33"/>
      <c r="AH511" s="33"/>
      <c r="AI511" s="213"/>
      <c r="AJ511" s="50"/>
      <c r="AK511" s="111"/>
      <c r="AL511" s="23"/>
      <c r="AM511" s="24"/>
      <c r="AN511" s="24"/>
      <c r="AO511" s="24"/>
      <c r="AP511" s="24"/>
      <c r="AQ511" s="24"/>
      <c r="AR511" s="461"/>
      <c r="AS511" s="25"/>
      <c r="AT511" s="25"/>
      <c r="AU511" s="24"/>
      <c r="AV511" s="298"/>
      <c r="AW511" s="298"/>
      <c r="AX511" s="24"/>
      <c r="AY511" s="308"/>
      <c r="AZ511" s="111"/>
      <c r="BA511" s="65"/>
      <c r="BB511" s="66"/>
      <c r="BC511" s="66"/>
      <c r="BD511" s="66"/>
      <c r="BE511" s="66"/>
      <c r="BF511" s="66"/>
      <c r="BG511" s="144"/>
      <c r="BH511" s="66"/>
      <c r="BI511" s="170"/>
      <c r="BJ511" s="66"/>
      <c r="BK511" s="66"/>
      <c r="BL511" s="66"/>
      <c r="BM511" s="144"/>
      <c r="BN511" s="65"/>
      <c r="BO511" s="66"/>
      <c r="BP511" s="66"/>
      <c r="BQ511" s="66"/>
      <c r="BR511" s="435"/>
      <c r="BS511" s="66"/>
      <c r="BT511" s="75"/>
      <c r="BU511" s="170"/>
      <c r="BV511" s="1"/>
      <c r="BW511" s="61"/>
    </row>
    <row r="512" spans="2:75" x14ac:dyDescent="0.3">
      <c r="B512" s="158">
        <f t="shared" si="424"/>
        <v>44412</v>
      </c>
      <c r="C512" s="61"/>
      <c r="D512" s="17"/>
      <c r="E512" s="16"/>
      <c r="F512" s="16"/>
      <c r="G512" s="16"/>
      <c r="H512" s="16"/>
      <c r="I512" s="16"/>
      <c r="J512" s="436"/>
      <c r="K512" s="16"/>
      <c r="L512" s="16"/>
      <c r="M512" s="16"/>
      <c r="N512" s="16"/>
      <c r="O512" s="16"/>
      <c r="P512" s="41"/>
      <c r="Q512" s="17"/>
      <c r="R512" s="16"/>
      <c r="S512" s="60"/>
      <c r="T512" s="16"/>
      <c r="U512" s="41"/>
      <c r="V512" s="10"/>
      <c r="W512" s="34"/>
      <c r="X512" s="33"/>
      <c r="Y512" s="33"/>
      <c r="Z512" s="33"/>
      <c r="AA512" s="33"/>
      <c r="AB512" s="33"/>
      <c r="AC512" s="46"/>
      <c r="AD512" s="33"/>
      <c r="AE512" s="33"/>
      <c r="AF512" s="50"/>
      <c r="AG512" s="33"/>
      <c r="AH512" s="33"/>
      <c r="AI512" s="213"/>
      <c r="AJ512" s="50"/>
      <c r="AK512" s="111"/>
      <c r="AL512" s="23"/>
      <c r="AM512" s="24"/>
      <c r="AN512" s="24"/>
      <c r="AO512" s="24"/>
      <c r="AP512" s="24"/>
      <c r="AQ512" s="24"/>
      <c r="AR512" s="461"/>
      <c r="AS512" s="25"/>
      <c r="AT512" s="25"/>
      <c r="AU512" s="24"/>
      <c r="AV512" s="298"/>
      <c r="AW512" s="298"/>
      <c r="AX512" s="24"/>
      <c r="AY512" s="308"/>
      <c r="AZ512" s="111"/>
      <c r="BA512" s="65"/>
      <c r="BB512" s="66"/>
      <c r="BC512" s="66"/>
      <c r="BD512" s="66"/>
      <c r="BE512" s="66"/>
      <c r="BF512" s="66"/>
      <c r="BG512" s="144"/>
      <c r="BH512" s="66"/>
      <c r="BI512" s="170"/>
      <c r="BJ512" s="66"/>
      <c r="BK512" s="66"/>
      <c r="BL512" s="66"/>
      <c r="BM512" s="144"/>
      <c r="BN512" s="65"/>
      <c r="BO512" s="66"/>
      <c r="BP512" s="66"/>
      <c r="BQ512" s="66"/>
      <c r="BR512" s="435"/>
      <c r="BS512" s="66"/>
      <c r="BT512" s="75"/>
      <c r="BU512" s="170"/>
      <c r="BV512" s="1"/>
      <c r="BW512" s="61"/>
    </row>
    <row r="513" spans="2:85" x14ac:dyDescent="0.3">
      <c r="B513" s="158">
        <f t="shared" si="424"/>
        <v>44413</v>
      </c>
      <c r="C513" s="61"/>
      <c r="D513" s="17"/>
      <c r="E513" s="16"/>
      <c r="F513" s="16"/>
      <c r="G513" s="16"/>
      <c r="H513" s="16"/>
      <c r="I513" s="16"/>
      <c r="J513" s="436"/>
      <c r="K513" s="16"/>
      <c r="L513" s="16"/>
      <c r="M513" s="16"/>
      <c r="N513" s="16"/>
      <c r="O513" s="16"/>
      <c r="P513" s="41"/>
      <c r="Q513" s="410"/>
      <c r="R513" s="16"/>
      <c r="S513" s="60"/>
      <c r="T513" s="16"/>
      <c r="U513" s="41"/>
      <c r="V513" s="10"/>
      <c r="W513" s="34"/>
      <c r="X513" s="33"/>
      <c r="Y513" s="33"/>
      <c r="Z513" s="33"/>
      <c r="AA513" s="33"/>
      <c r="AB513" s="33"/>
      <c r="AC513" s="46"/>
      <c r="AD513" s="33"/>
      <c r="AE513" s="33"/>
      <c r="AF513" s="50"/>
      <c r="AG513" s="33"/>
      <c r="AH513" s="33"/>
      <c r="AI513" s="213"/>
      <c r="AJ513" s="50"/>
      <c r="AK513" s="10"/>
      <c r="AL513" s="23"/>
      <c r="AM513" s="24"/>
      <c r="AN513" s="24"/>
      <c r="AO513" s="24"/>
      <c r="AP513" s="24"/>
      <c r="AQ513" s="24"/>
      <c r="AR513" s="461"/>
      <c r="AS513" s="25"/>
      <c r="AT513" s="25"/>
      <c r="AU513" s="24"/>
      <c r="AV513" s="298"/>
      <c r="AW513" s="298"/>
      <c r="AX513" s="24"/>
      <c r="AY513" s="308"/>
      <c r="AZ513" s="10"/>
      <c r="BA513" s="65"/>
      <c r="BB513" s="66"/>
      <c r="BC513" s="66"/>
      <c r="BD513" s="66"/>
      <c r="BE513" s="66"/>
      <c r="BF513" s="66"/>
      <c r="BG513" s="144"/>
      <c r="BH513" s="66"/>
      <c r="BI513" s="170"/>
      <c r="BJ513" s="66"/>
      <c r="BK513" s="66"/>
      <c r="BL513" s="66"/>
      <c r="BM513" s="144"/>
      <c r="BN513" s="65"/>
      <c r="BO513" s="66"/>
      <c r="BP513" s="66"/>
      <c r="BQ513" s="66"/>
      <c r="BR513" s="435"/>
      <c r="BS513" s="66"/>
      <c r="BT513" s="75"/>
      <c r="BU513" s="170"/>
      <c r="BV513" s="1"/>
      <c r="BW513" s="61"/>
    </row>
    <row r="514" spans="2:85" x14ac:dyDescent="0.3">
      <c r="B514" s="158">
        <f t="shared" si="424"/>
        <v>44414</v>
      </c>
      <c r="D514" s="559"/>
      <c r="E514" s="19"/>
      <c r="F514" s="19"/>
      <c r="G514" s="19"/>
      <c r="H514" s="19"/>
      <c r="I514" s="19"/>
      <c r="J514" s="39"/>
      <c r="K514" s="19"/>
      <c r="L514" s="19"/>
      <c r="M514" s="19"/>
      <c r="N514" s="19"/>
      <c r="O514" s="19"/>
      <c r="P514" s="43"/>
      <c r="Q514" s="18"/>
      <c r="R514" s="19"/>
      <c r="S514" s="19"/>
      <c r="T514" s="19"/>
      <c r="U514" s="43"/>
      <c r="V514" s="1"/>
      <c r="W514" s="35"/>
      <c r="X514" s="36"/>
      <c r="Y514" s="36"/>
      <c r="Z514" s="36"/>
      <c r="AA514" s="36"/>
      <c r="AB514" s="36"/>
      <c r="AC514" s="47"/>
      <c r="AD514" s="36"/>
      <c r="AE514" s="36"/>
      <c r="AF514" s="51"/>
      <c r="AG514" s="36"/>
      <c r="AH514" s="36"/>
      <c r="AI514" s="36"/>
      <c r="AJ514" s="51"/>
      <c r="AK514" s="1"/>
      <c r="AL514" s="26"/>
      <c r="AM514" s="27"/>
      <c r="AN514" s="27"/>
      <c r="AO514" s="27"/>
      <c r="AP514" s="27"/>
      <c r="AQ514" s="27"/>
      <c r="AR514" s="27"/>
      <c r="AS514" s="27"/>
      <c r="AT514" s="27"/>
      <c r="AU514" s="27"/>
      <c r="AV514" s="300"/>
      <c r="AW514" s="300"/>
      <c r="AX514" s="27"/>
      <c r="AY514" s="307"/>
      <c r="AZ514" s="1"/>
      <c r="BA514" s="67"/>
      <c r="BB514" s="68"/>
      <c r="BC514" s="68"/>
      <c r="BD514" s="68"/>
      <c r="BE514" s="68"/>
      <c r="BF514" s="68"/>
      <c r="BG514" s="68"/>
      <c r="BH514" s="68"/>
      <c r="BI514" s="171"/>
      <c r="BJ514" s="68"/>
      <c r="BK514" s="68"/>
      <c r="BL514" s="68"/>
      <c r="BM514" s="68"/>
      <c r="BN514" s="67"/>
      <c r="BO514" s="68"/>
      <c r="BP514" s="68"/>
      <c r="BQ514" s="68"/>
      <c r="BR514" s="70"/>
      <c r="BS514" s="68"/>
      <c r="BT514" s="68"/>
      <c r="BU514" s="171"/>
      <c r="BV514" s="1"/>
      <c r="BW514" s="61">
        <f>+BW461+1</f>
        <v>453</v>
      </c>
    </row>
    <row r="515" spans="2:85" x14ac:dyDescent="0.3">
      <c r="B515" s="56"/>
      <c r="D515" s="1"/>
      <c r="E515" s="1"/>
      <c r="F515" s="1"/>
      <c r="G515" s="1"/>
      <c r="H515" s="59"/>
      <c r="I515" s="1"/>
      <c r="J515" s="59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59"/>
      <c r="X515" s="1"/>
      <c r="Y515" s="1"/>
      <c r="Z515" s="1"/>
      <c r="AA515" s="1"/>
      <c r="AB515" s="1"/>
      <c r="AC515" s="59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59"/>
      <c r="BD515" s="1"/>
      <c r="BE515" s="59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2:85" x14ac:dyDescent="0.3">
      <c r="B516" s="166" t="s">
        <v>74</v>
      </c>
      <c r="D516" s="56">
        <f>+D509</f>
        <v>21768</v>
      </c>
      <c r="E516" s="56">
        <f>+E238</f>
        <v>0</v>
      </c>
      <c r="F516" s="56">
        <f>+F238</f>
        <v>0</v>
      </c>
      <c r="G516" s="56">
        <f>+G238</f>
        <v>0</v>
      </c>
      <c r="H516" s="56">
        <f t="shared" ref="H516:BS516" si="2125">+H509</f>
        <v>35142926</v>
      </c>
      <c r="I516" s="56">
        <f t="shared" si="2125"/>
        <v>0</v>
      </c>
      <c r="J516" s="56">
        <f t="shared" si="2125"/>
        <v>6.1979733128389447E-4</v>
      </c>
      <c r="K516" s="56">
        <f t="shared" si="2125"/>
        <v>0</v>
      </c>
      <c r="L516" s="56">
        <f t="shared" si="2125"/>
        <v>0</v>
      </c>
      <c r="M516" s="56">
        <f t="shared" si="2125"/>
        <v>0</v>
      </c>
      <c r="N516" s="56">
        <f t="shared" si="2125"/>
        <v>441208</v>
      </c>
      <c r="O516" s="56">
        <f t="shared" si="2125"/>
        <v>70285.851999999999</v>
      </c>
      <c r="P516" s="56">
        <f t="shared" si="2125"/>
        <v>0</v>
      </c>
      <c r="Q516" s="56">
        <f t="shared" si="2125"/>
        <v>441208</v>
      </c>
      <c r="R516" s="56">
        <f t="shared" si="2125"/>
        <v>0</v>
      </c>
      <c r="S516" s="56">
        <f t="shared" si="2125"/>
        <v>0.40931305219985564</v>
      </c>
      <c r="T516" s="56">
        <f t="shared" si="2125"/>
        <v>0</v>
      </c>
      <c r="U516" s="56">
        <f t="shared" si="2125"/>
        <v>0</v>
      </c>
      <c r="V516" s="56">
        <f t="shared" si="2125"/>
        <v>401</v>
      </c>
      <c r="W516" s="56">
        <f t="shared" si="2125"/>
        <v>64</v>
      </c>
      <c r="X516" s="56">
        <f t="shared" si="2125"/>
        <v>4256</v>
      </c>
      <c r="Y516" s="56">
        <f t="shared" si="2125"/>
        <v>0</v>
      </c>
      <c r="Z516" s="56">
        <f t="shared" si="2125"/>
        <v>2041</v>
      </c>
      <c r="AA516" s="56">
        <f t="shared" si="2125"/>
        <v>612932</v>
      </c>
      <c r="AB516" s="56">
        <f t="shared" si="2125"/>
        <v>0</v>
      </c>
      <c r="AC516" s="56">
        <f t="shared" si="2125"/>
        <v>1.7441120298292749E-2</v>
      </c>
      <c r="AD516" s="56">
        <f t="shared" si="2125"/>
        <v>0</v>
      </c>
      <c r="AE516" s="56">
        <f t="shared" si="2125"/>
        <v>1225.864</v>
      </c>
      <c r="AF516" s="56">
        <f t="shared" si="2125"/>
        <v>0</v>
      </c>
      <c r="AG516" s="56">
        <f t="shared" si="2125"/>
        <v>2173</v>
      </c>
      <c r="AH516" s="56">
        <f t="shared" si="2125"/>
        <v>1117018697.060914</v>
      </c>
      <c r="AI516" s="56">
        <f t="shared" si="2125"/>
        <v>0.20588235294117646</v>
      </c>
      <c r="AJ516" s="56">
        <f t="shared" si="2125"/>
        <v>0</v>
      </c>
      <c r="AK516" s="56" t="str">
        <f t="shared" si="2125"/>
        <v>(1)</v>
      </c>
      <c r="AL516" s="56">
        <f t="shared" si="2125"/>
        <v>7173</v>
      </c>
      <c r="AM516" s="56">
        <f t="shared" si="2125"/>
        <v>0</v>
      </c>
      <c r="AN516" s="56">
        <f t="shared" si="2125"/>
        <v>0</v>
      </c>
      <c r="AO516" s="56">
        <f t="shared" si="2125"/>
        <v>178263</v>
      </c>
      <c r="AP516" s="56">
        <f t="shared" si="2125"/>
        <v>29673290</v>
      </c>
      <c r="AQ516" s="56">
        <f t="shared" si="2125"/>
        <v>20336656</v>
      </c>
      <c r="AR516" s="56">
        <f t="shared" si="2125"/>
        <v>2.4179099677925492E-4</v>
      </c>
      <c r="AS516" s="56">
        <f t="shared" si="2125"/>
        <v>0</v>
      </c>
      <c r="AT516" s="56">
        <f t="shared" si="2125"/>
        <v>0</v>
      </c>
      <c r="AU516" s="56">
        <f t="shared" si="2125"/>
        <v>0</v>
      </c>
      <c r="AV516" s="56">
        <f t="shared" si="2125"/>
        <v>0.84436025617218102</v>
      </c>
      <c r="AW516" s="56">
        <f t="shared" si="2125"/>
        <v>0</v>
      </c>
      <c r="AX516" s="56">
        <f t="shared" si="2125"/>
        <v>59346.58</v>
      </c>
      <c r="AY516" s="56">
        <f t="shared" si="2125"/>
        <v>0</v>
      </c>
      <c r="AZ516" s="56" t="str">
        <f t="shared" si="2125"/>
        <v>(1)</v>
      </c>
      <c r="BA516" s="56">
        <f t="shared" si="2125"/>
        <v>238229</v>
      </c>
      <c r="BB516" s="56">
        <f t="shared" si="2125"/>
        <v>0</v>
      </c>
      <c r="BC516" s="56">
        <f t="shared" si="2125"/>
        <v>529918049</v>
      </c>
      <c r="BD516" s="56">
        <f t="shared" si="2125"/>
        <v>0</v>
      </c>
      <c r="BE516" s="56">
        <f t="shared" si="2125"/>
        <v>21768</v>
      </c>
      <c r="BF516" s="56">
        <f t="shared" si="2125"/>
        <v>0</v>
      </c>
      <c r="BG516" s="56">
        <f t="shared" si="2125"/>
        <v>9.1374265937396365E-2</v>
      </c>
      <c r="BH516" s="56">
        <f t="shared" si="2125"/>
        <v>0</v>
      </c>
      <c r="BI516" s="56">
        <f t="shared" si="2125"/>
        <v>0</v>
      </c>
      <c r="BJ516" s="56">
        <f t="shared" si="2125"/>
        <v>0</v>
      </c>
      <c r="BK516" s="56">
        <f t="shared" si="2125"/>
        <v>6309093</v>
      </c>
      <c r="BL516" s="56">
        <f t="shared" si="2125"/>
        <v>0</v>
      </c>
      <c r="BM516" s="56">
        <f t="shared" si="2125"/>
        <v>6.9932080570059757E-2</v>
      </c>
      <c r="BN516" s="56">
        <f t="shared" si="2125"/>
        <v>1059836.098</v>
      </c>
      <c r="BO516" s="56">
        <f t="shared" si="2125"/>
        <v>0</v>
      </c>
      <c r="BP516" s="56">
        <f t="shared" si="2125"/>
        <v>34235948</v>
      </c>
      <c r="BQ516" s="56">
        <f t="shared" si="2125"/>
        <v>0</v>
      </c>
      <c r="BR516" s="56">
        <f t="shared" si="2125"/>
        <v>6.4606117992406786E-2</v>
      </c>
      <c r="BS516" s="56">
        <f t="shared" si="2125"/>
        <v>0</v>
      </c>
      <c r="BT516" s="56">
        <f t="shared" ref="BT516:BU516" si="2126">+BT509</f>
        <v>0</v>
      </c>
      <c r="BU516" s="56">
        <f t="shared" si="2126"/>
        <v>0</v>
      </c>
      <c r="BV516" s="56">
        <f>+BV505</f>
        <v>0</v>
      </c>
      <c r="BW516" s="56"/>
      <c r="BX516" s="56"/>
      <c r="BY516" s="56"/>
      <c r="BZ516" s="56"/>
      <c r="CA516" s="56"/>
      <c r="CB516" s="56"/>
      <c r="CC516" s="56"/>
      <c r="CD516" s="56"/>
      <c r="CE516" s="61"/>
      <c r="CF516" s="61"/>
      <c r="CG516" s="145"/>
    </row>
    <row r="517" spans="2:85" x14ac:dyDescent="0.3">
      <c r="B517" t="s">
        <v>105</v>
      </c>
      <c r="D517" s="56">
        <f>+D508-D516</f>
        <v>30130</v>
      </c>
      <c r="E517" s="56">
        <f>+E237-E516</f>
        <v>0</v>
      </c>
      <c r="F517" s="56">
        <f>+F237-F516</f>
        <v>0</v>
      </c>
      <c r="G517" s="56">
        <f>+G237-G516</f>
        <v>0</v>
      </c>
      <c r="H517" s="56">
        <f t="shared" ref="H517:BS517" si="2127">+H508-H516</f>
        <v>-21768</v>
      </c>
      <c r="I517" s="56">
        <f t="shared" si="2127"/>
        <v>0</v>
      </c>
      <c r="J517" s="56">
        <f t="shared" si="2127"/>
        <v>8.6007421433754159E-4</v>
      </c>
      <c r="K517" s="56">
        <f t="shared" si="2127"/>
        <v>0</v>
      </c>
      <c r="L517" s="56">
        <f t="shared" si="2127"/>
        <v>0</v>
      </c>
      <c r="M517" s="56">
        <f t="shared" si="2127"/>
        <v>0</v>
      </c>
      <c r="N517" s="56">
        <f t="shared" si="2127"/>
        <v>-7950</v>
      </c>
      <c r="O517" s="56">
        <f t="shared" si="2127"/>
        <v>97.230164328662795</v>
      </c>
      <c r="P517" s="56">
        <f t="shared" si="2127"/>
        <v>0</v>
      </c>
      <c r="Q517" s="56">
        <f t="shared" si="2127"/>
        <v>-7950</v>
      </c>
      <c r="R517" s="56">
        <f t="shared" si="2127"/>
        <v>0</v>
      </c>
      <c r="S517" s="56">
        <f t="shared" si="2127"/>
        <v>-6.1807718261076172E-2</v>
      </c>
      <c r="T517" s="56">
        <f t="shared" si="2127"/>
        <v>0</v>
      </c>
      <c r="U517" s="56">
        <f t="shared" si="2127"/>
        <v>0</v>
      </c>
      <c r="V517" s="56">
        <f t="shared" si="2127"/>
        <v>-1</v>
      </c>
      <c r="W517" s="56">
        <f t="shared" si="2127"/>
        <v>177</v>
      </c>
      <c r="X517" s="56">
        <f t="shared" si="2127"/>
        <v>0</v>
      </c>
      <c r="Y517" s="56">
        <f t="shared" si="2127"/>
        <v>0</v>
      </c>
      <c r="Z517" s="56">
        <f t="shared" si="2127"/>
        <v>68</v>
      </c>
      <c r="AA517" s="56">
        <f t="shared" si="2127"/>
        <v>-64</v>
      </c>
      <c r="AB517" s="56">
        <f t="shared" si="2127"/>
        <v>0</v>
      </c>
      <c r="AC517" s="56">
        <f t="shared" si="2127"/>
        <v>8.9876964379474733E-6</v>
      </c>
      <c r="AD517" s="56">
        <f t="shared" si="2127"/>
        <v>0</v>
      </c>
      <c r="AE517" s="56">
        <f t="shared" si="2127"/>
        <v>2.3283847695390705</v>
      </c>
      <c r="AF517" s="56">
        <f t="shared" si="2127"/>
        <v>0</v>
      </c>
      <c r="AG517" s="56">
        <f t="shared" si="2127"/>
        <v>-15</v>
      </c>
      <c r="AH517" s="56">
        <f t="shared" si="2127"/>
        <v>18399</v>
      </c>
      <c r="AI517" s="56">
        <f t="shared" si="2127"/>
        <v>-2.9860554576053855E-2</v>
      </c>
      <c r="AJ517" s="56">
        <f t="shared" si="2127"/>
        <v>0</v>
      </c>
      <c r="AK517" s="56">
        <f t="shared" si="2127"/>
        <v>0</v>
      </c>
      <c r="AL517" s="56">
        <f t="shared" si="2127"/>
        <v>6906</v>
      </c>
      <c r="AM517" s="56">
        <f t="shared" si="2127"/>
        <v>0</v>
      </c>
      <c r="AN517" s="56">
        <f t="shared" si="2127"/>
        <v>0</v>
      </c>
      <c r="AO517" s="56">
        <f t="shared" si="2127"/>
        <v>0</v>
      </c>
      <c r="AP517" s="56">
        <f t="shared" si="2127"/>
        <v>-7173</v>
      </c>
      <c r="AQ517" s="56">
        <f t="shared" si="2127"/>
        <v>0</v>
      </c>
      <c r="AR517" s="56">
        <f t="shared" si="2127"/>
        <v>2.3301616487351242E-4</v>
      </c>
      <c r="AS517" s="56">
        <f t="shared" si="2127"/>
        <v>0</v>
      </c>
      <c r="AT517" s="56">
        <f t="shared" si="2127"/>
        <v>0</v>
      </c>
      <c r="AU517" s="56">
        <f t="shared" si="2127"/>
        <v>0</v>
      </c>
      <c r="AV517" s="56">
        <f t="shared" si="2127"/>
        <v>3.190963708074035E-4</v>
      </c>
      <c r="AW517" s="56">
        <f t="shared" si="2127"/>
        <v>0</v>
      </c>
      <c r="AX517" s="56">
        <f t="shared" si="2127"/>
        <v>104.55627254508727</v>
      </c>
      <c r="AY517" s="56">
        <f t="shared" si="2127"/>
        <v>0</v>
      </c>
      <c r="AZ517" s="56">
        <f t="shared" si="2127"/>
        <v>0</v>
      </c>
      <c r="BA517" s="56">
        <f t="shared" si="2127"/>
        <v>262681</v>
      </c>
      <c r="BB517" s="56">
        <f t="shared" si="2127"/>
        <v>0</v>
      </c>
      <c r="BC517" s="56">
        <f t="shared" si="2127"/>
        <v>-238229</v>
      </c>
      <c r="BD517" s="56">
        <f t="shared" si="2127"/>
        <v>0</v>
      </c>
      <c r="BE517" s="56">
        <f t="shared" si="2127"/>
        <v>30130</v>
      </c>
      <c r="BF517" s="56">
        <f t="shared" si="2127"/>
        <v>0</v>
      </c>
      <c r="BG517" s="56">
        <f t="shared" si="2127"/>
        <v>1.2233168531869565E-2</v>
      </c>
      <c r="BH517" s="56">
        <f t="shared" si="2127"/>
        <v>0</v>
      </c>
      <c r="BI517" s="56">
        <f t="shared" si="2127"/>
        <v>0</v>
      </c>
      <c r="BJ517" s="56">
        <f t="shared" si="2127"/>
        <v>0</v>
      </c>
      <c r="BK517" s="56">
        <f t="shared" si="2127"/>
        <v>1635418</v>
      </c>
      <c r="BL517" s="56">
        <f t="shared" si="2127"/>
        <v>0</v>
      </c>
      <c r="BM517" s="56">
        <f t="shared" si="2127"/>
        <v>-1.5396565420039823E-2</v>
      </c>
      <c r="BN517" s="56">
        <f t="shared" si="2127"/>
        <v>1646.5072104209103</v>
      </c>
      <c r="BO517" s="56">
        <f t="shared" si="2127"/>
        <v>0</v>
      </c>
      <c r="BP517" s="56">
        <f t="shared" si="2127"/>
        <v>-21768</v>
      </c>
      <c r="BQ517" s="56">
        <f t="shared" si="2127"/>
        <v>0</v>
      </c>
      <c r="BR517" s="56">
        <f t="shared" si="2127"/>
        <v>-1.2039252537107692E-5</v>
      </c>
      <c r="BS517" s="56">
        <f t="shared" si="2127"/>
        <v>0</v>
      </c>
      <c r="BT517" s="56">
        <f t="shared" ref="BT517:BU517" si="2128">+BT508-BT516</f>
        <v>0</v>
      </c>
      <c r="BU517" s="56">
        <f t="shared" si="2128"/>
        <v>0</v>
      </c>
      <c r="BV517" s="56">
        <f>+BV504-BV516</f>
        <v>0</v>
      </c>
      <c r="BW517" s="56"/>
      <c r="BX517" s="56"/>
      <c r="BY517" s="56"/>
      <c r="BZ517" s="56"/>
      <c r="CA517" s="56"/>
      <c r="CB517" s="56"/>
      <c r="CC517" s="56"/>
      <c r="CD517" s="56"/>
      <c r="CE517" s="61"/>
      <c r="CF517" s="61"/>
      <c r="CG517" s="105"/>
    </row>
    <row r="518" spans="2:85" x14ac:dyDescent="0.3">
      <c r="B518" s="56"/>
      <c r="D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6"/>
      <c r="BG518" s="56"/>
      <c r="BH518" s="56"/>
      <c r="BI518" s="56"/>
      <c r="BJ518" s="56"/>
      <c r="BK518" s="56"/>
      <c r="BL518" s="56"/>
      <c r="BM518" s="56"/>
      <c r="BN518" s="56"/>
      <c r="BO518" s="56"/>
      <c r="BP518" s="56"/>
      <c r="BQ518" s="56"/>
      <c r="BR518" s="56"/>
      <c r="BS518" s="10"/>
      <c r="BT518" s="10"/>
      <c r="BU518" s="10"/>
      <c r="BV518" s="10"/>
      <c r="BW518" s="10"/>
      <c r="BX518" s="10"/>
      <c r="BY518" s="10"/>
      <c r="BZ518" s="10"/>
      <c r="CA518" s="10"/>
      <c r="CB518" s="61"/>
      <c r="CC518" s="105"/>
      <c r="CD518" s="105"/>
      <c r="CE518" s="105"/>
      <c r="CF518" s="105"/>
    </row>
    <row r="519" spans="2:85" x14ac:dyDescent="0.3">
      <c r="B519" s="56"/>
      <c r="D519" s="56"/>
      <c r="H519" s="1"/>
      <c r="N519" s="145"/>
      <c r="O519" s="1"/>
      <c r="W519" s="56"/>
      <c r="AA519" s="59"/>
      <c r="BA519" s="59"/>
      <c r="BC519" s="56"/>
      <c r="BE519" s="59"/>
      <c r="BJ519" s="61"/>
      <c r="BK519" s="10">
        <f>+BK187</f>
        <v>4928581</v>
      </c>
      <c r="BL519" s="61"/>
      <c r="BM519" s="61"/>
      <c r="BN519" s="61"/>
      <c r="BO519" s="61"/>
      <c r="BP519" s="61"/>
      <c r="BQ519" s="61"/>
      <c r="BR519" s="61"/>
      <c r="BS519" s="10"/>
      <c r="BT519" s="10"/>
    </row>
    <row r="520" spans="2:85" x14ac:dyDescent="0.3">
      <c r="B520" s="56"/>
      <c r="D520" s="56"/>
      <c r="H520" s="56"/>
      <c r="N520" s="231"/>
      <c r="W520" s="56"/>
      <c r="AA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56"/>
      <c r="AU520" t="s">
        <v>161</v>
      </c>
      <c r="BC520" s="1"/>
      <c r="BE520" s="59"/>
      <c r="BH520" s="96"/>
      <c r="BI520" s="96"/>
      <c r="BJ520" s="96"/>
      <c r="BK520" s="493"/>
      <c r="BL520" s="96"/>
      <c r="BM520" s="96"/>
      <c r="BN520" s="96"/>
      <c r="BO520" s="96"/>
      <c r="BP520" s="96"/>
      <c r="BQ520" s="96"/>
      <c r="BR520" s="78"/>
      <c r="BS520" s="1"/>
      <c r="BT520" s="1"/>
    </row>
    <row r="521" spans="2:85" x14ac:dyDescent="0.3">
      <c r="D521" s="1"/>
      <c r="E521" s="111" t="s">
        <v>26</v>
      </c>
      <c r="F521" s="112"/>
      <c r="H521" s="112" t="s">
        <v>59</v>
      </c>
      <c r="I521" s="104"/>
      <c r="J521" s="104"/>
      <c r="K521" s="61"/>
      <c r="L521" s="10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BC521" s="56"/>
      <c r="BE521" s="59"/>
      <c r="BH521" s="96"/>
      <c r="BI521" s="96"/>
      <c r="BJ521" s="96"/>
      <c r="BK521" s="493">
        <f>+BK194-BK516</f>
        <v>-545984</v>
      </c>
      <c r="BL521" s="96"/>
      <c r="BM521" s="96"/>
      <c r="BN521" s="96"/>
      <c r="BO521" s="96"/>
      <c r="BP521" s="96"/>
      <c r="BQ521" s="96"/>
      <c r="BR521" s="78"/>
      <c r="BS521" s="1"/>
      <c r="BT521" s="1"/>
    </row>
    <row r="522" spans="2:85" x14ac:dyDescent="0.3">
      <c r="B522" s="56"/>
      <c r="D522" s="1"/>
      <c r="E522" s="111" t="s">
        <v>38</v>
      </c>
      <c r="F522" s="112"/>
      <c r="H522" s="112" t="s">
        <v>40</v>
      </c>
      <c r="I522" s="10"/>
      <c r="J522" s="10"/>
      <c r="K522" s="61"/>
      <c r="L522" s="10"/>
      <c r="AD522" s="1"/>
      <c r="AE522" s="1"/>
      <c r="AF522" s="1"/>
      <c r="AG522" s="1"/>
      <c r="AH522" s="1"/>
      <c r="AI522" s="1">
        <f>SUM(W213:W243)</f>
        <v>25465</v>
      </c>
      <c r="AJ522" s="1"/>
      <c r="AK522" s="1"/>
      <c r="AL522" s="1" t="s">
        <v>17</v>
      </c>
      <c r="AM522" s="1"/>
      <c r="AN522" s="1"/>
      <c r="AO522" s="1"/>
      <c r="BC522" s="56"/>
      <c r="BE522" s="59"/>
      <c r="BH522" s="97"/>
      <c r="BI522" s="97"/>
      <c r="BJ522" s="97"/>
      <c r="BK522" s="493">
        <f>+BK187-BK516</f>
        <v>-1380512</v>
      </c>
      <c r="BL522" s="97"/>
      <c r="BM522" s="97"/>
      <c r="BN522" s="97"/>
      <c r="BO522" s="97"/>
      <c r="BP522" s="97"/>
      <c r="BQ522" s="97"/>
      <c r="BR522" s="78"/>
      <c r="BS522" s="1"/>
      <c r="BT522" s="1"/>
    </row>
    <row r="523" spans="2:85" x14ac:dyDescent="0.3">
      <c r="B523" s="231"/>
      <c r="D523" s="1"/>
      <c r="E523" s="111" t="s">
        <v>45</v>
      </c>
      <c r="F523" s="112"/>
      <c r="H523" s="112" t="s">
        <v>55</v>
      </c>
      <c r="I523" s="10"/>
      <c r="J523" s="10"/>
      <c r="K523" s="61"/>
      <c r="L523" s="10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BC523" s="56"/>
      <c r="BE523" s="59"/>
      <c r="BH523" s="97"/>
      <c r="BI523" s="97"/>
      <c r="BJ523" s="97"/>
      <c r="BK523" s="493"/>
      <c r="BL523" s="97"/>
      <c r="BM523" s="97"/>
      <c r="BN523" s="97"/>
      <c r="BO523" s="97"/>
      <c r="BP523" s="97"/>
      <c r="BQ523" s="97"/>
      <c r="BR523" s="78"/>
      <c r="BS523" s="1"/>
      <c r="BT523" s="1"/>
    </row>
    <row r="524" spans="2:85" x14ac:dyDescent="0.3">
      <c r="D524" s="1"/>
      <c r="E524" s="111" t="s">
        <v>60</v>
      </c>
      <c r="F524" s="61"/>
      <c r="H524" s="81" t="s">
        <v>135</v>
      </c>
      <c r="I524" s="61"/>
      <c r="J524" s="61"/>
      <c r="K524" s="61"/>
      <c r="L524" s="6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BH524" s="97"/>
      <c r="BI524" s="97"/>
      <c r="BJ524" s="97"/>
      <c r="BK524" s="496"/>
      <c r="BL524" s="97"/>
      <c r="BM524" s="97"/>
      <c r="BN524" s="97"/>
      <c r="BO524" s="97"/>
      <c r="BP524" s="97"/>
      <c r="BQ524" s="97"/>
      <c r="BR524" s="78"/>
      <c r="BS524" s="1"/>
      <c r="BT524" s="1"/>
    </row>
    <row r="525" spans="2:85" x14ac:dyDescent="0.3">
      <c r="E525" s="111" t="s">
        <v>136</v>
      </c>
      <c r="H525" s="81" t="s">
        <v>137</v>
      </c>
      <c r="AD525" s="1"/>
      <c r="AE525" s="1"/>
      <c r="AF525" s="1"/>
      <c r="AG525" s="1"/>
      <c r="AH525" s="1"/>
      <c r="AI525" s="1"/>
      <c r="BD525" s="78"/>
      <c r="BE525" s="78"/>
      <c r="BF525" s="78"/>
      <c r="BG525" s="78"/>
      <c r="BH525" s="78"/>
      <c r="BI525" s="78"/>
      <c r="BJ525" s="78"/>
      <c r="BK525" s="494"/>
      <c r="BL525" s="78"/>
      <c r="BM525" s="78"/>
      <c r="BN525" s="78"/>
      <c r="BO525" s="78"/>
      <c r="BP525" s="78"/>
      <c r="BQ525" s="78"/>
      <c r="BR525" s="78"/>
      <c r="BS525" s="1"/>
      <c r="BT525" s="1"/>
    </row>
    <row r="526" spans="2:85" x14ac:dyDescent="0.3">
      <c r="B526" s="56"/>
      <c r="AD526" s="1"/>
      <c r="AE526" s="1"/>
      <c r="AF526" s="1"/>
      <c r="AG526" s="1"/>
      <c r="AH526" s="1"/>
      <c r="AI526" s="1"/>
      <c r="BA526" s="545">
        <v>157602857</v>
      </c>
      <c r="BK526" s="495"/>
    </row>
    <row r="527" spans="2:85" ht="15" thickBot="1" x14ac:dyDescent="0.35">
      <c r="D527" s="56">
        <f>SUM(D363:D369)</f>
        <v>378583</v>
      </c>
      <c r="AD527" s="1"/>
      <c r="AE527" s="507"/>
      <c r="AF527" s="547"/>
      <c r="AG527" s="507"/>
      <c r="AH527" s="507"/>
      <c r="AI527" s="507"/>
      <c r="AJ527" s="500"/>
      <c r="AK527" s="500"/>
      <c r="AL527" s="500"/>
      <c r="AM527" s="500"/>
      <c r="AN527" s="500"/>
      <c r="AO527" s="500"/>
      <c r="AP527" s="500"/>
      <c r="AQ527" s="500"/>
      <c r="AR527" s="500"/>
      <c r="AS527" s="500"/>
      <c r="AT527" s="500"/>
      <c r="AU527" s="500"/>
      <c r="AV527" s="500"/>
      <c r="AW527" s="500"/>
      <c r="AX527" s="500"/>
      <c r="AZ527" s="106"/>
      <c r="BA527" s="106"/>
      <c r="BB527" s="106"/>
      <c r="BC527" s="106"/>
      <c r="BK527" s="1"/>
    </row>
    <row r="528" spans="2:85" x14ac:dyDescent="0.3">
      <c r="D528" s="531">
        <f>SUM(D356:D362)</f>
        <v>417052</v>
      </c>
      <c r="J528" s="486"/>
      <c r="V528" s="106"/>
      <c r="AA528" s="56"/>
      <c r="AD528" s="1"/>
      <c r="AE528" s="507"/>
      <c r="AF528" s="546"/>
      <c r="AG528" s="1"/>
      <c r="AH528" s="1"/>
      <c r="AI528" s="485"/>
      <c r="AJ528" s="464"/>
      <c r="AK528" s="465"/>
      <c r="AL528" s="465"/>
      <c r="AM528" s="465"/>
      <c r="AN528" s="465"/>
      <c r="AO528" s="465"/>
      <c r="AP528" s="465"/>
      <c r="AQ528" s="465"/>
      <c r="AR528" s="465"/>
      <c r="AS528" s="465"/>
      <c r="AT528" s="465"/>
      <c r="AU528" s="465"/>
      <c r="AV528" s="465"/>
      <c r="AW528" s="466"/>
      <c r="AX528" s="500"/>
      <c r="AZ528" s="106"/>
      <c r="BA528" s="77"/>
      <c r="BB528" s="106"/>
      <c r="BC528" s="106"/>
      <c r="BK528" s="56"/>
    </row>
    <row r="529" spans="2:87" x14ac:dyDescent="0.3">
      <c r="D529" s="1"/>
      <c r="J529" s="214"/>
      <c r="AD529" s="1"/>
      <c r="AE529" s="507"/>
      <c r="AF529" s="546"/>
      <c r="AG529" s="1"/>
      <c r="AH529" s="1"/>
      <c r="AI529" s="485"/>
      <c r="AJ529" s="467"/>
      <c r="AK529" s="580" t="s">
        <v>142</v>
      </c>
      <c r="AL529" s="580"/>
      <c r="AM529" s="580"/>
      <c r="AN529" s="580"/>
      <c r="AO529" s="580"/>
      <c r="AP529" s="580"/>
      <c r="AQ529" s="580"/>
      <c r="AR529" s="580"/>
      <c r="AS529" s="580"/>
      <c r="AT529" s="580"/>
      <c r="AU529" s="580"/>
      <c r="AV529" s="580"/>
      <c r="AW529" s="468"/>
      <c r="AX529" s="500"/>
      <c r="AZ529" s="106"/>
      <c r="BA529" s="106"/>
      <c r="BB529" s="106"/>
      <c r="BC529" s="106"/>
    </row>
    <row r="530" spans="2:87" ht="15.6" x14ac:dyDescent="0.3">
      <c r="D530" s="1">
        <v>331000000</v>
      </c>
      <c r="H530" s="235">
        <f>+H269/D530</f>
        <v>4.5635842900302113E-2</v>
      </c>
      <c r="J530" s="57"/>
      <c r="AD530" s="1"/>
      <c r="AE530" s="507"/>
      <c r="AF530" s="546"/>
      <c r="AG530" s="1"/>
      <c r="AH530" s="1"/>
      <c r="AI530" s="485"/>
      <c r="AJ530" s="467"/>
      <c r="AK530" s="580" t="s">
        <v>141</v>
      </c>
      <c r="AL530" s="580"/>
      <c r="AM530" s="580"/>
      <c r="AN530" s="580"/>
      <c r="AO530" s="473"/>
      <c r="AP530" s="474" t="s">
        <v>20</v>
      </c>
      <c r="AQ530" s="473"/>
      <c r="AR530" s="474" t="s">
        <v>4</v>
      </c>
      <c r="AS530" s="475"/>
      <c r="AT530" s="475"/>
      <c r="AU530" s="475"/>
      <c r="AV530" s="479" t="s">
        <v>10</v>
      </c>
      <c r="AW530" s="468"/>
      <c r="AX530" s="500"/>
      <c r="AZ530" s="106"/>
      <c r="BA530" s="106"/>
      <c r="BB530" s="106"/>
      <c r="BC530" s="106"/>
    </row>
    <row r="531" spans="2:87" ht="15.6" x14ac:dyDescent="0.3">
      <c r="H531" s="235">
        <f>+AA269/H269</f>
        <v>1.9000541790705667E-2</v>
      </c>
      <c r="AD531" s="1"/>
      <c r="AE531" s="507"/>
      <c r="AF531" s="546"/>
      <c r="AG531" s="1"/>
      <c r="AH531" s="1"/>
      <c r="AI531" s="485"/>
      <c r="AJ531" s="467"/>
      <c r="AK531" s="590" t="s">
        <v>138</v>
      </c>
      <c r="AL531" s="590"/>
      <c r="AM531" s="590"/>
      <c r="AN531" s="590"/>
      <c r="AO531" s="473"/>
      <c r="AP531" s="476">
        <f>+AH50</f>
        <v>898992</v>
      </c>
      <c r="AQ531" s="477"/>
      <c r="AR531" s="476">
        <f>+AH51</f>
        <v>55687</v>
      </c>
      <c r="AS531" s="478"/>
      <c r="AT531" s="478"/>
      <c r="AU531" s="478"/>
      <c r="AV531" s="491">
        <f t="shared" ref="AV531:AV537" si="2129">+AR531/AP531</f>
        <v>6.194382152455194E-2</v>
      </c>
      <c r="AW531" s="468"/>
      <c r="AX531" s="500"/>
      <c r="AZ531" s="106"/>
      <c r="BA531" s="77"/>
      <c r="BB531" s="106"/>
      <c r="BC531" s="106"/>
    </row>
    <row r="532" spans="2:87" ht="15.6" x14ac:dyDescent="0.3">
      <c r="D532" s="235"/>
      <c r="AD532" s="1"/>
      <c r="AE532" s="507"/>
      <c r="AF532" s="546"/>
      <c r="AG532" s="1"/>
      <c r="AH532" s="1"/>
      <c r="AI532" s="485"/>
      <c r="AJ532" s="467"/>
      <c r="AK532" s="628" t="s">
        <v>139</v>
      </c>
      <c r="AL532" s="629"/>
      <c r="AM532" s="629"/>
      <c r="AN532" s="629"/>
      <c r="AO532" s="64"/>
      <c r="AP532" s="469">
        <f>+AG83</f>
        <v>742147</v>
      </c>
      <c r="AQ532" s="64"/>
      <c r="AR532" s="469">
        <f>+AG84</f>
        <v>42339</v>
      </c>
      <c r="AS532" s="64"/>
      <c r="AT532" s="64"/>
      <c r="AU532" s="64"/>
      <c r="AV532" s="489">
        <f t="shared" si="2129"/>
        <v>5.7049344671608188E-2</v>
      </c>
      <c r="AW532" s="468"/>
      <c r="AX532" s="500"/>
      <c r="AZ532" s="106"/>
      <c r="BA532" s="77"/>
      <c r="BB532" s="106"/>
      <c r="BC532" s="106"/>
    </row>
    <row r="533" spans="2:87" ht="15.6" x14ac:dyDescent="0.3">
      <c r="AD533" s="1"/>
      <c r="AE533" s="507"/>
      <c r="AF533" s="546"/>
      <c r="AG533" s="1"/>
      <c r="AH533" s="1"/>
      <c r="AI533" s="485"/>
      <c r="AJ533" s="467"/>
      <c r="AK533" s="629" t="s">
        <v>140</v>
      </c>
      <c r="AL533" s="629"/>
      <c r="AM533" s="629"/>
      <c r="AN533" s="629"/>
      <c r="AO533" s="64"/>
      <c r="AP533" s="469">
        <f>+AH113</f>
        <v>869627</v>
      </c>
      <c r="AQ533" s="64"/>
      <c r="AR533" s="469">
        <f>+AH114</f>
        <v>21252</v>
      </c>
      <c r="AS533" s="64"/>
      <c r="AT533" s="64"/>
      <c r="AU533" s="64"/>
      <c r="AV533" s="489">
        <f t="shared" si="2129"/>
        <v>2.4438063675575852E-2</v>
      </c>
      <c r="AW533" s="468"/>
      <c r="AX533" s="500"/>
      <c r="AZ533" s="106"/>
      <c r="BA533" s="106"/>
      <c r="BB533" s="106"/>
      <c r="BC533" s="106"/>
    </row>
    <row r="534" spans="2:87" ht="15.6" x14ac:dyDescent="0.3">
      <c r="D534" s="428"/>
      <c r="AD534" s="1"/>
      <c r="AE534" s="507"/>
      <c r="AF534" s="546"/>
      <c r="AG534" s="1"/>
      <c r="AH534" s="1"/>
      <c r="AI534" s="485"/>
      <c r="AJ534" s="467"/>
      <c r="AK534" s="629" t="s">
        <v>143</v>
      </c>
      <c r="AL534" s="629"/>
      <c r="AM534" s="629"/>
      <c r="AN534" s="629"/>
      <c r="AO534" s="64"/>
      <c r="AP534" s="469">
        <f>+AG540</f>
        <v>1970617</v>
      </c>
      <c r="AQ534" s="64"/>
      <c r="AR534" s="469">
        <f>+AG542</f>
        <v>25901</v>
      </c>
      <c r="AS534" s="64"/>
      <c r="AT534" s="64"/>
      <c r="AU534" s="64"/>
      <c r="AV534" s="489">
        <f t="shared" si="2129"/>
        <v>1.3143599187462607E-2</v>
      </c>
      <c r="AW534" s="468"/>
      <c r="AX534" s="500"/>
    </row>
    <row r="535" spans="2:87" ht="15.6" x14ac:dyDescent="0.3">
      <c r="D535" s="428"/>
      <c r="AD535" s="1"/>
      <c r="AE535" s="507"/>
      <c r="AF535" s="546"/>
      <c r="AG535" s="1"/>
      <c r="AH535" s="1"/>
      <c r="AI535" s="485"/>
      <c r="AJ535" s="467"/>
      <c r="AK535" s="543"/>
      <c r="AL535" s="543" t="s">
        <v>151</v>
      </c>
      <c r="AM535" s="543"/>
      <c r="AN535" s="543"/>
      <c r="AO535" s="64"/>
      <c r="AP535" s="469">
        <f>SUM(D144:D174)</f>
        <v>1493931</v>
      </c>
      <c r="AQ535" s="64"/>
      <c r="AR535" s="469">
        <f>SUM(W144:W174)</f>
        <v>30354</v>
      </c>
      <c r="AS535" s="64"/>
      <c r="AT535" s="64"/>
      <c r="AU535" s="64"/>
      <c r="AV535" s="489">
        <f t="shared" si="2129"/>
        <v>2.0318207467413155E-2</v>
      </c>
      <c r="AW535" s="468"/>
      <c r="AX535" s="500"/>
    </row>
    <row r="536" spans="2:87" ht="15.6" x14ac:dyDescent="0.3">
      <c r="D536" s="428"/>
      <c r="AD536" s="1"/>
      <c r="AE536" s="507"/>
      <c r="AF536" s="546"/>
      <c r="AG536" s="1"/>
      <c r="AH536" s="1"/>
      <c r="AI536" s="485"/>
      <c r="AJ536" s="467"/>
      <c r="AK536" s="543"/>
      <c r="AL536" s="543" t="s">
        <v>152</v>
      </c>
      <c r="AM536" s="543"/>
      <c r="AN536" s="543"/>
      <c r="AO536" s="64"/>
      <c r="AP536" s="469">
        <f>SUM(D175:D204)</f>
        <v>1202331</v>
      </c>
      <c r="AQ536" s="64"/>
      <c r="AR536" s="544">
        <f>SUM(W175:W204)</f>
        <v>24042</v>
      </c>
      <c r="AS536" s="64"/>
      <c r="AT536" s="64"/>
      <c r="AU536" s="64"/>
      <c r="AV536" s="489">
        <f t="shared" si="2129"/>
        <v>1.9996157464125936E-2</v>
      </c>
      <c r="AW536" s="468"/>
      <c r="AX536" s="500"/>
    </row>
    <row r="537" spans="2:87" ht="15.6" x14ac:dyDescent="0.3">
      <c r="D537" s="428"/>
      <c r="AD537" s="1"/>
      <c r="AE537" s="507"/>
      <c r="AF537" s="546"/>
      <c r="AG537" s="1"/>
      <c r="AH537" s="1"/>
      <c r="AI537" s="485"/>
      <c r="AJ537" s="467"/>
      <c r="AK537" s="543"/>
      <c r="AL537" s="543" t="s">
        <v>153</v>
      </c>
      <c r="AM537" s="543"/>
      <c r="AN537" s="543"/>
      <c r="AO537" s="64"/>
      <c r="AP537" s="469">
        <f>SUM(D205:D230)</f>
        <v>1470960</v>
      </c>
      <c r="AQ537" s="64"/>
      <c r="AR537" s="469">
        <f>SUM(W205:W235)</f>
        <v>24156</v>
      </c>
      <c r="AS537" s="64"/>
      <c r="AT537" s="64"/>
      <c r="AU537" s="64"/>
      <c r="AV537" s="489">
        <f t="shared" si="2129"/>
        <v>1.6421928536465982E-2</v>
      </c>
      <c r="AW537" s="468"/>
      <c r="AX537" s="500"/>
      <c r="BA537" s="486">
        <f>+AV531-AV537</f>
        <v>4.5521892988085955E-2</v>
      </c>
    </row>
    <row r="538" spans="2:87" ht="15" thickBot="1" x14ac:dyDescent="0.35">
      <c r="B538" s="427"/>
      <c r="D538" s="235"/>
      <c r="AD538" s="1"/>
      <c r="AE538" s="507"/>
      <c r="AF538" s="546"/>
      <c r="AG538" s="1"/>
      <c r="AH538" s="1"/>
      <c r="AI538" s="485"/>
      <c r="AJ538" s="467"/>
      <c r="AK538" s="480"/>
      <c r="AL538" s="480"/>
      <c r="AM538" s="480"/>
      <c r="AN538" s="480"/>
      <c r="AO538" s="481"/>
      <c r="AP538" s="482"/>
      <c r="AQ538" s="481"/>
      <c r="AR538" s="482"/>
      <c r="AS538" s="481"/>
      <c r="AT538" s="481"/>
      <c r="AU538" s="481"/>
      <c r="AV538" s="483"/>
      <c r="AW538" s="468"/>
      <c r="AX538" s="500"/>
      <c r="BA538">
        <f>+BA537/AV531</f>
        <v>0.73488996751747038</v>
      </c>
    </row>
    <row r="539" spans="2:87" ht="15.6" x14ac:dyDescent="0.3">
      <c r="B539" s="427"/>
      <c r="D539" s="235"/>
      <c r="AD539" s="1"/>
      <c r="AE539" s="507"/>
      <c r="AF539" s="546"/>
      <c r="AG539" s="1"/>
      <c r="AH539" s="1"/>
      <c r="AI539" s="485"/>
      <c r="AJ539" s="467"/>
      <c r="AK539" s="590" t="s">
        <v>138</v>
      </c>
      <c r="AL539" s="590"/>
      <c r="AM539" s="590"/>
      <c r="AN539" s="590"/>
      <c r="AO539" s="64"/>
      <c r="AP539" s="469"/>
      <c r="AQ539" s="64"/>
      <c r="AR539" s="469">
        <f>+AR531</f>
        <v>55687</v>
      </c>
      <c r="AS539" s="64"/>
      <c r="AT539" s="64"/>
      <c r="AU539" s="64"/>
      <c r="AV539" s="144"/>
      <c r="AW539" s="468"/>
      <c r="AX539" s="500"/>
    </row>
    <row r="540" spans="2:87" ht="15.6" x14ac:dyDescent="0.3">
      <c r="B540" s="427"/>
      <c r="D540" s="235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10"/>
      <c r="AE540" s="507"/>
      <c r="AF540" s="546"/>
      <c r="AG540" s="33">
        <f>SUM(D113:D143)</f>
        <v>1970617</v>
      </c>
      <c r="AH540" s="1"/>
      <c r="AI540" s="485"/>
      <c r="AJ540" s="467"/>
      <c r="AK540" s="622" t="s">
        <v>153</v>
      </c>
      <c r="AL540" s="622"/>
      <c r="AM540" s="622"/>
      <c r="AN540" s="622"/>
      <c r="AO540" s="64"/>
      <c r="AP540" s="469"/>
      <c r="AQ540" s="64"/>
      <c r="AR540" s="469">
        <f>+AR537</f>
        <v>24156</v>
      </c>
      <c r="AS540" s="64"/>
      <c r="AT540" s="64"/>
      <c r="AU540" s="64"/>
      <c r="AV540" s="144"/>
      <c r="AW540" s="468"/>
      <c r="AX540" s="500"/>
    </row>
    <row r="541" spans="2:87" ht="15.6" x14ac:dyDescent="0.3">
      <c r="B541" s="427"/>
      <c r="D541" s="235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10"/>
      <c r="AE541" s="507"/>
      <c r="AF541" s="546"/>
      <c r="AG541" s="33">
        <f>SUM(W125:W138)</f>
        <v>12117</v>
      </c>
      <c r="AH541" s="1"/>
      <c r="AI541" s="485"/>
      <c r="AJ541" s="467"/>
      <c r="AK541" s="63"/>
      <c r="AL541" s="497" t="s">
        <v>3</v>
      </c>
      <c r="AM541" s="63"/>
      <c r="AN541" s="63"/>
      <c r="AO541" s="64"/>
      <c r="AP541" s="469"/>
      <c r="AQ541" s="64"/>
      <c r="AR541" s="469">
        <f>+AR539-AR540</f>
        <v>31531</v>
      </c>
      <c r="AS541" s="64"/>
      <c r="AT541" s="64"/>
      <c r="AU541" s="64"/>
      <c r="AV541" s="484">
        <f>+AR541/AR539</f>
        <v>0.5662183274372834</v>
      </c>
      <c r="AW541" s="468"/>
      <c r="AX541" s="500"/>
    </row>
    <row r="542" spans="2:87" ht="15" thickBot="1" x14ac:dyDescent="0.35">
      <c r="D542" s="427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10"/>
      <c r="AE542" s="507"/>
      <c r="AF542" s="548"/>
      <c r="AG542" s="33">
        <f>SUM(W113:W143)</f>
        <v>25901</v>
      </c>
      <c r="AH542" s="1"/>
      <c r="AI542" s="485"/>
      <c r="AJ542" s="470"/>
      <c r="AK542" s="471"/>
      <c r="AL542" s="471"/>
      <c r="AM542" s="471"/>
      <c r="AN542" s="471"/>
      <c r="AO542" s="471"/>
      <c r="AP542" s="471"/>
      <c r="AQ542" s="471"/>
      <c r="AR542" s="471"/>
      <c r="AS542" s="471"/>
      <c r="AT542" s="471"/>
      <c r="AU542" s="471"/>
      <c r="AV542" s="471"/>
      <c r="AW542" s="472"/>
      <c r="AX542" s="500"/>
      <c r="BD542" s="78"/>
      <c r="BE542" s="78"/>
      <c r="BF542" s="78"/>
      <c r="BG542" s="78"/>
      <c r="BH542" s="78"/>
      <c r="BI542" s="78"/>
      <c r="BJ542" s="78"/>
      <c r="BK542" s="78"/>
      <c r="BL542" s="78"/>
      <c r="BM542" s="78"/>
      <c r="BN542" s="78"/>
      <c r="BO542" s="78"/>
      <c r="BP542" s="78"/>
      <c r="BQ542" s="78"/>
      <c r="BR542" s="78"/>
      <c r="BS542" s="1"/>
      <c r="BT542" s="1"/>
      <c r="BU542" s="1"/>
      <c r="BV542" s="1"/>
      <c r="BW542" s="78"/>
      <c r="BX542" s="78"/>
      <c r="BY542" s="78"/>
      <c r="BZ542" s="78"/>
      <c r="CA542" s="78"/>
      <c r="CB542" s="78"/>
      <c r="CC542" s="78"/>
      <c r="CD542" s="78"/>
      <c r="CE542" s="78"/>
      <c r="CF542" s="78"/>
      <c r="CG542" s="78"/>
      <c r="CH542" s="78"/>
      <c r="CI542" s="78"/>
    </row>
    <row r="543" spans="2:87" x14ac:dyDescent="0.3"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10"/>
      <c r="AE543" s="507"/>
      <c r="AF543" s="507"/>
      <c r="AG543" s="507"/>
      <c r="AH543" s="507"/>
      <c r="AI543" s="507"/>
      <c r="AJ543" s="500"/>
      <c r="AK543" s="500"/>
      <c r="AL543" s="500"/>
      <c r="AM543" s="500"/>
      <c r="AN543" s="500"/>
      <c r="AO543" s="500"/>
      <c r="AP543" s="500"/>
      <c r="AQ543" s="500"/>
      <c r="AR543" s="500"/>
      <c r="AS543" s="500"/>
      <c r="AT543" s="500"/>
      <c r="AU543" s="500"/>
      <c r="AV543" s="500"/>
      <c r="AW543" s="500"/>
      <c r="AX543" s="500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77"/>
      <c r="BX543" s="77"/>
      <c r="BY543" s="77"/>
      <c r="BZ543" s="77"/>
      <c r="CA543" s="109"/>
      <c r="CB543" s="1"/>
      <c r="CC543" s="1"/>
      <c r="CD543" s="1"/>
      <c r="CE543" s="1"/>
      <c r="CF543" s="1"/>
      <c r="CG543" s="1"/>
      <c r="CH543" s="1"/>
      <c r="CI543" s="1"/>
    </row>
    <row r="544" spans="2:87" x14ac:dyDescent="0.3">
      <c r="D544">
        <v>10</v>
      </c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10"/>
      <c r="AE544" s="10"/>
      <c r="AF544" s="10"/>
      <c r="AG544" s="10"/>
      <c r="AH544" s="10"/>
      <c r="AI544" s="10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77"/>
      <c r="BX544" s="77"/>
      <c r="BY544" s="77"/>
      <c r="BZ544" s="77"/>
      <c r="CA544" s="77"/>
      <c r="CB544" s="1"/>
      <c r="CC544" s="1"/>
      <c r="CD544" s="1"/>
      <c r="CE544" s="1"/>
      <c r="CF544" s="1"/>
      <c r="CG544" s="1"/>
      <c r="CH544" s="1"/>
      <c r="CI544" s="1"/>
    </row>
    <row r="545" spans="2:85" x14ac:dyDescent="0.3">
      <c r="D545" s="1">
        <v>77000000</v>
      </c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10"/>
      <c r="AE545" s="10"/>
      <c r="AF545" s="10"/>
      <c r="AG545" s="10"/>
      <c r="AH545" s="10"/>
      <c r="AI545" s="10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77"/>
      <c r="BX545" s="77"/>
      <c r="BY545" s="77"/>
      <c r="BZ545" s="77"/>
      <c r="CA545" s="77"/>
      <c r="CB545" s="1"/>
      <c r="CC545" s="1"/>
      <c r="CD545" s="1"/>
      <c r="CE545" s="1"/>
      <c r="CF545" s="1"/>
      <c r="CG545" s="1"/>
    </row>
    <row r="546" spans="2:85" x14ac:dyDescent="0.3">
      <c r="D546" s="57">
        <f>+D545/D548</f>
        <v>0.23262839879154079</v>
      </c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10"/>
      <c r="AE546" s="10"/>
      <c r="AF546" s="10"/>
      <c r="AG546" s="501"/>
      <c r="AH546" s="10"/>
      <c r="AI546" s="10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77"/>
      <c r="BX546" s="77"/>
      <c r="BY546" s="77"/>
      <c r="BZ546" s="77"/>
      <c r="CA546" s="77"/>
      <c r="CB546" s="1"/>
      <c r="CC546" s="1"/>
      <c r="CD546" s="1"/>
      <c r="CE546" s="1"/>
      <c r="CF546" s="1"/>
      <c r="CG546" s="1"/>
    </row>
    <row r="547" spans="2:85" x14ac:dyDescent="0.3"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10"/>
      <c r="AE547" s="10"/>
      <c r="AF547" s="507"/>
      <c r="AG547" s="526"/>
      <c r="AH547" s="507"/>
      <c r="AI547" s="507"/>
      <c r="AJ547" s="500"/>
      <c r="AK547" s="500"/>
      <c r="AL547" s="500"/>
      <c r="AM547" s="500"/>
      <c r="AN547" s="500"/>
      <c r="AO547" s="500"/>
      <c r="AP547" s="500"/>
      <c r="AQ547" s="500"/>
      <c r="AR547" s="500"/>
      <c r="AS547" s="500"/>
      <c r="AT547" s="500"/>
      <c r="AU547" s="500"/>
      <c r="AV547" s="500"/>
      <c r="AW547" s="500"/>
      <c r="AX547" s="500"/>
      <c r="AY547" s="500"/>
      <c r="AZ547" s="500"/>
      <c r="BA547" s="500"/>
      <c r="BB547" s="500"/>
      <c r="BC547" s="500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77"/>
      <c r="BX547" s="77"/>
      <c r="BY547" s="110"/>
      <c r="BZ547" s="77"/>
      <c r="CA547" s="77"/>
    </row>
    <row r="548" spans="2:85" x14ac:dyDescent="0.3">
      <c r="D548" s="1">
        <v>331000000</v>
      </c>
      <c r="H548">
        <v>0.13400000000000001</v>
      </c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10"/>
      <c r="AE548" s="10"/>
      <c r="AF548" s="507"/>
      <c r="AG548" s="527"/>
      <c r="AH548" s="507"/>
      <c r="AI548" s="507"/>
      <c r="AJ548" s="524"/>
      <c r="AK548" s="524"/>
      <c r="AL548" s="525"/>
      <c r="AM548" s="525"/>
      <c r="AN548" s="525"/>
      <c r="AO548" s="525"/>
      <c r="AP548" s="525"/>
      <c r="AQ548" s="525"/>
      <c r="AR548" s="525"/>
      <c r="AS548" s="525"/>
      <c r="AT548" s="525"/>
      <c r="AU548" s="525"/>
      <c r="AV548" s="525"/>
      <c r="AW548" s="525"/>
      <c r="AX548" s="525"/>
      <c r="AY548" s="525"/>
      <c r="AZ548" s="525"/>
      <c r="BA548" s="525"/>
      <c r="BB548" s="524"/>
      <c r="BC548" s="524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77"/>
      <c r="BX548" s="77"/>
      <c r="BY548" s="77"/>
      <c r="BZ548" s="77"/>
      <c r="CA548" s="77"/>
    </row>
    <row r="549" spans="2:85" x14ac:dyDescent="0.3">
      <c r="D549" s="1">
        <f>+D548*H548</f>
        <v>44354000</v>
      </c>
      <c r="H549" s="1">
        <f>+D549*0.001</f>
        <v>44354</v>
      </c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10"/>
      <c r="AE549" s="10"/>
      <c r="AF549" s="507"/>
      <c r="AG549" s="526"/>
      <c r="AH549" s="507"/>
      <c r="AI549" s="507"/>
      <c r="AJ549" s="524"/>
      <c r="AK549" s="524"/>
      <c r="AL549" s="138"/>
      <c r="AM549" s="138"/>
      <c r="AN549" s="138"/>
      <c r="AO549" s="138"/>
      <c r="AP549" s="138"/>
      <c r="AQ549" s="138"/>
      <c r="AR549" s="138"/>
      <c r="AS549" s="78"/>
      <c r="AT549" s="78"/>
      <c r="AU549" s="78"/>
      <c r="AV549" s="98"/>
      <c r="AW549" s="98"/>
      <c r="AX549" s="98"/>
      <c r="AY549" s="98"/>
      <c r="AZ549" s="524"/>
      <c r="BA549" s="524"/>
      <c r="BB549" s="530"/>
      <c r="BC549" s="524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77"/>
      <c r="BX549" s="77"/>
      <c r="BY549" s="77"/>
      <c r="BZ549" s="77"/>
      <c r="CA549" s="77"/>
    </row>
    <row r="550" spans="2:85" x14ac:dyDescent="0.3">
      <c r="D550" s="425">
        <v>7.1999999999999995E-2</v>
      </c>
      <c r="H550" s="1">
        <f>+AA204*H548</f>
        <v>28746.886000000002</v>
      </c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10"/>
      <c r="AE550" s="10"/>
      <c r="AF550" s="507"/>
      <c r="AG550" s="526">
        <v>44031</v>
      </c>
      <c r="AH550" s="507"/>
      <c r="AI550" s="507"/>
      <c r="AJ550" s="524"/>
      <c r="AK550" s="524"/>
      <c r="AL550" s="138"/>
      <c r="AM550" s="138"/>
      <c r="AN550" s="138"/>
      <c r="AO550" s="138"/>
      <c r="AP550" s="138"/>
      <c r="AQ550" s="138"/>
      <c r="AR550" s="138"/>
      <c r="AS550" s="138"/>
      <c r="AT550" s="98"/>
      <c r="AU550" s="78"/>
      <c r="AV550" s="98"/>
      <c r="AW550" s="98"/>
      <c r="AX550" s="98"/>
      <c r="AY550" s="98"/>
      <c r="AZ550" s="524"/>
      <c r="BA550" s="524"/>
      <c r="BB550" s="530"/>
      <c r="BC550" s="524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77"/>
      <c r="BX550" s="77"/>
      <c r="BY550" s="77"/>
      <c r="BZ550" s="77"/>
      <c r="CA550" s="77"/>
    </row>
    <row r="551" spans="2:85" x14ac:dyDescent="0.3"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10"/>
      <c r="AE551" s="10"/>
      <c r="AF551" s="507"/>
      <c r="AG551" s="526">
        <v>44038</v>
      </c>
      <c r="AH551" s="507"/>
      <c r="AI551" s="507"/>
      <c r="AJ551" s="524"/>
      <c r="AK551" s="524"/>
      <c r="AL551" s="78"/>
      <c r="AM551" s="78"/>
      <c r="AN551" s="139"/>
      <c r="AO551" s="139"/>
      <c r="AP551" s="139"/>
      <c r="AQ551" s="139"/>
      <c r="AR551" s="139"/>
      <c r="AS551" s="78"/>
      <c r="AT551" s="78"/>
      <c r="AU551" s="78"/>
      <c r="AV551" s="98"/>
      <c r="AW551" s="98"/>
      <c r="AX551" s="98"/>
      <c r="AY551" s="98"/>
      <c r="AZ551" s="524"/>
      <c r="BA551" s="524"/>
      <c r="BB551" s="530"/>
      <c r="BC551" s="524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77"/>
      <c r="BX551" s="77"/>
      <c r="BY551" s="77"/>
      <c r="BZ551" s="77"/>
      <c r="CA551" s="77"/>
    </row>
    <row r="552" spans="2:85" x14ac:dyDescent="0.3">
      <c r="D552" s="235">
        <v>4.2000000000000003E-2</v>
      </c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10"/>
      <c r="AE552" s="10"/>
      <c r="AF552" s="507"/>
      <c r="AG552" s="526">
        <v>44045</v>
      </c>
      <c r="AH552" s="507"/>
      <c r="AI552" s="507"/>
      <c r="AJ552" s="524"/>
      <c r="AK552" s="524"/>
      <c r="AL552" s="138"/>
      <c r="AM552" s="138"/>
      <c r="AN552" s="138"/>
      <c r="AO552" s="138"/>
      <c r="AP552" s="138"/>
      <c r="AQ552" s="138"/>
      <c r="AR552" s="138"/>
      <c r="AS552" s="138"/>
      <c r="AT552" s="138"/>
      <c r="AU552" s="138"/>
      <c r="AV552" s="98"/>
      <c r="AW552" s="98"/>
      <c r="AX552" s="98"/>
      <c r="AY552" s="98"/>
      <c r="AZ552" s="524"/>
      <c r="BA552" s="524"/>
      <c r="BB552" s="530"/>
      <c r="BC552" s="524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2:85" x14ac:dyDescent="0.3">
      <c r="D553" s="531">
        <f>+D548*D550*D552</f>
        <v>1000944.0000000001</v>
      </c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10"/>
      <c r="AE553" s="10"/>
      <c r="AF553" s="507"/>
      <c r="AG553" s="526">
        <v>44052</v>
      </c>
      <c r="AH553" s="507"/>
      <c r="AI553" s="507"/>
      <c r="AJ553" s="524"/>
      <c r="AK553" s="524"/>
      <c r="AL553" s="78"/>
      <c r="AM553" s="78"/>
      <c r="AN553" s="139"/>
      <c r="AO553" s="139"/>
      <c r="AP553" s="139"/>
      <c r="AQ553" s="139"/>
      <c r="AR553" s="139"/>
      <c r="AS553" s="139"/>
      <c r="AT553" s="139"/>
      <c r="AU553" s="78"/>
      <c r="AV553" s="98"/>
      <c r="AW553" s="98"/>
      <c r="AX553" s="98"/>
      <c r="AY553" s="98"/>
      <c r="AZ553" s="524"/>
      <c r="BA553" s="524"/>
      <c r="BB553" s="530"/>
      <c r="BC553" s="524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2:85" x14ac:dyDescent="0.3"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10"/>
      <c r="AE554" s="10"/>
      <c r="AF554" s="507"/>
      <c r="AG554" s="526"/>
      <c r="AH554" s="507"/>
      <c r="AI554" s="507"/>
      <c r="AJ554" s="524"/>
      <c r="AK554" s="524"/>
      <c r="AL554" s="78"/>
      <c r="AM554" s="78"/>
      <c r="AN554" s="139"/>
      <c r="AO554" s="139"/>
      <c r="AP554" s="139"/>
      <c r="AQ554" s="139"/>
      <c r="AR554" s="139"/>
      <c r="AS554" s="139"/>
      <c r="AT554" s="139"/>
      <c r="AU554" s="78"/>
      <c r="AV554" s="98"/>
      <c r="AW554" s="98"/>
      <c r="AX554" s="98"/>
      <c r="AY554" s="98"/>
      <c r="AZ554" s="524"/>
      <c r="BA554" s="524"/>
      <c r="BB554" s="530"/>
      <c r="BC554" s="524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2:85" x14ac:dyDescent="0.3"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10"/>
      <c r="AE555" s="10"/>
      <c r="AF555" s="507"/>
      <c r="AG555" s="526"/>
      <c r="AH555" s="507"/>
      <c r="AI555" s="507"/>
      <c r="AJ555" s="524"/>
      <c r="AK555" s="524"/>
      <c r="AL555" s="78"/>
      <c r="AM555" s="78"/>
      <c r="AN555" s="139"/>
      <c r="AO555" s="139"/>
      <c r="AP555" s="139"/>
      <c r="AQ555" s="139"/>
      <c r="AR555" s="139"/>
      <c r="AS555" s="139"/>
      <c r="AT555" s="139"/>
      <c r="AU555" s="78"/>
      <c r="AV555" s="98"/>
      <c r="AW555" s="98"/>
      <c r="AX555" s="98"/>
      <c r="AY555" s="98"/>
      <c r="AZ555" s="524"/>
      <c r="BA555" s="524"/>
      <c r="BB555" s="530"/>
      <c r="BC555" s="524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2:85" x14ac:dyDescent="0.3"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10"/>
      <c r="AE556" s="10"/>
      <c r="AF556" s="507"/>
      <c r="AG556" s="528"/>
      <c r="AH556" s="507"/>
      <c r="AI556" s="507"/>
      <c r="AJ556" s="524"/>
      <c r="AK556" s="524"/>
      <c r="AL556" s="78"/>
      <c r="AM556" s="78"/>
      <c r="AN556" s="139"/>
      <c r="AO556" s="139"/>
      <c r="AP556" s="139"/>
      <c r="AQ556" s="139"/>
      <c r="AR556" s="139"/>
      <c r="AS556" s="139"/>
      <c r="AT556" s="139"/>
      <c r="AU556" s="78"/>
      <c r="AV556" s="98"/>
      <c r="AW556" s="98"/>
      <c r="AX556" s="98"/>
      <c r="AY556" s="98"/>
      <c r="AZ556" s="524"/>
      <c r="BA556" s="524"/>
      <c r="BB556" s="530"/>
      <c r="BC556" s="524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2:85" x14ac:dyDescent="0.3"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10"/>
      <c r="AE557" s="10"/>
      <c r="AF557" s="507"/>
      <c r="AG557" s="507"/>
      <c r="AH557" s="507"/>
      <c r="AI557" s="507"/>
      <c r="AJ557" s="524"/>
      <c r="AK557" s="524"/>
      <c r="AL557" s="78"/>
      <c r="AM557" s="78"/>
      <c r="AN557" s="139"/>
      <c r="AO557" s="139"/>
      <c r="AP557" s="139"/>
      <c r="AQ557" s="139"/>
      <c r="AR557" s="139"/>
      <c r="AS557" s="139"/>
      <c r="AT557" s="139"/>
      <c r="AU557" s="78"/>
      <c r="AV557" s="98"/>
      <c r="AW557" s="98"/>
      <c r="AX557" s="98"/>
      <c r="AY557" s="98"/>
      <c r="AZ557" s="524"/>
      <c r="BA557" s="524"/>
      <c r="BB557" s="530"/>
      <c r="BC557" s="524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2:85" x14ac:dyDescent="0.3"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10"/>
      <c r="AE558" s="10"/>
      <c r="AF558" s="507"/>
      <c r="AG558" s="507"/>
      <c r="AH558" s="507"/>
      <c r="AI558" s="507"/>
      <c r="AJ558" s="524"/>
      <c r="AK558" s="524"/>
      <c r="AL558" s="138"/>
      <c r="AM558" s="138"/>
      <c r="AN558" s="138"/>
      <c r="AO558" s="138"/>
      <c r="AP558" s="138"/>
      <c r="AQ558" s="138"/>
      <c r="AR558" s="138"/>
      <c r="AS558" s="138"/>
      <c r="AT558" s="138"/>
      <c r="AU558" s="138"/>
      <c r="AV558" s="78"/>
      <c r="AW558" s="78"/>
      <c r="AX558" s="78"/>
      <c r="AY558" s="78"/>
      <c r="AZ558" s="524"/>
      <c r="BA558" s="530"/>
      <c r="BB558" s="530"/>
      <c r="BC558" s="524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2:85" x14ac:dyDescent="0.3">
      <c r="AD559" s="10"/>
      <c r="AE559" s="10"/>
      <c r="AF559" s="507"/>
      <c r="AG559" s="507"/>
      <c r="AH559" s="507"/>
      <c r="AI559" s="507"/>
      <c r="AJ559" s="524"/>
      <c r="AK559" s="524"/>
      <c r="AL559" s="138"/>
      <c r="AM559" s="138"/>
      <c r="AN559" s="138"/>
      <c r="AO559" s="138"/>
      <c r="AP559" s="138"/>
      <c r="AQ559" s="138"/>
      <c r="AR559" s="138"/>
      <c r="AS559" s="138"/>
      <c r="AT559" s="138"/>
      <c r="AU559" s="138"/>
      <c r="AV559" s="78"/>
      <c r="AW559" s="78"/>
      <c r="AX559" s="78"/>
      <c r="AY559" s="78"/>
      <c r="AZ559" s="524"/>
      <c r="BA559" s="530"/>
      <c r="BB559" s="530"/>
      <c r="BC559" s="524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2:85" ht="15" thickBot="1" x14ac:dyDescent="0.35">
      <c r="B560" s="500"/>
      <c r="C560" s="500"/>
      <c r="D560" s="500"/>
      <c r="E560" s="500"/>
      <c r="F560" s="500"/>
      <c r="G560" s="500"/>
      <c r="H560" s="500"/>
      <c r="I560" s="500"/>
      <c r="J560" s="500"/>
      <c r="K560" s="500"/>
      <c r="L560" s="500"/>
      <c r="M560" s="500"/>
      <c r="N560" s="500"/>
      <c r="O560" s="500"/>
      <c r="P560" s="500"/>
      <c r="Q560" s="500"/>
      <c r="R560" s="500"/>
      <c r="S560" s="500"/>
      <c r="T560" s="500"/>
      <c r="U560" s="500"/>
      <c r="V560" s="500"/>
      <c r="AD560" s="10"/>
      <c r="AE560" s="10"/>
      <c r="AF560" s="507"/>
      <c r="AG560" s="507"/>
      <c r="AH560" s="507"/>
      <c r="AI560" s="507"/>
      <c r="AJ560" s="524"/>
      <c r="AK560" s="524"/>
      <c r="AL560" s="138"/>
      <c r="AM560" s="138"/>
      <c r="AN560" s="138"/>
      <c r="AO560" s="138"/>
      <c r="AP560" s="138"/>
      <c r="AQ560" s="138"/>
      <c r="AR560" s="138"/>
      <c r="AS560" s="138"/>
      <c r="AT560" s="138"/>
      <c r="AU560" s="138"/>
      <c r="AV560" s="78"/>
      <c r="AW560" s="78"/>
      <c r="AX560" s="78"/>
      <c r="AY560" s="78"/>
      <c r="AZ560" s="524"/>
      <c r="BA560" s="530"/>
      <c r="BB560" s="530"/>
      <c r="BC560" s="524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2:79" x14ac:dyDescent="0.3">
      <c r="B561" s="500"/>
      <c r="C561" s="510"/>
      <c r="D561" s="357"/>
      <c r="E561" s="357"/>
      <c r="F561" s="357"/>
      <c r="G561" s="357"/>
      <c r="H561" s="357"/>
      <c r="I561" s="357"/>
      <c r="J561" s="357"/>
      <c r="K561" s="357"/>
      <c r="L561" s="357"/>
      <c r="M561" s="357"/>
      <c r="N561" s="357"/>
      <c r="O561" s="357"/>
      <c r="P561" s="511"/>
      <c r="V561" s="500"/>
      <c r="AD561" s="10"/>
      <c r="AE561" s="10"/>
      <c r="AF561" s="507"/>
      <c r="AG561" s="507"/>
      <c r="AH561" s="507"/>
      <c r="AI561" s="507"/>
      <c r="AJ561" s="524"/>
      <c r="AK561" s="524"/>
      <c r="AL561" s="138"/>
      <c r="AM561" s="138"/>
      <c r="AN561" s="138"/>
      <c r="AO561" s="138"/>
      <c r="AP561" s="138"/>
      <c r="AQ561" s="138"/>
      <c r="AR561" s="138"/>
      <c r="AS561" s="138"/>
      <c r="AT561" s="138"/>
      <c r="AU561" s="138"/>
      <c r="AV561" s="78"/>
      <c r="AW561" s="78"/>
      <c r="AX561" s="78"/>
      <c r="AY561" s="78"/>
      <c r="AZ561" s="524"/>
      <c r="BA561" s="530"/>
      <c r="BB561" s="530"/>
      <c r="BC561" s="524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2:79" x14ac:dyDescent="0.3">
      <c r="B562" s="500"/>
      <c r="C562" s="512"/>
      <c r="D562" s="502" t="s">
        <v>149</v>
      </c>
      <c r="E562" s="387"/>
      <c r="F562" s="387"/>
      <c r="G562" s="387"/>
      <c r="H562" s="621" t="s">
        <v>20</v>
      </c>
      <c r="I562" s="621"/>
      <c r="J562" s="621"/>
      <c r="K562" s="387"/>
      <c r="L562" s="387"/>
      <c r="M562" s="387"/>
      <c r="N562" s="387"/>
      <c r="O562" s="387"/>
      <c r="P562" s="513"/>
      <c r="V562" s="500"/>
      <c r="AD562" s="10"/>
      <c r="AE562" s="10"/>
      <c r="AF562" s="507"/>
      <c r="AG562" s="507"/>
      <c r="AH562" s="507"/>
      <c r="AI562" s="507"/>
      <c r="AJ562" s="524"/>
      <c r="AK562" s="524"/>
      <c r="AL562" s="138"/>
      <c r="AM562" s="138"/>
      <c r="AN562" s="138"/>
      <c r="AO562" s="138"/>
      <c r="AP562" s="138"/>
      <c r="AQ562" s="138"/>
      <c r="AR562" s="138"/>
      <c r="AS562" s="138"/>
      <c r="AT562" s="138"/>
      <c r="AU562" s="138"/>
      <c r="AV562" s="78"/>
      <c r="AW562" s="78"/>
      <c r="AX562" s="78"/>
      <c r="AY562" s="78"/>
      <c r="AZ562" s="524"/>
      <c r="BA562" s="530"/>
      <c r="BB562" s="530"/>
      <c r="BC562" s="524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2:79" x14ac:dyDescent="0.3">
      <c r="B563" s="500"/>
      <c r="C563" s="512"/>
      <c r="D563" s="514" t="s">
        <v>150</v>
      </c>
      <c r="E563" s="387"/>
      <c r="F563" s="387"/>
      <c r="G563" s="387"/>
      <c r="H563" s="515" t="s">
        <v>147</v>
      </c>
      <c r="I563" s="502"/>
      <c r="J563" s="516" t="s">
        <v>148</v>
      </c>
      <c r="K563" s="502"/>
      <c r="L563" s="502"/>
      <c r="M563" s="502"/>
      <c r="N563" s="502"/>
      <c r="O563" s="517" t="s">
        <v>3</v>
      </c>
      <c r="P563" s="513"/>
      <c r="V563" s="500"/>
      <c r="AD563" s="10"/>
      <c r="AE563" s="10"/>
      <c r="AF563" s="507"/>
      <c r="AG563" s="507"/>
      <c r="AH563" s="507"/>
      <c r="AI563" s="507"/>
      <c r="AJ563" s="524"/>
      <c r="AK563" s="524"/>
      <c r="AL563" s="529"/>
      <c r="AM563" s="529"/>
      <c r="AN563" s="529"/>
      <c r="AO563" s="529"/>
      <c r="AP563" s="529"/>
      <c r="AQ563" s="529"/>
      <c r="AR563" s="529"/>
      <c r="AS563" s="529"/>
      <c r="AT563" s="529"/>
      <c r="AU563" s="529"/>
      <c r="AV563" s="524"/>
      <c r="AW563" s="524"/>
      <c r="AX563" s="524"/>
      <c r="AY563" s="524"/>
      <c r="AZ563" s="524"/>
      <c r="BA563" s="530"/>
      <c r="BB563" s="530"/>
      <c r="BC563" s="524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2:79" x14ac:dyDescent="0.3">
      <c r="B564" s="500"/>
      <c r="C564" s="512"/>
      <c r="D564" s="503" t="s">
        <v>146</v>
      </c>
      <c r="E564" s="15"/>
      <c r="F564" s="15"/>
      <c r="G564" s="15"/>
      <c r="H564" s="518">
        <f>SUM(D133:D139)</f>
        <v>471981</v>
      </c>
      <c r="I564" s="15"/>
      <c r="J564" s="16">
        <f>+H564/7</f>
        <v>67425.857142857145</v>
      </c>
      <c r="K564" s="15"/>
      <c r="L564" s="15"/>
      <c r="M564" s="15"/>
      <c r="N564" s="15"/>
      <c r="O564" s="15"/>
      <c r="P564" s="513"/>
      <c r="V564" s="500"/>
      <c r="AD564" s="10"/>
      <c r="AE564" s="10"/>
      <c r="AF564" s="507"/>
      <c r="AG564" s="507"/>
      <c r="AH564" s="507"/>
      <c r="AI564" s="507"/>
      <c r="AJ564" s="524"/>
      <c r="AK564" s="524"/>
      <c r="AL564" s="529"/>
      <c r="AM564" s="529"/>
      <c r="AN564" s="529"/>
      <c r="AO564" s="529"/>
      <c r="AP564" s="529"/>
      <c r="AQ564" s="529"/>
      <c r="AR564" s="529"/>
      <c r="AS564" s="529"/>
      <c r="AT564" s="529"/>
      <c r="AU564" s="529"/>
      <c r="AV564" s="529"/>
      <c r="AW564" s="529"/>
      <c r="AX564" s="529"/>
      <c r="AY564" s="529"/>
      <c r="AZ564" s="524"/>
      <c r="BA564" s="524"/>
      <c r="BB564" s="530"/>
      <c r="BC564" s="524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2:79" x14ac:dyDescent="0.3">
      <c r="B565" s="500"/>
      <c r="C565" s="512"/>
      <c r="D565" s="503" t="s">
        <v>145</v>
      </c>
      <c r="E565" s="15"/>
      <c r="F565" s="15"/>
      <c r="G565" s="15"/>
      <c r="H565" s="16">
        <f>SUM(D140:D146)</f>
        <v>427527</v>
      </c>
      <c r="I565" s="15"/>
      <c r="J565" s="16">
        <f>+H565/7</f>
        <v>61075.285714285717</v>
      </c>
      <c r="K565" s="15"/>
      <c r="L565" s="15"/>
      <c r="M565" s="15"/>
      <c r="N565" s="15"/>
      <c r="O565" s="15"/>
      <c r="P565" s="513"/>
      <c r="V565" s="500"/>
      <c r="AJ565" s="98"/>
      <c r="AK565" s="98"/>
      <c r="AL565" s="98"/>
      <c r="AM565" s="98"/>
      <c r="AN565" s="98"/>
      <c r="AO565" s="98"/>
      <c r="AP565" s="98"/>
      <c r="AQ565" s="98"/>
      <c r="AR565" s="98"/>
      <c r="AS565" s="98"/>
      <c r="AT565" s="78"/>
      <c r="AU565" s="98"/>
      <c r="AV565" s="140"/>
      <c r="AW565" s="140"/>
      <c r="AX565" s="140"/>
      <c r="AY565" s="140"/>
      <c r="AZ565" s="98"/>
      <c r="BA565" s="98"/>
      <c r="BB565" s="98"/>
      <c r="BC565" s="98"/>
    </row>
    <row r="566" spans="2:79" x14ac:dyDescent="0.3">
      <c r="B566" s="506"/>
      <c r="C566" s="512"/>
      <c r="D566" s="503" t="s">
        <v>144</v>
      </c>
      <c r="E566" s="15"/>
      <c r="F566" s="15"/>
      <c r="G566" s="15"/>
      <c r="H566" s="16">
        <f>SUM(D147:D153)</f>
        <v>383516</v>
      </c>
      <c r="I566" s="15"/>
      <c r="J566" s="16">
        <f>+H566/7</f>
        <v>54788</v>
      </c>
      <c r="K566" s="15"/>
      <c r="L566" s="15"/>
      <c r="M566" s="15"/>
      <c r="N566" s="15"/>
      <c r="O566" s="518">
        <f>+H564-H566</f>
        <v>88465</v>
      </c>
      <c r="P566" s="513"/>
      <c r="V566" s="500"/>
      <c r="AA566">
        <f>+O566/7</f>
        <v>12637.857142857143</v>
      </c>
      <c r="AJ566" s="98"/>
      <c r="AK566" s="98"/>
      <c r="AL566" s="98"/>
      <c r="AM566" s="98"/>
      <c r="AN566" s="98"/>
      <c r="AO566" s="98"/>
      <c r="AP566" s="98"/>
      <c r="AQ566" s="98"/>
      <c r="AR566" s="98"/>
      <c r="AS566" s="98"/>
      <c r="AT566" s="98"/>
      <c r="AU566" s="98"/>
      <c r="AV566" s="78"/>
      <c r="AW566" s="78"/>
      <c r="AX566" s="78"/>
      <c r="AY566" s="78"/>
      <c r="AZ566" s="98"/>
      <c r="BA566" s="141"/>
      <c r="BB566" s="98"/>
      <c r="BC566" s="98"/>
    </row>
    <row r="567" spans="2:79" x14ac:dyDescent="0.3">
      <c r="B567" s="507"/>
      <c r="C567" s="512"/>
      <c r="D567" s="519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60">
        <f>+O566/H564</f>
        <v>0.18743339244588236</v>
      </c>
      <c r="P567" s="513"/>
      <c r="V567" s="500"/>
      <c r="X567" s="61"/>
      <c r="Y567" s="61"/>
      <c r="Z567" s="98"/>
      <c r="AA567" s="98"/>
      <c r="AB567" s="98"/>
      <c r="AC567" s="98"/>
      <c r="AD567" s="98"/>
      <c r="AE567" s="98"/>
      <c r="AF567" s="98"/>
      <c r="AG567" s="98"/>
      <c r="AH567" s="98"/>
      <c r="AI567" s="98"/>
      <c r="AJ567" s="98"/>
      <c r="AK567" s="98"/>
      <c r="AL567" s="98"/>
      <c r="AM567" s="98"/>
      <c r="AN567" s="98"/>
      <c r="AO567" s="98"/>
      <c r="AP567" s="78">
        <v>480454</v>
      </c>
      <c r="AQ567" s="98"/>
      <c r="AR567" s="98"/>
      <c r="AS567" s="98"/>
      <c r="AT567" s="98"/>
      <c r="AU567" s="98"/>
      <c r="AV567" s="98"/>
      <c r="AW567" s="98"/>
      <c r="AX567" s="98"/>
      <c r="AY567" s="98"/>
      <c r="AZ567" s="98"/>
      <c r="BA567" s="98"/>
      <c r="BB567" s="98"/>
      <c r="BC567" s="98"/>
    </row>
    <row r="568" spans="2:79" ht="15" thickBot="1" x14ac:dyDescent="0.35">
      <c r="B568" s="507"/>
      <c r="C568" s="520"/>
      <c r="D568" s="521"/>
      <c r="E568" s="521"/>
      <c r="F568" s="521"/>
      <c r="G568" s="521"/>
      <c r="H568" s="521"/>
      <c r="I568" s="521"/>
      <c r="J568" s="522"/>
      <c r="K568" s="521"/>
      <c r="L568" s="521"/>
      <c r="M568" s="521"/>
      <c r="N568" s="521"/>
      <c r="O568" s="521"/>
      <c r="P568" s="523"/>
      <c r="V568" s="500"/>
      <c r="X568" s="61"/>
      <c r="Y568" s="61"/>
      <c r="Z568" s="98"/>
      <c r="AA568" s="98"/>
      <c r="AB568" s="98"/>
      <c r="AC568" s="98"/>
      <c r="AD568" s="98"/>
      <c r="AE568" s="98"/>
      <c r="AF568" s="98"/>
      <c r="AG568" s="98"/>
      <c r="AH568" s="98"/>
      <c r="AI568" s="98"/>
      <c r="AJ568" s="98"/>
      <c r="AK568" s="98"/>
      <c r="AL568" s="98"/>
      <c r="AM568" s="98"/>
      <c r="AN568" s="98"/>
      <c r="AO568" s="98"/>
      <c r="AP568" s="140">
        <f>+N201</f>
        <v>290088</v>
      </c>
      <c r="AQ568" s="98"/>
      <c r="AR568" s="98"/>
      <c r="AS568" s="98"/>
      <c r="AT568" s="98"/>
      <c r="AU568" s="98"/>
      <c r="AV568" s="98"/>
      <c r="AW568" s="98"/>
      <c r="AX568" s="98"/>
      <c r="AY568" s="98"/>
      <c r="AZ568" s="98"/>
      <c r="BA568" s="98"/>
      <c r="BB568" s="98"/>
      <c r="BC568" s="98"/>
    </row>
    <row r="569" spans="2:79" x14ac:dyDescent="0.3">
      <c r="B569" s="507"/>
      <c r="C569" s="500"/>
      <c r="D569" s="508"/>
      <c r="E569" s="500"/>
      <c r="F569" s="500"/>
      <c r="G569" s="500"/>
      <c r="H569" s="509"/>
      <c r="I569" s="500"/>
      <c r="J569" s="500"/>
      <c r="K569" s="500"/>
      <c r="L569" s="500"/>
      <c r="M569" s="500"/>
      <c r="N569" s="500"/>
      <c r="O569" s="500"/>
      <c r="P569" s="500"/>
      <c r="Q569" s="500"/>
      <c r="R569" s="500"/>
      <c r="S569" s="500"/>
      <c r="T569" s="500"/>
      <c r="U569" s="500"/>
      <c r="V569" s="500"/>
      <c r="X569" s="61"/>
      <c r="Y569" s="61"/>
      <c r="Z569" s="98"/>
      <c r="AA569" s="98"/>
      <c r="AB569" s="98"/>
      <c r="AC569" s="98"/>
      <c r="AD569" s="98"/>
      <c r="AE569" s="98"/>
      <c r="AF569" s="98"/>
      <c r="AG569" s="98"/>
      <c r="AH569" s="98"/>
      <c r="AI569" s="98"/>
      <c r="AJ569" s="98"/>
      <c r="AK569" s="98"/>
      <c r="AL569" s="98"/>
      <c r="AM569" s="98"/>
      <c r="AN569" s="98"/>
      <c r="AO569" s="98"/>
      <c r="AP569" s="140">
        <f>+AP567-AP568</f>
        <v>190366</v>
      </c>
      <c r="AQ569" s="98"/>
      <c r="AR569" s="98"/>
    </row>
    <row r="570" spans="2:79" x14ac:dyDescent="0.3">
      <c r="B570" s="1"/>
      <c r="D570" s="55"/>
      <c r="X570" s="61"/>
      <c r="Y570" s="61"/>
      <c r="Z570" s="98"/>
      <c r="AA570" s="98"/>
      <c r="AB570" s="98"/>
      <c r="AC570" s="98"/>
      <c r="AD570" s="98"/>
      <c r="AE570" s="98"/>
      <c r="AF570" s="98"/>
      <c r="AG570" s="98"/>
      <c r="AH570" s="98"/>
      <c r="AI570" s="98"/>
      <c r="AJ570" s="98"/>
      <c r="AK570" s="98"/>
      <c r="AL570" s="98"/>
      <c r="AM570" s="98"/>
      <c r="AN570" s="98"/>
      <c r="AO570" s="98"/>
      <c r="AP570" s="84">
        <f>+AP569/AP567</f>
        <v>0.3962210742339537</v>
      </c>
      <c r="AQ570" s="98"/>
      <c r="AR570" s="98"/>
    </row>
    <row r="571" spans="2:79" x14ac:dyDescent="0.3">
      <c r="B571" s="55"/>
      <c r="D571" s="55"/>
      <c r="J571" s="56">
        <f>+J564-J566</f>
        <v>12637.857142857145</v>
      </c>
      <c r="X571" s="61"/>
      <c r="Y571" s="61"/>
      <c r="Z571" s="98"/>
      <c r="AA571" s="98"/>
      <c r="AB571" s="98"/>
      <c r="AC571" s="98"/>
      <c r="AD571" s="98"/>
      <c r="AE571" s="98"/>
      <c r="AF571" s="98"/>
      <c r="AG571" s="98"/>
      <c r="AH571" s="98"/>
      <c r="AI571" s="98"/>
      <c r="AJ571" s="98"/>
      <c r="AK571" s="98"/>
      <c r="AL571" s="98"/>
      <c r="AM571" s="98"/>
      <c r="AN571" s="98"/>
      <c r="AO571" s="98"/>
      <c r="AP571" s="98"/>
      <c r="AQ571" s="98"/>
      <c r="AR571" s="98"/>
    </row>
    <row r="572" spans="2:79" x14ac:dyDescent="0.3">
      <c r="B572" s="57"/>
      <c r="D572" s="55"/>
      <c r="X572" s="61"/>
      <c r="Y572" s="61"/>
      <c r="Z572" s="98"/>
      <c r="AA572" s="98"/>
      <c r="AB572" s="98"/>
      <c r="AC572" s="98"/>
      <c r="AD572" s="98"/>
      <c r="AE572" s="98"/>
      <c r="AF572" s="98"/>
      <c r="AG572" s="98"/>
      <c r="AH572" s="98"/>
      <c r="AI572" s="98"/>
      <c r="AJ572" s="98"/>
      <c r="AK572" s="98"/>
      <c r="AL572" s="98"/>
      <c r="AM572" s="98"/>
      <c r="AN572" s="98"/>
      <c r="AO572" s="98"/>
      <c r="AP572" s="98"/>
      <c r="AQ572" s="98"/>
      <c r="AR572" s="98"/>
    </row>
    <row r="573" spans="2:79" x14ac:dyDescent="0.3">
      <c r="B573" s="1"/>
      <c r="D573" s="55"/>
      <c r="X573" s="61"/>
      <c r="Y573" s="61"/>
      <c r="Z573" s="98"/>
      <c r="AA573" s="98"/>
      <c r="AB573" s="98"/>
      <c r="AC573" s="98"/>
      <c r="AD573" s="98"/>
      <c r="AE573" s="98"/>
      <c r="AF573" s="98"/>
      <c r="AG573" s="98"/>
      <c r="AH573" s="98"/>
      <c r="AI573" s="98"/>
      <c r="AJ573" s="98"/>
      <c r="AK573" s="98"/>
      <c r="AL573" s="98"/>
      <c r="AM573" s="98"/>
      <c r="AN573" s="98"/>
      <c r="AO573" s="98"/>
      <c r="AP573" s="98"/>
      <c r="AQ573" s="98"/>
      <c r="AR573" s="98"/>
    </row>
    <row r="574" spans="2:79" x14ac:dyDescent="0.3">
      <c r="B574" s="1"/>
      <c r="D574" s="55"/>
      <c r="Z574" s="106"/>
      <c r="AA574" s="106"/>
      <c r="AB574" s="106"/>
      <c r="AC574" s="106"/>
      <c r="AD574" s="106"/>
      <c r="AE574" s="106"/>
      <c r="AF574" s="106"/>
      <c r="AG574" s="106"/>
      <c r="AH574" s="106"/>
      <c r="AI574" s="106"/>
      <c r="AJ574" s="106"/>
      <c r="AK574" s="106"/>
      <c r="AL574" s="106"/>
      <c r="AM574" s="106"/>
      <c r="AN574" s="106"/>
      <c r="AO574" s="106"/>
      <c r="AP574" s="106"/>
      <c r="AQ574" s="106"/>
      <c r="AR574" s="106"/>
    </row>
    <row r="575" spans="2:79" x14ac:dyDescent="0.3">
      <c r="B575" s="1"/>
      <c r="D575" s="55"/>
      <c r="AT575" s="500"/>
      <c r="AU575" s="500"/>
      <c r="AV575" s="500"/>
      <c r="AW575" s="500"/>
      <c r="AX575" s="500"/>
      <c r="AY575" s="500"/>
      <c r="AZ575" s="500"/>
      <c r="BA575" s="500"/>
      <c r="BB575" s="500"/>
      <c r="BC575" s="500"/>
      <c r="BD575" s="500"/>
      <c r="BE575" s="500"/>
      <c r="BF575" s="500"/>
      <c r="BG575" s="500"/>
      <c r="BH575" s="500"/>
      <c r="BI575" s="500"/>
    </row>
    <row r="576" spans="2:79" ht="15.6" x14ac:dyDescent="0.3">
      <c r="B576" s="1"/>
      <c r="D576" s="55"/>
      <c r="AT576" s="500"/>
      <c r="AU576" s="533"/>
      <c r="AV576" s="534"/>
      <c r="AW576" s="534"/>
      <c r="AX576" s="534"/>
      <c r="AY576" s="534"/>
      <c r="AZ576" s="534"/>
      <c r="BA576" s="534"/>
      <c r="BB576" s="534"/>
      <c r="BC576" s="534"/>
      <c r="BD576" s="534"/>
      <c r="BE576" s="534" t="s">
        <v>156</v>
      </c>
      <c r="BF576" s="534"/>
      <c r="BG576" s="534" t="s">
        <v>2</v>
      </c>
      <c r="BH576" s="533"/>
      <c r="BI576" s="500"/>
    </row>
    <row r="577" spans="2:61" ht="16.2" thickBot="1" x14ac:dyDescent="0.35">
      <c r="B577" s="57" t="e">
        <f>+B576/B575</f>
        <v>#DIV/0!</v>
      </c>
      <c r="D577" s="55"/>
      <c r="AT577" s="500"/>
      <c r="AU577" s="533"/>
      <c r="AV577" s="627" t="s">
        <v>155</v>
      </c>
      <c r="AW577" s="627"/>
      <c r="AX577" s="627"/>
      <c r="AY577" s="534"/>
      <c r="AZ577" s="534"/>
      <c r="BA577" s="535" t="s">
        <v>20</v>
      </c>
      <c r="BB577" s="534"/>
      <c r="BC577" s="535" t="s">
        <v>3</v>
      </c>
      <c r="BD577" s="534"/>
      <c r="BE577" s="535" t="s">
        <v>65</v>
      </c>
      <c r="BF577" s="534"/>
      <c r="BG577" s="535" t="s">
        <v>65</v>
      </c>
      <c r="BH577" s="533"/>
      <c r="BI577" s="500"/>
    </row>
    <row r="578" spans="2:61" ht="21" x14ac:dyDescent="0.4">
      <c r="B578" s="1"/>
      <c r="D578" s="55"/>
      <c r="AT578" s="500"/>
      <c r="AU578" s="533"/>
      <c r="AV578" s="536" t="s">
        <v>143</v>
      </c>
      <c r="AW578" s="533"/>
      <c r="AX578" s="537"/>
      <c r="AY578" s="533"/>
      <c r="AZ578" s="533"/>
      <c r="BA578" s="538">
        <f>+N143</f>
        <v>1970617</v>
      </c>
      <c r="BB578" s="537"/>
      <c r="BC578" s="537"/>
      <c r="BD578" s="537"/>
      <c r="BE578" s="537"/>
      <c r="BF578" s="537"/>
      <c r="BG578" s="537"/>
      <c r="BH578" s="533"/>
      <c r="BI578" s="500"/>
    </row>
    <row r="579" spans="2:61" ht="21" x14ac:dyDescent="0.4">
      <c r="B579" s="1"/>
      <c r="D579" s="55"/>
      <c r="AT579" s="500"/>
      <c r="AU579" s="533"/>
      <c r="AV579" s="536" t="s">
        <v>151</v>
      </c>
      <c r="AW579" s="533"/>
      <c r="AX579" s="537"/>
      <c r="AY579" s="533"/>
      <c r="AZ579" s="533"/>
      <c r="BA579" s="538">
        <f>+N174</f>
        <v>1493931</v>
      </c>
      <c r="BB579" s="537"/>
      <c r="BC579" s="538">
        <f>+BA579-BA578</f>
        <v>-476686</v>
      </c>
      <c r="BD579" s="537"/>
      <c r="BE579" s="539">
        <f>+BC579/BA578</f>
        <v>-0.24189682723735764</v>
      </c>
      <c r="BF579" s="537"/>
      <c r="BG579" s="537"/>
      <c r="BH579" s="533"/>
      <c r="BI579" s="500"/>
    </row>
    <row r="580" spans="2:61" ht="21" x14ac:dyDescent="0.4">
      <c r="B580" s="1">
        <f>+B576*50</f>
        <v>0</v>
      </c>
      <c r="D580" s="55"/>
      <c r="AT580" s="500"/>
      <c r="AU580" s="533"/>
      <c r="AV580" s="536" t="s">
        <v>152</v>
      </c>
      <c r="AW580" s="533"/>
      <c r="AX580" s="537"/>
      <c r="AY580" s="533"/>
      <c r="AZ580" s="533"/>
      <c r="BA580" s="538">
        <f>+N204</f>
        <v>1202331</v>
      </c>
      <c r="BB580" s="537"/>
      <c r="BC580" s="538">
        <f>+BA580-BA579</f>
        <v>-291600</v>
      </c>
      <c r="BD580" s="537"/>
      <c r="BE580" s="539">
        <f>+BC580/BA579</f>
        <v>-0.19518973767864781</v>
      </c>
      <c r="BF580" s="537"/>
      <c r="BG580" s="537"/>
      <c r="BH580" s="533"/>
      <c r="BI580" s="500"/>
    </row>
    <row r="581" spans="2:61" ht="21" x14ac:dyDescent="0.4">
      <c r="B581" s="1"/>
      <c r="D581" s="55"/>
      <c r="AT581" s="500"/>
      <c r="AU581" s="533"/>
      <c r="AV581" s="536" t="s">
        <v>153</v>
      </c>
      <c r="AW581" s="533"/>
      <c r="AX581" s="537"/>
      <c r="AY581" s="533"/>
      <c r="AZ581" s="540" t="s">
        <v>26</v>
      </c>
      <c r="BA581" s="538">
        <f>+N218</f>
        <v>371489</v>
      </c>
      <c r="BB581" s="537"/>
      <c r="BC581" s="538">
        <f>+BA581-BA580</f>
        <v>-830842</v>
      </c>
      <c r="BD581" s="537"/>
      <c r="BE581" s="539">
        <f>+BC581/BA580</f>
        <v>-0.69102601529861574</v>
      </c>
      <c r="BF581" s="537"/>
      <c r="BG581" s="539">
        <f>+(BA581-BA578)/BA578</f>
        <v>-0.81148594577231392</v>
      </c>
      <c r="BH581" s="533"/>
      <c r="BI581" s="500"/>
    </row>
    <row r="582" spans="2:61" x14ac:dyDescent="0.3">
      <c r="B582" s="1"/>
      <c r="D582" s="55"/>
      <c r="AT582" s="500"/>
      <c r="AU582" s="533"/>
      <c r="AV582" s="533"/>
      <c r="AW582" s="533"/>
      <c r="AX582" s="533"/>
      <c r="AY582" s="533"/>
      <c r="AZ582" s="533"/>
      <c r="BA582" s="533"/>
      <c r="BB582" s="533"/>
      <c r="BC582" s="533"/>
      <c r="BD582" s="533"/>
      <c r="BE582" s="533"/>
      <c r="BF582" s="533"/>
      <c r="BG582" s="533"/>
      <c r="BH582" s="533"/>
      <c r="BI582" s="500"/>
    </row>
    <row r="583" spans="2:61" ht="16.2" x14ac:dyDescent="0.3">
      <c r="B583" s="1"/>
      <c r="D583" s="55"/>
      <c r="AT583" s="500"/>
      <c r="AU583" s="533"/>
      <c r="AV583" s="533"/>
      <c r="AW583" s="533"/>
      <c r="AX583" s="541" t="s">
        <v>26</v>
      </c>
      <c r="AY583" s="533"/>
      <c r="AZ583" s="542" t="s">
        <v>154</v>
      </c>
      <c r="BA583" s="533"/>
      <c r="BB583" s="533"/>
      <c r="BC583" s="533"/>
      <c r="BD583" s="533"/>
      <c r="BE583" s="533"/>
      <c r="BF583" s="533"/>
      <c r="BG583" s="533"/>
      <c r="BH583" s="533"/>
      <c r="BI583" s="500"/>
    </row>
    <row r="584" spans="2:61" x14ac:dyDescent="0.3">
      <c r="B584" s="1"/>
      <c r="D584" s="55"/>
      <c r="AT584" s="500"/>
      <c r="AU584" s="533"/>
      <c r="AV584" s="533"/>
      <c r="AW584" s="533"/>
      <c r="AX584" s="533"/>
      <c r="AY584" s="533"/>
      <c r="AZ584" s="533"/>
      <c r="BA584" s="533"/>
      <c r="BB584" s="533"/>
      <c r="BC584" s="533"/>
      <c r="BD584" s="533"/>
      <c r="BE584" s="533"/>
      <c r="BF584" s="533"/>
      <c r="BG584" s="533"/>
      <c r="BH584" s="533"/>
      <c r="BI584" s="500"/>
    </row>
    <row r="585" spans="2:61" x14ac:dyDescent="0.3">
      <c r="B585" s="1"/>
      <c r="D585" s="55"/>
      <c r="AT585" s="532"/>
      <c r="AU585" s="532"/>
      <c r="AV585" s="532"/>
      <c r="AW585" s="532"/>
      <c r="AX585" s="532"/>
      <c r="AY585" s="532"/>
      <c r="AZ585" s="532"/>
      <c r="BA585" s="532"/>
      <c r="BB585" s="532"/>
      <c r="BC585" s="532"/>
      <c r="BD585" s="532"/>
      <c r="BE585" s="532"/>
      <c r="BF585" s="532"/>
      <c r="BG585" s="532"/>
      <c r="BH585" s="532"/>
      <c r="BI585" s="532"/>
    </row>
    <row r="586" spans="2:61" x14ac:dyDescent="0.3">
      <c r="B586" s="1"/>
      <c r="D586" s="55"/>
    </row>
    <row r="587" spans="2:61" x14ac:dyDescent="0.3">
      <c r="B587" s="1"/>
      <c r="D587" s="55"/>
      <c r="AS587" s="61"/>
      <c r="AT587" s="500"/>
      <c r="AU587" s="500"/>
      <c r="AV587" s="500"/>
      <c r="AW587" s="500"/>
      <c r="AX587" s="500"/>
      <c r="AY587" s="500"/>
      <c r="AZ587" s="500"/>
      <c r="BA587" s="500"/>
      <c r="BB587" s="500"/>
      <c r="BC587" s="500"/>
      <c r="BD587" s="500"/>
      <c r="BE587" s="500"/>
      <c r="BF587" s="500"/>
      <c r="BG587" s="500"/>
      <c r="BH587" s="500"/>
      <c r="BI587" s="500"/>
    </row>
    <row r="588" spans="2:61" x14ac:dyDescent="0.3">
      <c r="B588" s="1"/>
      <c r="D588" s="55"/>
      <c r="AT588" s="500"/>
      <c r="AU588" s="550"/>
      <c r="AV588" s="550"/>
      <c r="AW588" s="550"/>
      <c r="AX588" s="550"/>
      <c r="AY588" s="550"/>
      <c r="AZ588" s="550"/>
      <c r="BA588" s="550"/>
      <c r="BB588" s="550"/>
      <c r="BC588" s="550"/>
      <c r="BD588" s="550"/>
      <c r="BE588" s="550"/>
      <c r="BF588" s="550"/>
      <c r="BG588" s="550"/>
      <c r="BH588" s="550"/>
      <c r="BI588" s="500"/>
    </row>
    <row r="589" spans="2:61" ht="15" thickBot="1" x14ac:dyDescent="0.35">
      <c r="B589" s="1"/>
      <c r="D589" s="55"/>
      <c r="AT589" s="500"/>
      <c r="AU589" s="550"/>
      <c r="AV589" s="623" t="s">
        <v>160</v>
      </c>
      <c r="AW589" s="623"/>
      <c r="AX589" s="623"/>
      <c r="AY589" s="551"/>
      <c r="AZ589" s="551"/>
      <c r="BA589" s="552" t="s">
        <v>23</v>
      </c>
      <c r="BB589" s="553"/>
      <c r="BC589" s="552" t="s">
        <v>3</v>
      </c>
      <c r="BD589" s="553"/>
      <c r="BE589" s="552" t="s">
        <v>20</v>
      </c>
      <c r="BF589" s="553"/>
      <c r="BG589" s="552" t="s">
        <v>21</v>
      </c>
      <c r="BH589" s="550"/>
      <c r="BI589" s="500"/>
    </row>
    <row r="590" spans="2:61" x14ac:dyDescent="0.3">
      <c r="B590" s="1"/>
      <c r="AT590" s="500"/>
      <c r="AU590" s="550"/>
      <c r="AV590" s="551" t="s">
        <v>143</v>
      </c>
      <c r="AW590" s="551"/>
      <c r="AX590" s="551"/>
      <c r="AY590" s="551"/>
      <c r="AZ590" s="551"/>
      <c r="BA590" s="554">
        <f>+BK275</f>
        <v>13351981</v>
      </c>
      <c r="BB590" s="551"/>
      <c r="BC590" s="551"/>
      <c r="BD590" s="551"/>
      <c r="BE590" s="555">
        <f>+N143</f>
        <v>1970617</v>
      </c>
      <c r="BF590" s="551"/>
      <c r="BG590" s="556">
        <f>+BE590/BA590</f>
        <v>0.14758985951223269</v>
      </c>
      <c r="BH590" s="550"/>
      <c r="BI590" s="500"/>
    </row>
    <row r="591" spans="2:61" x14ac:dyDescent="0.3">
      <c r="B591" s="1"/>
      <c r="AT591" s="500"/>
      <c r="AU591" s="550"/>
      <c r="AV591" s="551"/>
      <c r="AW591" s="551"/>
      <c r="AX591" s="551"/>
      <c r="AY591" s="551"/>
      <c r="AZ591" s="551"/>
      <c r="BA591" s="554"/>
      <c r="BB591" s="551"/>
      <c r="BC591" s="551"/>
      <c r="BD591" s="551"/>
      <c r="BE591" s="551"/>
      <c r="BF591" s="551"/>
      <c r="BG591" s="556"/>
      <c r="BH591" s="550"/>
      <c r="BI591" s="500"/>
    </row>
    <row r="592" spans="2:61" x14ac:dyDescent="0.3">
      <c r="B592" s="1"/>
      <c r="AT592" s="500"/>
      <c r="AU592" s="550"/>
      <c r="AV592" s="551" t="s">
        <v>159</v>
      </c>
      <c r="AW592" s="551"/>
      <c r="AX592" s="551"/>
      <c r="AY592" s="551"/>
      <c r="AZ592" s="551"/>
      <c r="BA592" s="554">
        <v>52440389</v>
      </c>
      <c r="BB592" s="551"/>
      <c r="BC592" s="556">
        <f>+(BA592-BA590)/BA590</f>
        <v>2.9275362210296736</v>
      </c>
      <c r="BD592" s="551"/>
      <c r="BE592" s="555">
        <f>+N273</f>
        <v>1462688</v>
      </c>
      <c r="BF592" s="551"/>
      <c r="BG592" s="556">
        <f>+BE592/BA592</f>
        <v>2.7892394162064665E-2</v>
      </c>
      <c r="BH592" s="550"/>
      <c r="BI592" s="500"/>
    </row>
    <row r="593" spans="2:68" x14ac:dyDescent="0.3">
      <c r="B593" s="1"/>
      <c r="AT593" s="500"/>
      <c r="AU593" s="550"/>
      <c r="AV593" s="551"/>
      <c r="AW593" s="551"/>
      <c r="AX593" s="551"/>
      <c r="AY593" s="551"/>
      <c r="AZ593" s="551"/>
      <c r="BA593" s="554"/>
      <c r="BB593" s="551"/>
      <c r="BC593" s="551"/>
      <c r="BD593" s="551"/>
      <c r="BE593" s="551"/>
      <c r="BF593" s="551"/>
      <c r="BG593" s="551"/>
      <c r="BH593" s="550"/>
      <c r="BI593" s="500"/>
    </row>
    <row r="594" spans="2:68" x14ac:dyDescent="0.3">
      <c r="B594" s="1"/>
      <c r="AT594" s="500"/>
      <c r="AU594" s="550"/>
      <c r="AV594" s="624" t="s">
        <v>105</v>
      </c>
      <c r="AW594" s="624"/>
      <c r="AX594" s="624"/>
      <c r="AY594" s="624"/>
      <c r="AZ594" s="551"/>
      <c r="BA594" s="555">
        <f>+BA592-BA590</f>
        <v>39088408</v>
      </c>
      <c r="BB594" s="551"/>
      <c r="BC594" s="551"/>
      <c r="BD594" s="551"/>
      <c r="BE594" s="555">
        <f>+BE592-BE590</f>
        <v>-507929</v>
      </c>
      <c r="BF594" s="551"/>
      <c r="BG594" s="558"/>
      <c r="BH594" s="550"/>
      <c r="BI594" s="500"/>
    </row>
    <row r="595" spans="2:68" x14ac:dyDescent="0.3">
      <c r="B595" s="1"/>
      <c r="AT595" s="500"/>
      <c r="AU595" s="550"/>
      <c r="AV595" s="550"/>
      <c r="AW595" s="550"/>
      <c r="AX595" s="550"/>
      <c r="AY595" s="550"/>
      <c r="AZ595" s="550"/>
      <c r="BA595" s="550"/>
      <c r="BB595" s="550"/>
      <c r="BC595" s="550"/>
      <c r="BD595" s="550"/>
      <c r="BE595" s="550"/>
      <c r="BF595" s="550"/>
      <c r="BG595" s="550"/>
      <c r="BH595" s="550"/>
      <c r="BI595" s="500"/>
    </row>
    <row r="596" spans="2:68" x14ac:dyDescent="0.3">
      <c r="B596" s="1"/>
      <c r="AT596" s="500"/>
      <c r="AU596" s="500"/>
      <c r="AV596" s="500"/>
      <c r="AW596" s="500"/>
      <c r="AX596" s="500"/>
      <c r="AY596" s="500"/>
      <c r="AZ596" s="500"/>
      <c r="BA596" s="500"/>
      <c r="BB596" s="500"/>
      <c r="BC596" s="500"/>
      <c r="BD596" s="500"/>
      <c r="BE596" s="557"/>
      <c r="BF596" s="500"/>
      <c r="BG596" s="507"/>
      <c r="BH596" s="500"/>
      <c r="BI596" s="500"/>
    </row>
    <row r="597" spans="2:68" x14ac:dyDescent="0.3">
      <c r="B597" s="1"/>
    </row>
    <row r="598" spans="2:68" x14ac:dyDescent="0.3">
      <c r="B598" s="1"/>
    </row>
    <row r="599" spans="2:68" x14ac:dyDescent="0.3">
      <c r="B599" s="1"/>
      <c r="H599" s="1">
        <v>4000000</v>
      </c>
      <c r="AR599" s="500"/>
      <c r="AS599" s="500"/>
      <c r="AT599" s="500"/>
      <c r="AU599" s="500"/>
      <c r="AV599" s="500"/>
      <c r="AW599" s="500"/>
      <c r="AX599" s="500"/>
      <c r="AY599" s="500"/>
      <c r="AZ599" s="500"/>
      <c r="BA599" s="500"/>
      <c r="BB599" s="500"/>
      <c r="BC599" s="500"/>
      <c r="BD599" s="500"/>
      <c r="BE599" s="500"/>
      <c r="BF599" s="500"/>
      <c r="BG599" s="500"/>
      <c r="BH599" s="500"/>
      <c r="BI599" s="500"/>
    </row>
    <row r="600" spans="2:68" ht="15.6" x14ac:dyDescent="0.3">
      <c r="B600" s="1"/>
      <c r="H600" s="1"/>
      <c r="AR600" s="500"/>
      <c r="AS600" s="630" t="s">
        <v>171</v>
      </c>
      <c r="AT600" s="630"/>
      <c r="AU600" s="630"/>
      <c r="AV600" s="630"/>
      <c r="AW600" s="630"/>
      <c r="AX600" s="630"/>
      <c r="AY600" s="630"/>
      <c r="AZ600" s="630"/>
      <c r="BA600" s="630"/>
      <c r="BB600" s="630"/>
      <c r="BC600" s="630"/>
      <c r="BD600" s="630"/>
      <c r="BE600" s="630"/>
      <c r="BF600" s="630"/>
      <c r="BG600" s="630"/>
      <c r="BH600" s="630"/>
      <c r="BI600" s="500"/>
    </row>
    <row r="601" spans="2:68" x14ac:dyDescent="0.3">
      <c r="H601" s="1">
        <f>+H599/7</f>
        <v>571428.57142857148</v>
      </c>
      <c r="AR601" s="500"/>
      <c r="AS601" s="533"/>
      <c r="AT601" s="561"/>
      <c r="AU601" s="561"/>
      <c r="AV601" s="561"/>
      <c r="AW601" s="561"/>
      <c r="AX601" s="561"/>
      <c r="AY601" s="561"/>
      <c r="AZ601" s="561"/>
      <c r="BA601" s="561"/>
      <c r="BB601" s="561"/>
      <c r="BC601" s="561"/>
      <c r="BD601" s="561"/>
      <c r="BE601" s="625" t="s">
        <v>167</v>
      </c>
      <c r="BF601" s="561"/>
      <c r="BG601" s="589" t="s">
        <v>168</v>
      </c>
      <c r="BH601" s="533"/>
      <c r="BI601" s="500"/>
    </row>
    <row r="602" spans="2:68" x14ac:dyDescent="0.3">
      <c r="AR602" s="500"/>
      <c r="AS602" s="533"/>
      <c r="AT602" s="580" t="s">
        <v>19</v>
      </c>
      <c r="AU602" s="580"/>
      <c r="AV602" s="580"/>
      <c r="AW602" s="580"/>
      <c r="AX602" s="580"/>
      <c r="AY602" s="580"/>
      <c r="AZ602" s="561"/>
      <c r="BA602" s="560" t="s">
        <v>20</v>
      </c>
      <c r="BB602" s="561"/>
      <c r="BC602" s="560" t="s">
        <v>166</v>
      </c>
      <c r="BD602" s="561"/>
      <c r="BE602" s="626"/>
      <c r="BF602" s="561"/>
      <c r="BG602" s="587"/>
      <c r="BH602" s="533"/>
      <c r="BI602" s="500"/>
    </row>
    <row r="603" spans="2:68" x14ac:dyDescent="0.3">
      <c r="H603" t="s">
        <v>169</v>
      </c>
      <c r="J603">
        <v>28</v>
      </c>
      <c r="N603" s="1">
        <f>+H601*J603</f>
        <v>16000000.000000002</v>
      </c>
      <c r="AR603" s="500"/>
      <c r="AS603" s="533"/>
      <c r="AT603" s="578" t="s">
        <v>162</v>
      </c>
      <c r="AU603" s="578"/>
      <c r="AV603" s="578"/>
      <c r="AW603" s="578"/>
      <c r="AX603" s="578"/>
      <c r="AY603" s="561"/>
      <c r="AZ603" s="561"/>
      <c r="BA603" s="562">
        <f>+H174</f>
        <v>6826001</v>
      </c>
      <c r="BB603" s="561"/>
      <c r="BC603" s="561">
        <v>10</v>
      </c>
      <c r="BD603" s="561"/>
      <c r="BE603" s="563">
        <f>+BA603*BC603</f>
        <v>68260010</v>
      </c>
      <c r="BF603" s="561"/>
      <c r="BG603" s="561"/>
      <c r="BH603" s="533"/>
      <c r="BI603" s="500"/>
      <c r="BP603" s="56">
        <f>+BE603-BA603</f>
        <v>61434009</v>
      </c>
    </row>
    <row r="604" spans="2:68" x14ac:dyDescent="0.3">
      <c r="D604" s="56">
        <f>+N603+N604</f>
        <v>33714285.714285716</v>
      </c>
      <c r="H604" t="s">
        <v>170</v>
      </c>
      <c r="J604">
        <v>31</v>
      </c>
      <c r="N604" s="1">
        <f>+J604*H$601</f>
        <v>17714285.714285716</v>
      </c>
      <c r="AR604" s="500"/>
      <c r="AS604" s="533"/>
      <c r="AT604" s="578" t="s">
        <v>172</v>
      </c>
      <c r="AU604" s="578"/>
      <c r="AV604" s="578"/>
      <c r="AW604" s="578"/>
      <c r="AX604" s="578"/>
      <c r="AY604" s="561"/>
      <c r="AZ604" s="561"/>
      <c r="BA604" s="562">
        <f>+BA616-BA603</f>
        <v>3109228</v>
      </c>
      <c r="BB604" s="561"/>
      <c r="BC604" s="561">
        <v>5</v>
      </c>
      <c r="BD604" s="561"/>
      <c r="BE604" s="563">
        <f>+BA604*BC604</f>
        <v>15546140</v>
      </c>
      <c r="BF604" s="561"/>
      <c r="BG604" s="561"/>
      <c r="BH604" s="533"/>
      <c r="BI604" s="500"/>
      <c r="BP604" s="56">
        <f>+BE604-BA604</f>
        <v>12436912</v>
      </c>
    </row>
    <row r="605" spans="2:68" x14ac:dyDescent="0.3">
      <c r="D605" s="56">
        <f>+D604+N605</f>
        <v>50857142.857142866</v>
      </c>
      <c r="H605" t="s">
        <v>138</v>
      </c>
      <c r="J605">
        <v>30</v>
      </c>
      <c r="N605" s="1">
        <f>+J605*H$601</f>
        <v>17142857.142857146</v>
      </c>
      <c r="AR605" s="500"/>
      <c r="AS605" s="533"/>
      <c r="AT605" s="578" t="s">
        <v>163</v>
      </c>
      <c r="AU605" s="578"/>
      <c r="AV605" s="578"/>
      <c r="AW605" s="578"/>
      <c r="AX605" s="578"/>
      <c r="AY605" s="578"/>
      <c r="AZ605" s="578"/>
      <c r="BA605" s="562">
        <f>+BA618-BA616</f>
        <v>16784558</v>
      </c>
      <c r="BB605" s="561"/>
      <c r="BC605" s="561">
        <v>1</v>
      </c>
      <c r="BD605" s="561"/>
      <c r="BE605" s="563">
        <f>+BC605*BA605</f>
        <v>16784558</v>
      </c>
      <c r="BF605" s="561"/>
      <c r="BG605" s="561"/>
      <c r="BH605" s="533"/>
      <c r="BI605" s="500"/>
      <c r="BP605" s="56">
        <f>+BE605-BA605</f>
        <v>0</v>
      </c>
    </row>
    <row r="606" spans="2:68" x14ac:dyDescent="0.3">
      <c r="D606" s="56">
        <f>+D605+N606</f>
        <v>68571428.571428582</v>
      </c>
      <c r="H606" t="s">
        <v>139</v>
      </c>
      <c r="J606">
        <v>31</v>
      </c>
      <c r="N606" s="1">
        <f>+J606*H$601</f>
        <v>17714285.714285716</v>
      </c>
      <c r="AR606" s="500"/>
      <c r="AS606" s="533"/>
      <c r="AT606" s="569" t="s">
        <v>184</v>
      </c>
      <c r="AU606" s="561"/>
      <c r="AV606" s="561"/>
      <c r="AW606" s="561"/>
      <c r="AX606" s="561"/>
      <c r="AY606" s="561"/>
      <c r="AZ606" s="561"/>
      <c r="BA606" s="562">
        <f>SUM(D328:D386)</f>
        <v>4197929</v>
      </c>
      <c r="BB606" s="561"/>
      <c r="BC606" s="561">
        <v>1</v>
      </c>
      <c r="BD606" s="561"/>
      <c r="BE606" s="563">
        <f>+BC606*BA606</f>
        <v>4197929</v>
      </c>
      <c r="BF606" s="561"/>
      <c r="BG606" s="561"/>
      <c r="BH606" s="533"/>
      <c r="BI606" s="500"/>
      <c r="BP606" s="56">
        <f>+BE606-BA606</f>
        <v>0</v>
      </c>
    </row>
    <row r="607" spans="2:68" x14ac:dyDescent="0.3">
      <c r="D607" s="56"/>
      <c r="N607" s="1"/>
      <c r="AR607" s="500"/>
      <c r="AS607" s="533"/>
      <c r="AT607" s="569" t="s">
        <v>189</v>
      </c>
      <c r="AU607" s="561"/>
      <c r="AV607" s="561"/>
      <c r="AW607" s="561"/>
      <c r="AX607" s="561"/>
      <c r="AY607" s="561"/>
      <c r="AZ607" s="561"/>
      <c r="BA607" s="562">
        <f>SUM(D387:D509)</f>
        <v>4225210</v>
      </c>
      <c r="BB607" s="561"/>
      <c r="BC607" s="561">
        <v>1</v>
      </c>
      <c r="BD607" s="561"/>
      <c r="BE607" s="563">
        <f>+BC607*BA607</f>
        <v>4225210</v>
      </c>
      <c r="BF607" s="561"/>
      <c r="BG607" s="561"/>
      <c r="BH607" s="533"/>
      <c r="BI607" s="500"/>
      <c r="BP607" s="56"/>
    </row>
    <row r="608" spans="2:68" x14ac:dyDescent="0.3">
      <c r="AR608" s="500"/>
      <c r="AS608" s="533"/>
      <c r="AT608" s="585" t="s">
        <v>165</v>
      </c>
      <c r="AU608" s="585"/>
      <c r="AV608" s="585"/>
      <c r="AW608" s="585"/>
      <c r="AX608" s="585"/>
      <c r="AY608" s="585"/>
      <c r="AZ608" s="585"/>
      <c r="BA608" s="561"/>
      <c r="BB608" s="561"/>
      <c r="BC608" s="561"/>
      <c r="BD608" s="561"/>
      <c r="BE608" s="563"/>
      <c r="BF608" s="561"/>
      <c r="BG608" s="561"/>
      <c r="BH608" s="533"/>
      <c r="BI608" s="500"/>
      <c r="BP608" s="56">
        <f>+BA606-BA607</f>
        <v>-27281</v>
      </c>
    </row>
    <row r="609" spans="4:75" ht="15" thickBot="1" x14ac:dyDescent="0.35">
      <c r="D609" s="56">
        <f>+BE609+D606</f>
        <v>177585275.5714286</v>
      </c>
      <c r="H609" s="59">
        <f>+D609/320000000</f>
        <v>0.55495398616071434</v>
      </c>
      <c r="AR609" s="500"/>
      <c r="AS609" s="533"/>
      <c r="AT609" s="561"/>
      <c r="AU609" s="561"/>
      <c r="AV609" s="561"/>
      <c r="AW609" s="561"/>
      <c r="AX609" s="561"/>
      <c r="AY609" s="561"/>
      <c r="AZ609" s="561"/>
      <c r="BA609" s="564">
        <f>SUM(BA603:BA607)</f>
        <v>35142926</v>
      </c>
      <c r="BB609" s="561"/>
      <c r="BC609" s="561"/>
      <c r="BD609" s="561"/>
      <c r="BE609" s="564">
        <f>SUM(BE603:BE608)</f>
        <v>109013847</v>
      </c>
      <c r="BF609" s="561"/>
      <c r="BG609" s="565">
        <f>+BE609/320000000</f>
        <v>0.34066827187499998</v>
      </c>
      <c r="BH609" s="533"/>
      <c r="BI609" s="500"/>
      <c r="BP609" s="59">
        <f>+BP608/BA606</f>
        <v>-6.4986806589630271E-3</v>
      </c>
    </row>
    <row r="610" spans="4:75" ht="15" thickTop="1" x14ac:dyDescent="0.3">
      <c r="D610" s="56"/>
      <c r="H610" s="59"/>
      <c r="AR610" s="500"/>
      <c r="AS610" s="533"/>
      <c r="AT610" s="575" t="s">
        <v>186</v>
      </c>
      <c r="AU610" s="561"/>
      <c r="AV610" s="561"/>
      <c r="AW610" s="561"/>
      <c r="AX610" s="561"/>
      <c r="AY610" s="561"/>
      <c r="AZ610" s="561"/>
      <c r="BA610" s="484">
        <f>+BY629</f>
        <v>0.49626506024096384</v>
      </c>
      <c r="BB610" s="561"/>
      <c r="BC610" s="561"/>
      <c r="BD610" s="561"/>
      <c r="BE610" s="574"/>
      <c r="BF610" s="561"/>
      <c r="BG610" s="484"/>
      <c r="BH610" s="533"/>
      <c r="BI610" s="500"/>
      <c r="BP610" s="59"/>
    </row>
    <row r="611" spans="4:75" x14ac:dyDescent="0.3">
      <c r="D611" s="56"/>
      <c r="H611" s="59"/>
      <c r="AR611" s="500"/>
      <c r="AS611" s="533"/>
      <c r="AT611" s="575" t="s">
        <v>188</v>
      </c>
      <c r="AU611" s="561"/>
      <c r="AV611" s="561"/>
      <c r="AW611" s="561"/>
      <c r="AX611" s="561"/>
      <c r="AY611" s="561"/>
      <c r="AZ611" s="561"/>
      <c r="BA611" s="576">
        <f>+BA609*BA610</f>
        <v>17440206.288433734</v>
      </c>
      <c r="BB611" s="561"/>
      <c r="BC611" s="561"/>
      <c r="BD611" s="561"/>
      <c r="BE611" s="574"/>
      <c r="BF611" s="561"/>
      <c r="BG611" s="484"/>
      <c r="BH611" s="533"/>
      <c r="BI611" s="500"/>
      <c r="BP611" s="59"/>
    </row>
    <row r="612" spans="4:75" ht="15" thickBot="1" x14ac:dyDescent="0.35">
      <c r="D612" s="56"/>
      <c r="H612" s="59"/>
      <c r="AR612" s="500"/>
      <c r="AS612" s="533"/>
      <c r="AT612" s="575" t="s">
        <v>187</v>
      </c>
      <c r="AU612" s="561"/>
      <c r="AV612" s="561"/>
      <c r="AW612" s="561"/>
      <c r="AX612" s="561"/>
      <c r="AY612" s="561"/>
      <c r="AZ612" s="561"/>
      <c r="BA612" s="564">
        <f>+BA609-BA611</f>
        <v>17702719.711566266</v>
      </c>
      <c r="BB612" s="561"/>
      <c r="BC612" s="561"/>
      <c r="BD612" s="561"/>
      <c r="BE612" s="574"/>
      <c r="BF612" s="561"/>
      <c r="BG612" s="484"/>
      <c r="BH612" s="533"/>
      <c r="BI612" s="500"/>
      <c r="BP612" s="59"/>
    </row>
    <row r="613" spans="4:75" ht="15" thickTop="1" x14ac:dyDescent="0.3">
      <c r="AR613" s="500"/>
      <c r="AS613" s="533"/>
      <c r="AT613" s="561"/>
      <c r="AU613" s="561"/>
      <c r="AV613" s="561"/>
      <c r="AW613" s="561"/>
      <c r="AX613" s="561"/>
      <c r="AY613" s="561"/>
      <c r="AZ613" s="561"/>
      <c r="BA613" s="561"/>
      <c r="BB613" s="561"/>
      <c r="BC613" s="561"/>
      <c r="BD613" s="561"/>
      <c r="BE613" s="561"/>
      <c r="BF613" s="561"/>
      <c r="BG613" s="561"/>
      <c r="BH613" s="533"/>
      <c r="BI613" s="500"/>
    </row>
    <row r="614" spans="4:75" x14ac:dyDescent="0.3">
      <c r="AR614" s="500"/>
      <c r="AS614" s="500"/>
      <c r="AT614" s="500"/>
      <c r="AU614" s="500"/>
      <c r="AV614" s="500"/>
      <c r="AW614" s="500"/>
      <c r="AX614" s="500"/>
      <c r="AY614" s="500"/>
      <c r="AZ614" s="500"/>
      <c r="BA614" s="500"/>
      <c r="BB614" s="500"/>
      <c r="BC614" s="500"/>
      <c r="BD614" s="500"/>
      <c r="BE614" s="500"/>
      <c r="BF614" s="500"/>
      <c r="BG614" s="500"/>
      <c r="BH614" s="500"/>
      <c r="BI614" s="500"/>
    </row>
    <row r="616" spans="4:75" x14ac:dyDescent="0.3">
      <c r="AV616" t="s">
        <v>153</v>
      </c>
      <c r="BA616" s="56">
        <f>+H235</f>
        <v>9935229</v>
      </c>
    </row>
    <row r="618" spans="4:75" x14ac:dyDescent="0.3">
      <c r="AV618" t="s">
        <v>164</v>
      </c>
      <c r="BA618" s="56">
        <f>+H327</f>
        <v>26719787</v>
      </c>
    </row>
    <row r="619" spans="4:75" x14ac:dyDescent="0.3">
      <c r="BA619" s="56"/>
    </row>
    <row r="620" spans="4:75" x14ac:dyDescent="0.3">
      <c r="AR620" s="500"/>
      <c r="AS620" s="500"/>
      <c r="AT620" s="500"/>
      <c r="AU620" s="500"/>
      <c r="AV620" s="500"/>
      <c r="AW620" s="500"/>
      <c r="AX620" s="500"/>
      <c r="AY620" s="500"/>
      <c r="AZ620" s="500"/>
      <c r="BA620" s="557"/>
      <c r="BB620" s="500"/>
      <c r="BC620" s="500"/>
      <c r="BD620" s="500"/>
      <c r="BE620" s="500"/>
      <c r="BF620" s="500"/>
      <c r="BG620" s="500"/>
      <c r="BH620" s="500"/>
      <c r="BI620" s="500"/>
      <c r="BJ620" s="500"/>
      <c r="BK620" s="500"/>
      <c r="BL620" s="500"/>
      <c r="BM620" s="500"/>
      <c r="BN620" s="500"/>
      <c r="BO620" s="500"/>
      <c r="BP620" s="500"/>
      <c r="BQ620" s="500"/>
      <c r="BR620" s="500"/>
      <c r="BS620" s="500"/>
      <c r="BT620" s="500"/>
      <c r="BU620" s="500"/>
      <c r="BV620" s="500"/>
      <c r="BW620" s="500"/>
    </row>
    <row r="621" spans="4:75" ht="14.4" customHeight="1" x14ac:dyDescent="0.3">
      <c r="AR621" s="500"/>
      <c r="AS621" s="533"/>
      <c r="AT621" s="580" t="s">
        <v>177</v>
      </c>
      <c r="AU621" s="580"/>
      <c r="AV621" s="580"/>
      <c r="AW621" s="580"/>
      <c r="AX621" s="580"/>
      <c r="AY621" s="580"/>
      <c r="AZ621" s="580"/>
      <c r="BA621" s="580"/>
      <c r="BB621" s="580"/>
      <c r="BC621" s="580"/>
      <c r="BD621" s="580"/>
      <c r="BE621" s="580"/>
      <c r="BF621" s="580"/>
      <c r="BG621" s="580"/>
      <c r="BH621" s="580"/>
      <c r="BI621" s="580"/>
      <c r="BJ621" s="580"/>
      <c r="BK621" s="580"/>
      <c r="BL621" s="580"/>
      <c r="BM621" s="580"/>
      <c r="BN621" s="580"/>
      <c r="BO621" s="580"/>
      <c r="BP621" s="580"/>
      <c r="BQ621" s="580"/>
      <c r="BR621" s="580"/>
      <c r="BS621" s="580"/>
      <c r="BT621" s="580"/>
      <c r="BU621" s="580"/>
      <c r="BV621" s="580"/>
      <c r="BW621" s="500"/>
    </row>
    <row r="622" spans="4:75" ht="14.4" customHeight="1" x14ac:dyDescent="0.3">
      <c r="AR622" s="500"/>
      <c r="AS622" s="533"/>
      <c r="AT622" s="533"/>
      <c r="AU622" s="533"/>
      <c r="AV622" s="533"/>
      <c r="AW622" s="533"/>
      <c r="AX622" s="533"/>
      <c r="AY622" s="533"/>
      <c r="AZ622" s="533"/>
      <c r="BA622" s="579" t="s">
        <v>173</v>
      </c>
      <c r="BB622" s="579"/>
      <c r="BC622" s="579"/>
      <c r="BD622" s="579"/>
      <c r="BE622" s="579"/>
      <c r="BF622" s="561"/>
      <c r="BG622" s="580" t="s">
        <v>181</v>
      </c>
      <c r="BH622" s="580"/>
      <c r="BI622" s="580"/>
      <c r="BJ622" s="580"/>
      <c r="BK622" s="580"/>
      <c r="BL622" s="580"/>
      <c r="BM622" s="580"/>
      <c r="BN622" s="580"/>
      <c r="BO622" s="580"/>
      <c r="BP622" s="580"/>
      <c r="BQ622" s="533"/>
      <c r="BR622" s="586" t="s">
        <v>177</v>
      </c>
      <c r="BS622" s="586"/>
      <c r="BT622" s="586"/>
      <c r="BU622" s="586"/>
      <c r="BV622" s="586"/>
      <c r="BW622" s="500"/>
    </row>
    <row r="623" spans="4:75" x14ac:dyDescent="0.3">
      <c r="AR623" s="500"/>
      <c r="AS623" s="533"/>
      <c r="AT623" s="533"/>
      <c r="AU623" s="533"/>
      <c r="AV623" s="533"/>
      <c r="AW623" s="533"/>
      <c r="AX623" s="533"/>
      <c r="AY623" s="533"/>
      <c r="AZ623" s="533"/>
      <c r="BA623" s="570" t="s">
        <v>178</v>
      </c>
      <c r="BB623" s="571"/>
      <c r="BC623" s="572" t="s">
        <v>183</v>
      </c>
      <c r="BD623" s="571"/>
      <c r="BE623" s="572" t="s">
        <v>179</v>
      </c>
      <c r="BF623" s="561"/>
      <c r="BG623" s="570"/>
      <c r="BH623" s="571"/>
      <c r="BI623" s="583"/>
      <c r="BJ623" s="583"/>
      <c r="BK623" s="583"/>
      <c r="BL623" s="583"/>
      <c r="BM623" s="583"/>
      <c r="BN623" s="583"/>
      <c r="BO623" s="473"/>
      <c r="BP623" s="572"/>
      <c r="BQ623" s="533"/>
      <c r="BR623" s="587"/>
      <c r="BS623" s="587"/>
      <c r="BT623" s="587"/>
      <c r="BU623" s="587"/>
      <c r="BV623" s="587"/>
      <c r="BW623" s="500"/>
    </row>
    <row r="624" spans="4:75" x14ac:dyDescent="0.3">
      <c r="AR624" s="500"/>
      <c r="AS624" s="533"/>
      <c r="AT624" s="533"/>
      <c r="AU624" s="533"/>
      <c r="AV624" s="533"/>
      <c r="AW624" s="533"/>
      <c r="AX624" s="533"/>
      <c r="AY624" s="533"/>
      <c r="AZ624" s="533"/>
      <c r="BA624" s="568" t="s">
        <v>174</v>
      </c>
      <c r="BB624" s="566"/>
      <c r="BC624" s="568" t="s">
        <v>176</v>
      </c>
      <c r="BD624" s="566"/>
      <c r="BE624" s="568" t="s">
        <v>175</v>
      </c>
      <c r="BF624" s="561"/>
      <c r="BG624" s="567" t="s">
        <v>181</v>
      </c>
      <c r="BH624" s="561"/>
      <c r="BI624" s="581" t="s">
        <v>185</v>
      </c>
      <c r="BJ624" s="581"/>
      <c r="BK624" s="581"/>
      <c r="BL624" s="581"/>
      <c r="BM624" s="581"/>
      <c r="BN624" s="581"/>
      <c r="BO624" s="561"/>
      <c r="BP624" s="568" t="s">
        <v>182</v>
      </c>
      <c r="BQ624" s="533"/>
      <c r="BR624" s="588" t="s">
        <v>180</v>
      </c>
      <c r="BS624" s="588"/>
      <c r="BT624" s="588"/>
      <c r="BU624" s="588"/>
      <c r="BV624" s="588"/>
      <c r="BW624" s="500"/>
    </row>
    <row r="625" spans="42:90" x14ac:dyDescent="0.3">
      <c r="AR625" s="500"/>
      <c r="AS625" s="533"/>
      <c r="AT625" s="578" t="s">
        <v>162</v>
      </c>
      <c r="AU625" s="578"/>
      <c r="AV625" s="578"/>
      <c r="AW625" s="578"/>
      <c r="AX625" s="578"/>
      <c r="AY625" s="561"/>
      <c r="AZ625" s="561"/>
      <c r="BA625" s="562">
        <f>+BA603</f>
        <v>6826001</v>
      </c>
      <c r="BB625" s="561"/>
      <c r="BC625" s="562">
        <f>+BE625-BA625</f>
        <v>61434009</v>
      </c>
      <c r="BD625" s="561"/>
      <c r="BE625" s="562">
        <f>+BE603</f>
        <v>68260010</v>
      </c>
      <c r="BF625" s="533"/>
      <c r="BG625" s="563">
        <v>0</v>
      </c>
      <c r="BH625" s="563"/>
      <c r="BI625" s="563"/>
      <c r="BJ625" s="563"/>
      <c r="BK625" s="563"/>
      <c r="BL625" s="563"/>
      <c r="BM625" s="563"/>
      <c r="BN625" s="563">
        <f>+BG625</f>
        <v>0</v>
      </c>
      <c r="BO625" s="563"/>
      <c r="BP625" s="563">
        <f>+BN625*0.5</f>
        <v>0</v>
      </c>
      <c r="BQ625" s="561"/>
      <c r="BR625" s="584">
        <f>+BE625+BP625</f>
        <v>68260010</v>
      </c>
      <c r="BS625" s="585"/>
      <c r="BT625" s="585"/>
      <c r="BU625" s="585"/>
      <c r="BV625" s="585"/>
      <c r="BW625" s="500"/>
    </row>
    <row r="626" spans="42:90" x14ac:dyDescent="0.3">
      <c r="AR626" s="500"/>
      <c r="AS626" s="533"/>
      <c r="AT626" s="578" t="s">
        <v>172</v>
      </c>
      <c r="AU626" s="578"/>
      <c r="AV626" s="578"/>
      <c r="AW626" s="578"/>
      <c r="AX626" s="578"/>
      <c r="AY626" s="561"/>
      <c r="AZ626" s="561"/>
      <c r="BA626" s="562">
        <f>+BA625+BA604</f>
        <v>9935229</v>
      </c>
      <c r="BB626" s="561"/>
      <c r="BC626" s="562">
        <f>+BE626-BA626</f>
        <v>73870921</v>
      </c>
      <c r="BD626" s="561"/>
      <c r="BE626" s="562">
        <f>+BE625+BE604</f>
        <v>83806150</v>
      </c>
      <c r="BF626" s="533"/>
      <c r="BG626" s="563">
        <v>0</v>
      </c>
      <c r="BH626" s="563"/>
      <c r="BI626" s="563"/>
      <c r="BJ626" s="563"/>
      <c r="BK626" s="563"/>
      <c r="BL626" s="563"/>
      <c r="BM626" s="563"/>
      <c r="BN626" s="563">
        <f>+BN625+BG626</f>
        <v>0</v>
      </c>
      <c r="BO626" s="563"/>
      <c r="BP626" s="563">
        <f>+BN626*0.5</f>
        <v>0</v>
      </c>
      <c r="BQ626" s="561"/>
      <c r="BR626" s="584">
        <f>+BE626+BP626</f>
        <v>83806150</v>
      </c>
      <c r="BS626" s="585"/>
      <c r="BT626" s="585"/>
      <c r="BU626" s="585"/>
      <c r="BV626" s="585"/>
      <c r="BW626" s="500"/>
    </row>
    <row r="627" spans="42:90" x14ac:dyDescent="0.3">
      <c r="AR627" s="500"/>
      <c r="AS627" s="533"/>
      <c r="AT627" s="578" t="s">
        <v>163</v>
      </c>
      <c r="AU627" s="578"/>
      <c r="AV627" s="578"/>
      <c r="AW627" s="578"/>
      <c r="AX627" s="578"/>
      <c r="AY627" s="578"/>
      <c r="AZ627" s="578"/>
      <c r="BA627" s="562">
        <f>+BA626+BA605</f>
        <v>26719787</v>
      </c>
      <c r="BB627" s="561"/>
      <c r="BC627" s="562">
        <f>(+BE627-BA627)*(1-0.2)</f>
        <v>59096736.800000004</v>
      </c>
      <c r="BD627" s="561"/>
      <c r="BE627" s="562">
        <f>+BE626+BE605</f>
        <v>100590708</v>
      </c>
      <c r="BF627" s="533"/>
      <c r="BG627" s="563">
        <f>13400000+5660000</f>
        <v>19060000</v>
      </c>
      <c r="BH627" s="563"/>
      <c r="BI627" s="582"/>
      <c r="BJ627" s="582"/>
      <c r="BK627" s="582"/>
      <c r="BL627" s="582"/>
      <c r="BM627" s="582"/>
      <c r="BN627" s="582"/>
      <c r="BO627" s="563"/>
      <c r="BP627" s="563">
        <f>+BG627</f>
        <v>19060000</v>
      </c>
      <c r="BQ627" s="561"/>
      <c r="BR627" s="584">
        <f>+BE627+BP627</f>
        <v>119650708</v>
      </c>
      <c r="BS627" s="585"/>
      <c r="BT627" s="585"/>
      <c r="BU627" s="585"/>
      <c r="BV627" s="585"/>
      <c r="BW627" s="500"/>
    </row>
    <row r="628" spans="42:90" x14ac:dyDescent="0.3">
      <c r="AR628" s="500"/>
      <c r="AS628" s="533"/>
      <c r="AT628" s="569" t="s">
        <v>184</v>
      </c>
      <c r="AU628" s="561"/>
      <c r="AV628" s="561"/>
      <c r="AW628" s="561"/>
      <c r="AX628" s="561"/>
      <c r="AY628" s="561"/>
      <c r="AZ628" s="561"/>
      <c r="BA628" s="562">
        <f>+BA627+BA606</f>
        <v>30917716</v>
      </c>
      <c r="BB628" s="561"/>
      <c r="BC628" s="562">
        <f>(+BE628-BA628)*(1-0.34)</f>
        <v>48754807.859999992</v>
      </c>
      <c r="BD628" s="561"/>
      <c r="BE628" s="562">
        <f>+BE627+BE606</f>
        <v>104788637</v>
      </c>
      <c r="BF628" s="533"/>
      <c r="BG628" s="563">
        <f>53420000-BG627</f>
        <v>34360000</v>
      </c>
      <c r="BH628" s="563"/>
      <c r="BI628" s="582"/>
      <c r="BJ628" s="582"/>
      <c r="BK628" s="582"/>
      <c r="BL628" s="582"/>
      <c r="BM628" s="582"/>
      <c r="BN628" s="582"/>
      <c r="BO628" s="563"/>
      <c r="BP628" s="563">
        <f>+BP627+BG628</f>
        <v>53420000</v>
      </c>
      <c r="BQ628" s="561"/>
      <c r="BR628" s="584">
        <f>+BE628+BP628</f>
        <v>158208637</v>
      </c>
      <c r="BS628" s="585"/>
      <c r="BT628" s="585"/>
      <c r="BU628" s="585"/>
      <c r="BV628" s="585"/>
      <c r="BW628" s="500"/>
    </row>
    <row r="629" spans="42:90" x14ac:dyDescent="0.3">
      <c r="AR629" s="500"/>
      <c r="AS629" s="533"/>
      <c r="AT629" s="569" t="s">
        <v>189</v>
      </c>
      <c r="AU629" s="561"/>
      <c r="AV629" s="561"/>
      <c r="AW629" s="561"/>
      <c r="AX629" s="561"/>
      <c r="AY629" s="561"/>
      <c r="AZ629" s="561"/>
      <c r="BA629" s="562">
        <f>+BA612</f>
        <v>17702719.711566266</v>
      </c>
      <c r="BB629" s="561"/>
      <c r="BC629" s="562">
        <f>+BC626*BY629</f>
        <v>36659557.060120478</v>
      </c>
      <c r="BD629" s="561"/>
      <c r="BE629" s="562">
        <f>+BA629+BC629</f>
        <v>54362276.771686748</v>
      </c>
      <c r="BF629" s="533"/>
      <c r="BG629" s="563">
        <f>164760000-BP628</f>
        <v>111340000</v>
      </c>
      <c r="BH629" s="563"/>
      <c r="BI629" s="582"/>
      <c r="BJ629" s="582"/>
      <c r="BK629" s="582"/>
      <c r="BL629" s="582"/>
      <c r="BM629" s="582"/>
      <c r="BN629" s="582"/>
      <c r="BO629" s="563"/>
      <c r="BP629" s="563">
        <f>+BP628+BG629</f>
        <v>164760000</v>
      </c>
      <c r="BQ629" s="561"/>
      <c r="BR629" s="584">
        <f>+BE629+BP629</f>
        <v>219122276.77168673</v>
      </c>
      <c r="BS629" s="585"/>
      <c r="BT629" s="585"/>
      <c r="BU629" s="585"/>
      <c r="BV629" s="585"/>
      <c r="BW629" s="500"/>
      <c r="BY629" s="59">
        <f>+BP629/CL629</f>
        <v>0.49626506024096384</v>
      </c>
      <c r="CL629" s="1">
        <v>332000000</v>
      </c>
    </row>
    <row r="630" spans="42:90" x14ac:dyDescent="0.3">
      <c r="AR630" s="500"/>
      <c r="AS630" s="500"/>
      <c r="AT630" s="500"/>
      <c r="AU630" s="500"/>
      <c r="AV630" s="500"/>
      <c r="AW630" s="500"/>
      <c r="AX630" s="500"/>
      <c r="AY630" s="500"/>
      <c r="AZ630" s="500"/>
      <c r="BA630" s="500"/>
      <c r="BB630" s="500"/>
      <c r="BC630" s="500"/>
      <c r="BD630" s="500"/>
      <c r="BE630" s="500"/>
      <c r="BF630" s="500"/>
      <c r="BG630" s="500"/>
      <c r="BH630" s="500"/>
      <c r="BI630" s="500"/>
      <c r="BJ630" s="500"/>
      <c r="BK630" s="500"/>
      <c r="BL630" s="500"/>
      <c r="BM630" s="500"/>
      <c r="BN630" s="500"/>
      <c r="BO630" s="500"/>
      <c r="BP630" s="500"/>
      <c r="BQ630" s="500"/>
      <c r="BR630" s="500"/>
      <c r="BS630" s="500"/>
      <c r="BT630" s="500"/>
      <c r="BU630" s="500"/>
      <c r="BV630" s="500"/>
      <c r="BW630" s="500"/>
      <c r="CL630" s="59">
        <f>+BR629/CL629</f>
        <v>0.6600068577460444</v>
      </c>
    </row>
    <row r="632" spans="42:90" x14ac:dyDescent="0.3">
      <c r="BA632" s="56">
        <f>+BR629+BA611</f>
        <v>236562483.06012046</v>
      </c>
      <c r="BC632" s="59">
        <f>+BA632/CL629</f>
        <v>0.71253759957867613</v>
      </c>
      <c r="BE632" s="56"/>
      <c r="BP632" s="1">
        <v>164760000</v>
      </c>
      <c r="CL632" s="56">
        <f>+CL629-BR629</f>
        <v>112877723.22831327</v>
      </c>
    </row>
    <row r="633" spans="42:90" x14ac:dyDescent="0.3">
      <c r="BP633" s="56">
        <f>+BP632-BP629</f>
        <v>0</v>
      </c>
    </row>
    <row r="635" spans="42:90" x14ac:dyDescent="0.3">
      <c r="CL635" s="59">
        <f>+BP629/CL629</f>
        <v>0.49626506024096384</v>
      </c>
    </row>
    <row r="637" spans="42:90" x14ac:dyDescent="0.3">
      <c r="BE637" s="500"/>
      <c r="BF637" s="500"/>
      <c r="BG637" s="500"/>
      <c r="BH637" s="500"/>
      <c r="BI637" s="500"/>
      <c r="BJ637" s="500"/>
      <c r="BK637" s="500"/>
      <c r="BL637" s="500"/>
      <c r="BM637" s="500"/>
      <c r="BN637" s="500"/>
      <c r="BO637" s="500"/>
      <c r="BP637" s="500"/>
      <c r="BQ637" s="500"/>
      <c r="BR637" s="500"/>
      <c r="BS637" s="500"/>
      <c r="BT637" s="500"/>
      <c r="BU637" s="500"/>
      <c r="BV637" s="500"/>
      <c r="BW637" s="500"/>
      <c r="BX637" s="500"/>
      <c r="BY637" s="500"/>
    </row>
    <row r="638" spans="42:90" x14ac:dyDescent="0.3">
      <c r="BE638" s="500"/>
      <c r="BF638" s="500"/>
      <c r="BG638" s="500"/>
      <c r="BH638" s="500"/>
      <c r="BI638" s="500"/>
      <c r="BJ638" s="500"/>
      <c r="BK638" s="500"/>
      <c r="BL638" s="500"/>
      <c r="BM638" s="500"/>
      <c r="BN638" s="500"/>
      <c r="BO638" s="500"/>
      <c r="BP638" s="500"/>
      <c r="BQ638" s="500"/>
      <c r="BR638" s="500"/>
      <c r="BS638" s="500"/>
      <c r="BT638" s="500"/>
      <c r="BU638" s="500"/>
      <c r="BV638" s="500"/>
      <c r="BW638" s="500"/>
      <c r="BX638" s="500"/>
      <c r="BY638" s="500"/>
    </row>
    <row r="639" spans="42:90" x14ac:dyDescent="0.3">
      <c r="AP639" s="1">
        <v>1500000</v>
      </c>
      <c r="BE639" s="500"/>
      <c r="BF639" s="500"/>
      <c r="BG639" s="500"/>
      <c r="BH639" s="500"/>
      <c r="BI639" s="500"/>
      <c r="BJ639" s="500"/>
      <c r="BK639" s="500"/>
      <c r="BL639" s="500"/>
      <c r="BM639" s="500"/>
      <c r="BN639" s="500"/>
      <c r="BO639" s="500"/>
      <c r="BP639" s="500"/>
      <c r="BQ639" s="500"/>
      <c r="BR639" s="500"/>
      <c r="BS639" s="500"/>
      <c r="BT639" s="500"/>
      <c r="BU639" s="500"/>
      <c r="BV639" s="500"/>
      <c r="BW639" s="500"/>
      <c r="BX639" s="500"/>
      <c r="BY639" s="500"/>
    </row>
    <row r="640" spans="42:90" x14ac:dyDescent="0.3">
      <c r="AP640">
        <v>7</v>
      </c>
      <c r="BE640" s="500"/>
      <c r="BY640" s="500"/>
      <c r="CL640">
        <v>177090000</v>
      </c>
    </row>
    <row r="641" spans="42:90" x14ac:dyDescent="0.3">
      <c r="AP641" s="1">
        <f>+AP639*AP640</f>
        <v>10500000</v>
      </c>
      <c r="BE641" s="500"/>
      <c r="BY641" s="500"/>
      <c r="CL641" s="231">
        <f>+CL640/CL629</f>
        <v>0.53340361445783135</v>
      </c>
    </row>
    <row r="642" spans="42:90" x14ac:dyDescent="0.3">
      <c r="BE642" s="500"/>
      <c r="BY642" s="500"/>
    </row>
    <row r="643" spans="42:90" x14ac:dyDescent="0.3">
      <c r="BE643" s="500"/>
      <c r="BY643" s="500"/>
    </row>
    <row r="644" spans="42:90" x14ac:dyDescent="0.3">
      <c r="BE644" s="500"/>
      <c r="BY644" s="500"/>
      <c r="CL644" s="56">
        <f>+BR629+27420000</f>
        <v>246542276.77168673</v>
      </c>
    </row>
    <row r="645" spans="42:90" x14ac:dyDescent="0.3">
      <c r="BE645" s="500"/>
      <c r="BY645" s="500"/>
    </row>
    <row r="646" spans="42:90" x14ac:dyDescent="0.3">
      <c r="BE646" s="500"/>
      <c r="BY646" s="500"/>
      <c r="CL646" s="59">
        <f>+CL644/CL629</f>
        <v>0.74259721919182753</v>
      </c>
    </row>
    <row r="647" spans="42:90" x14ac:dyDescent="0.3">
      <c r="BE647" s="500"/>
      <c r="BY647" s="500"/>
    </row>
    <row r="648" spans="42:90" x14ac:dyDescent="0.3">
      <c r="BE648" s="500"/>
      <c r="BY648" s="500"/>
    </row>
    <row r="649" spans="42:90" x14ac:dyDescent="0.3">
      <c r="BE649" s="500"/>
      <c r="BY649" s="500"/>
    </row>
    <row r="650" spans="42:90" x14ac:dyDescent="0.3">
      <c r="BE650" s="500"/>
      <c r="BY650" s="500"/>
    </row>
    <row r="651" spans="42:90" x14ac:dyDescent="0.3">
      <c r="BE651" s="500"/>
      <c r="BY651" s="500"/>
    </row>
    <row r="652" spans="42:90" x14ac:dyDescent="0.3">
      <c r="BE652" s="500"/>
      <c r="BY652" s="500"/>
    </row>
    <row r="653" spans="42:90" x14ac:dyDescent="0.3">
      <c r="BE653" s="500"/>
      <c r="BF653" s="500"/>
      <c r="BG653" s="500"/>
      <c r="BH653" s="500"/>
      <c r="BI653" s="500"/>
      <c r="BJ653" s="500"/>
      <c r="BK653" s="500"/>
      <c r="BL653" s="500"/>
      <c r="BM653" s="500"/>
      <c r="BN653" s="500"/>
      <c r="BO653" s="500"/>
      <c r="BP653" s="500"/>
      <c r="BQ653" s="500"/>
      <c r="BR653" s="500"/>
      <c r="BS653" s="500"/>
      <c r="BT653" s="500"/>
      <c r="BU653" s="500"/>
      <c r="BV653" s="500"/>
      <c r="BW653" s="500"/>
      <c r="BX653" s="500"/>
      <c r="BY653" s="500"/>
    </row>
    <row r="654" spans="42:90" x14ac:dyDescent="0.3">
      <c r="BE654" s="500"/>
      <c r="BF654" s="500"/>
      <c r="BG654" s="500"/>
      <c r="BH654" s="500"/>
      <c r="BI654" s="500"/>
      <c r="BJ654" s="500"/>
      <c r="BK654" s="500"/>
      <c r="BL654" s="500"/>
      <c r="BM654" s="500"/>
      <c r="BN654" s="500"/>
      <c r="BO654" s="500"/>
      <c r="BP654" s="500"/>
      <c r="BQ654" s="500"/>
      <c r="BR654" s="500"/>
      <c r="BS654" s="500"/>
      <c r="BT654" s="500"/>
      <c r="BU654" s="500"/>
      <c r="BV654" s="500"/>
      <c r="BW654" s="500"/>
      <c r="BX654" s="500"/>
      <c r="BY654" s="500"/>
    </row>
    <row r="655" spans="42:90" x14ac:dyDescent="0.3">
      <c r="BE655" s="500"/>
      <c r="BF655" s="500"/>
      <c r="BG655" s="500"/>
      <c r="BH655" s="500"/>
      <c r="BI655" s="500"/>
      <c r="BJ655" s="500"/>
      <c r="BK655" s="500"/>
      <c r="BL655" s="500"/>
      <c r="BM655" s="500"/>
      <c r="BN655" s="500"/>
      <c r="BO655" s="500"/>
      <c r="BP655" s="500"/>
      <c r="BQ655" s="500"/>
      <c r="BR655" s="500"/>
      <c r="BS655" s="500"/>
      <c r="BT655" s="500"/>
      <c r="BU655" s="500"/>
      <c r="BV655" s="500"/>
      <c r="BW655" s="500"/>
      <c r="BX655" s="500"/>
      <c r="BY655" s="500"/>
    </row>
    <row r="656" spans="42:90" x14ac:dyDescent="0.3">
      <c r="BE656" s="500"/>
      <c r="BF656" s="500"/>
      <c r="BG656" s="500"/>
      <c r="BH656" s="500"/>
      <c r="BI656" s="500"/>
      <c r="BJ656" s="500"/>
      <c r="BK656" s="500"/>
      <c r="BL656" s="500"/>
      <c r="BM656" s="500"/>
      <c r="BN656" s="500"/>
      <c r="BO656" s="500"/>
      <c r="BP656" s="500"/>
      <c r="BQ656" s="500"/>
      <c r="BR656" s="500"/>
      <c r="BS656" s="500"/>
      <c r="BT656" s="500"/>
      <c r="BU656" s="500"/>
      <c r="BV656" s="500"/>
      <c r="BW656" s="500"/>
      <c r="BX656" s="500"/>
      <c r="BY656" s="500"/>
    </row>
    <row r="657" spans="57:77" x14ac:dyDescent="0.3">
      <c r="BE657" s="500"/>
      <c r="BF657" s="500"/>
      <c r="BG657" s="500"/>
      <c r="BH657" s="500"/>
      <c r="BI657" s="500"/>
      <c r="BJ657" s="500"/>
      <c r="BK657" s="500"/>
      <c r="BL657" s="500"/>
      <c r="BM657" s="500"/>
      <c r="BN657" s="500"/>
      <c r="BO657" s="500"/>
      <c r="BP657" s="500"/>
      <c r="BQ657" s="500"/>
      <c r="BR657" s="500"/>
      <c r="BS657" s="500"/>
      <c r="BT657" s="500"/>
      <c r="BU657" s="500"/>
      <c r="BV657" s="500"/>
      <c r="BW657" s="500"/>
      <c r="BX657" s="500"/>
      <c r="BY657" s="500"/>
    </row>
    <row r="658" spans="57:77" x14ac:dyDescent="0.3">
      <c r="BE658" s="500"/>
      <c r="BF658" s="500"/>
      <c r="BG658" s="500"/>
      <c r="BH658" s="500"/>
      <c r="BI658" s="500"/>
      <c r="BJ658" s="500"/>
      <c r="BK658" s="500"/>
      <c r="BL658" s="500"/>
      <c r="BM658" s="500"/>
      <c r="BN658" s="500"/>
      <c r="BO658" s="500"/>
      <c r="BP658" s="500"/>
      <c r="BQ658" s="500"/>
      <c r="BR658" s="500"/>
      <c r="BS658" s="500"/>
      <c r="BT658" s="500"/>
      <c r="BU658" s="500"/>
      <c r="BV658" s="500"/>
      <c r="BW658" s="500"/>
      <c r="BX658" s="500"/>
      <c r="BY658" s="500"/>
    </row>
    <row r="659" spans="57:77" x14ac:dyDescent="0.3">
      <c r="BE659" s="500"/>
      <c r="BF659" s="500"/>
      <c r="BG659" s="500"/>
      <c r="BH659" s="500"/>
      <c r="BI659" s="500"/>
      <c r="BJ659" s="500"/>
      <c r="BK659" s="500"/>
      <c r="BL659" s="500"/>
      <c r="BM659" s="500"/>
      <c r="BN659" s="500"/>
      <c r="BO659" s="500"/>
      <c r="BP659" s="500"/>
      <c r="BQ659" s="500"/>
      <c r="BR659" s="500"/>
      <c r="BS659" s="500"/>
      <c r="BT659" s="500"/>
      <c r="BU659" s="500"/>
      <c r="BV659" s="500"/>
      <c r="BW659" s="500"/>
      <c r="BX659" s="500"/>
      <c r="BY659" s="500"/>
    </row>
    <row r="660" spans="57:77" x14ac:dyDescent="0.3">
      <c r="BE660" s="500"/>
      <c r="BF660" s="500"/>
      <c r="BG660" s="500"/>
      <c r="BH660" s="500"/>
      <c r="BI660" s="500"/>
      <c r="BJ660" s="500"/>
      <c r="BK660" s="500"/>
      <c r="BL660" s="500"/>
      <c r="BM660" s="500"/>
      <c r="BN660" s="500"/>
      <c r="BO660" s="500"/>
      <c r="BP660" s="500"/>
      <c r="BQ660" s="500"/>
      <c r="BR660" s="500"/>
      <c r="BS660" s="500"/>
      <c r="BT660" s="500"/>
      <c r="BU660" s="500"/>
      <c r="BV660" s="500"/>
      <c r="BW660" s="500"/>
      <c r="BX660" s="500"/>
      <c r="BY660" s="500"/>
    </row>
  </sheetData>
  <mergeCells count="57">
    <mergeCell ref="AV594:AY594"/>
    <mergeCell ref="BE601:BE602"/>
    <mergeCell ref="AV577:AX577"/>
    <mergeCell ref="AK532:AN532"/>
    <mergeCell ref="AK533:AN533"/>
    <mergeCell ref="AK534:AN534"/>
    <mergeCell ref="AS600:BH600"/>
    <mergeCell ref="H562:J562"/>
    <mergeCell ref="AK539:AN539"/>
    <mergeCell ref="AK530:AN530"/>
    <mergeCell ref="AK540:AN540"/>
    <mergeCell ref="AV589:AX589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529:AV529"/>
    <mergeCell ref="AK531:AN531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BR622:BV623"/>
    <mergeCell ref="BR624:BV624"/>
    <mergeCell ref="AT604:AX604"/>
    <mergeCell ref="AT608:AZ608"/>
    <mergeCell ref="AT602:AY602"/>
    <mergeCell ref="AT605:AZ605"/>
    <mergeCell ref="AT621:BV621"/>
    <mergeCell ref="BG601:BG602"/>
    <mergeCell ref="AT603:AX603"/>
    <mergeCell ref="BI629:BN629"/>
    <mergeCell ref="BR625:BV625"/>
    <mergeCell ref="BR626:BV626"/>
    <mergeCell ref="BR627:BV627"/>
    <mergeCell ref="BR629:BV629"/>
    <mergeCell ref="BI628:BN628"/>
    <mergeCell ref="BR628:BV628"/>
    <mergeCell ref="AT625:AX625"/>
    <mergeCell ref="AT626:AX626"/>
    <mergeCell ref="AT627:AZ627"/>
    <mergeCell ref="BA622:BE622"/>
    <mergeCell ref="BG622:BP622"/>
    <mergeCell ref="BI624:BN624"/>
    <mergeCell ref="BI627:BN627"/>
    <mergeCell ref="BI623:BN623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535:AP537 AR535:AR5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528"/>
  <sheetViews>
    <sheetView topLeftCell="A485" workbookViewId="0">
      <selection activeCell="AO36" sqref="AN35:AO36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1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31" t="s">
        <v>7</v>
      </c>
      <c r="F7" s="632"/>
      <c r="G7" s="636">
        <v>0.7</v>
      </c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7"/>
    </row>
    <row r="8" spans="3:40" x14ac:dyDescent="0.3">
      <c r="E8" s="633" t="s">
        <v>110</v>
      </c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5"/>
    </row>
    <row r="9" spans="3:40" x14ac:dyDescent="0.3">
      <c r="E9" s="651" t="s">
        <v>35</v>
      </c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3"/>
      <c r="Q9" s="649" t="s">
        <v>103</v>
      </c>
      <c r="R9" s="5"/>
      <c r="S9" s="646" t="s">
        <v>4</v>
      </c>
      <c r="T9" s="647"/>
      <c r="U9" s="648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0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43" t="s">
        <v>46</v>
      </c>
      <c r="AE14" s="644"/>
      <c r="AF14" s="645"/>
      <c r="AG14" s="193"/>
      <c r="AH14" s="641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42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+K516</f>
        <v>3547580</v>
      </c>
      <c r="AG16" s="187"/>
      <c r="AH16" s="201">
        <f>+AJ31</f>
        <v>11025.239827434292</v>
      </c>
      <c r="AI16" s="201"/>
      <c r="AJ16" s="202">
        <f>+S516</f>
        <v>88550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719780</v>
      </c>
      <c r="AG17" s="188"/>
      <c r="AH17" s="149">
        <v>10443</v>
      </c>
      <c r="AI17" s="201"/>
      <c r="AJ17" s="148">
        <v>18082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1230742</v>
      </c>
      <c r="AG18" s="188"/>
      <c r="AH18" s="149">
        <v>9614</v>
      </c>
      <c r="AI18" s="201"/>
      <c r="AJ18" s="148">
        <v>27856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5498102</v>
      </c>
      <c r="AG19" s="188"/>
      <c r="AH19" s="188"/>
      <c r="AI19" s="188"/>
      <c r="AJ19" s="206">
        <f>SUM(AJ16:AJ18)</f>
        <v>134488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Table'!H516</f>
        <v>0.15644975037081432</v>
      </c>
      <c r="AG21" s="188"/>
      <c r="AH21" s="188"/>
      <c r="AI21" s="188"/>
      <c r="AJ21" s="208">
        <f>+AJ19/'Main Table'!AA516</f>
        <v>0.21941748840001826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43" t="s">
        <v>120</v>
      </c>
      <c r="AB25" s="644"/>
      <c r="AC25" s="644"/>
      <c r="AD25" s="644"/>
      <c r="AE25" s="644"/>
      <c r="AF25" s="644"/>
      <c r="AG25" s="644"/>
      <c r="AH25" s="644"/>
      <c r="AI25" s="644"/>
      <c r="AJ25" s="644"/>
      <c r="AK25" s="645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+E516</f>
        <v>2152964</v>
      </c>
      <c r="AE27" s="155"/>
      <c r="AF27" s="186">
        <v>11067</v>
      </c>
      <c r="AG27" s="155"/>
      <c r="AH27" s="177">
        <f>+AD27/AD$31</f>
        <v>0.50451895317010986</v>
      </c>
      <c r="AI27" s="177"/>
      <c r="AJ27" s="155">
        <f>+AF27*AH27</f>
        <v>5583.5112547336057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+G516</f>
        <v>1040281</v>
      </c>
      <c r="AE28" s="155"/>
      <c r="AF28" s="186">
        <v>11712</v>
      </c>
      <c r="AG28" s="155"/>
      <c r="AH28" s="177">
        <f>+AD28/AD$31</f>
        <v>0.24377624573506806</v>
      </c>
      <c r="AI28" s="177"/>
      <c r="AJ28" s="155">
        <f>+AF28*AH28</f>
        <v>2855.1073900491174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+I516</f>
        <v>354335</v>
      </c>
      <c r="AE29" s="155"/>
      <c r="AF29" s="186">
        <v>9938</v>
      </c>
      <c r="AG29" s="155"/>
      <c r="AH29" s="177">
        <f>+AD29/AD$31</f>
        <v>8.3033772636946501E-2</v>
      </c>
      <c r="AI29" s="177"/>
      <c r="AJ29" s="155">
        <f>+AF29*AH29</f>
        <v>825.18963246597434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719780</v>
      </c>
      <c r="AE30" s="237"/>
      <c r="AF30" s="155">
        <f>+AH17</f>
        <v>10443</v>
      </c>
      <c r="AG30" s="237"/>
      <c r="AH30" s="177">
        <f>+AD30/AD$31</f>
        <v>0.1686710284578756</v>
      </c>
      <c r="AI30" s="237"/>
      <c r="AJ30" s="155">
        <f>+AF30*AH30</f>
        <v>1761.4315501855949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4267360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11025.239827434292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38" t="s">
        <v>29</v>
      </c>
      <c r="AB36" s="639"/>
      <c r="AC36" s="639"/>
      <c r="AD36" s="639"/>
      <c r="AE36" s="639"/>
      <c r="AF36" s="639"/>
      <c r="AG36" s="639"/>
      <c r="AH36" s="639"/>
      <c r="AI36" s="640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Table'!AA516</f>
        <v>612932</v>
      </c>
      <c r="AJ49" s="56">
        <f>+AJ19</f>
        <v>134488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134488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478444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200946.47999999998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277497.52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0.45273785672798944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76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507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3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3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3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3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3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3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3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3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" si="80">SUM(E441:I441)</f>
        <v>3457181</v>
      </c>
      <c r="L441" s="6"/>
      <c r="M441" s="438">
        <f t="shared" ref="M441" si="81">+(K441-K440)/K440</f>
        <v>4.1930334875505391E-4</v>
      </c>
      <c r="N441" s="29"/>
      <c r="O441" s="29"/>
      <c r="P441" s="29"/>
      <c r="Q441" s="332">
        <f t="shared" ref="Q441" si="82">+K441-K440</f>
        <v>1449</v>
      </c>
      <c r="R441" s="6"/>
      <c r="S441" s="7">
        <f>53164+26100+8219</f>
        <v>87483</v>
      </c>
      <c r="T441" s="6"/>
      <c r="U441" s="243">
        <f t="shared" ref="U441" si="83">+S441/K441</f>
        <v>2.5304720811551377E-2</v>
      </c>
      <c r="W441">
        <f t="shared" si="65"/>
        <v>431</v>
      </c>
      <c r="Y441" s="56"/>
    </row>
    <row r="442" spans="3:25" x14ac:dyDescent="0.3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ref="K442" si="84">SUM(E442:I442)</f>
        <v>3458671</v>
      </c>
      <c r="L442" s="6"/>
      <c r="M442" s="438">
        <f t="shared" ref="M442" si="85">+(K442-K441)/K441</f>
        <v>4.3098698043290181E-4</v>
      </c>
      <c r="N442" s="29"/>
      <c r="O442" s="29"/>
      <c r="P442" s="29"/>
      <c r="Q442" s="332">
        <f t="shared" ref="Q442" si="86">+K442-K441</f>
        <v>1490</v>
      </c>
      <c r="R442" s="6"/>
      <c r="S442" s="7">
        <f>53181+26124+8221</f>
        <v>87526</v>
      </c>
      <c r="T442" s="6"/>
      <c r="U442" s="243">
        <f t="shared" ref="U442" si="87">+S442/K442</f>
        <v>2.5306252025705828E-2</v>
      </c>
      <c r="W442">
        <f t="shared" si="65"/>
        <v>432</v>
      </c>
      <c r="Y442" s="56"/>
    </row>
    <row r="443" spans="3:25" x14ac:dyDescent="0.3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ref="K443" si="88">SUM(E443:I443)</f>
        <v>3460052</v>
      </c>
      <c r="L443" s="6"/>
      <c r="M443" s="438">
        <f t="shared" ref="M443" si="89">+(K443-K442)/K442</f>
        <v>3.9928631546625858E-4</v>
      </c>
      <c r="N443" s="29"/>
      <c r="O443" s="29"/>
      <c r="P443" s="29"/>
      <c r="Q443" s="332">
        <f t="shared" ref="Q443" si="90">+K443-K442</f>
        <v>1381</v>
      </c>
      <c r="R443" s="6"/>
      <c r="S443" s="7">
        <f>53208+26159+8227</f>
        <v>87594</v>
      </c>
      <c r="T443" s="6"/>
      <c r="U443" s="243">
        <f t="shared" ref="U443" si="91">+S443/K443</f>
        <v>2.5315804502360081E-2</v>
      </c>
      <c r="W443">
        <f t="shared" si="65"/>
        <v>433</v>
      </c>
      <c r="Y443" s="56"/>
    </row>
    <row r="444" spans="3:25" x14ac:dyDescent="0.3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ref="K444" si="92">SUM(E444:I444)</f>
        <v>3461751</v>
      </c>
      <c r="L444" s="6"/>
      <c r="M444" s="438">
        <f t="shared" ref="M444" si="93">+(K444-K443)/K443</f>
        <v>4.9103308273979699E-4</v>
      </c>
      <c r="N444" s="29"/>
      <c r="O444" s="29"/>
      <c r="P444" s="29"/>
      <c r="Q444" s="332">
        <f t="shared" ref="Q444" si="94">+K444-K443</f>
        <v>1699</v>
      </c>
      <c r="R444" s="6"/>
      <c r="S444" s="7">
        <f>53229+26173+8230</f>
        <v>87632</v>
      </c>
      <c r="T444" s="6"/>
      <c r="U444" s="243">
        <f t="shared" ref="U444" si="95">+S444/K444</f>
        <v>2.5314356809603002E-2</v>
      </c>
      <c r="W444">
        <f t="shared" si="65"/>
        <v>434</v>
      </c>
      <c r="Y444" s="56"/>
    </row>
    <row r="445" spans="3:25" x14ac:dyDescent="0.3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ref="K445" si="96">SUM(E445:I445)</f>
        <v>3463158</v>
      </c>
      <c r="L445" s="6"/>
      <c r="M445" s="438">
        <f t="shared" ref="M445" si="97">+(K445-K444)/K444</f>
        <v>4.0644171114560232E-4</v>
      </c>
      <c r="N445" s="29"/>
      <c r="O445" s="29"/>
      <c r="P445" s="29"/>
      <c r="Q445" s="332">
        <f t="shared" ref="Q445" si="98">+K445-K444</f>
        <v>1407</v>
      </c>
      <c r="R445" s="6"/>
      <c r="S445" s="7">
        <f>53255+26185+8238</f>
        <v>87678</v>
      </c>
      <c r="T445" s="6"/>
      <c r="U445" s="243">
        <f t="shared" ref="U445" si="99">+S445/K445</f>
        <v>2.5317354853575839E-2</v>
      </c>
      <c r="W445">
        <f t="shared" si="65"/>
        <v>435</v>
      </c>
      <c r="Y445" s="56"/>
    </row>
    <row r="446" spans="3:25" x14ac:dyDescent="0.3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ref="K446" si="100">SUM(E446:I446)</f>
        <v>3464285</v>
      </c>
      <c r="L446" s="6"/>
      <c r="M446" s="438">
        <f t="shared" ref="M446" si="101">+(K446-K445)/K445</f>
        <v>3.2542552202354034E-4</v>
      </c>
      <c r="N446" s="29"/>
      <c r="O446" s="29"/>
      <c r="P446" s="29"/>
      <c r="Q446" s="332">
        <f t="shared" ref="Q446" si="102">+K446-K445</f>
        <v>1127</v>
      </c>
      <c r="R446" s="6"/>
      <c r="S446" s="7">
        <f>53269+26201+8238</f>
        <v>87708</v>
      </c>
      <c r="T446" s="6"/>
      <c r="U446" s="243">
        <f t="shared" ref="U446" si="103">+S446/K446</f>
        <v>2.5317778416036787E-2</v>
      </c>
      <c r="W446">
        <f t="shared" si="65"/>
        <v>436</v>
      </c>
      <c r="Y446" s="56"/>
    </row>
    <row r="447" spans="3:25" x14ac:dyDescent="0.3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ref="K447" si="104">SUM(E447:I447)</f>
        <v>3465351</v>
      </c>
      <c r="L447" s="6"/>
      <c r="M447" s="438">
        <f t="shared" ref="M447" si="105">+(K447-K446)/K446</f>
        <v>3.0771140365183582E-4</v>
      </c>
      <c r="N447" s="29"/>
      <c r="O447" s="29"/>
      <c r="P447" s="29"/>
      <c r="Q447" s="332">
        <f t="shared" ref="Q447" si="106">+K447-K446</f>
        <v>1066</v>
      </c>
      <c r="R447" s="6"/>
      <c r="S447" s="7">
        <f>53285+26207+8238</f>
        <v>87730</v>
      </c>
      <c r="T447" s="6"/>
      <c r="U447" s="243">
        <f t="shared" ref="U447" si="107">+S447/K447</f>
        <v>2.5316338806660565E-2</v>
      </c>
      <c r="W447">
        <f t="shared" si="65"/>
        <v>437</v>
      </c>
      <c r="Y447" s="56"/>
    </row>
    <row r="448" spans="3:25" x14ac:dyDescent="0.3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ref="K448" si="108">SUM(E448:I448)</f>
        <v>3466077</v>
      </c>
      <c r="L448" s="6"/>
      <c r="M448" s="438">
        <f t="shared" ref="M448" si="109">+(K448-K447)/K447</f>
        <v>2.0950258718380909E-4</v>
      </c>
      <c r="N448" s="29"/>
      <c r="O448" s="29"/>
      <c r="P448" s="29"/>
      <c r="Q448" s="332">
        <f t="shared" ref="Q448" si="110">+K448-K447</f>
        <v>726</v>
      </c>
      <c r="R448" s="6"/>
      <c r="S448" s="7">
        <f>53303+26212+8238</f>
        <v>87753</v>
      </c>
      <c r="T448" s="6"/>
      <c r="U448" s="243">
        <f t="shared" ref="U448" si="111">+S448/K448</f>
        <v>2.5317671823216852E-2</v>
      </c>
      <c r="W448">
        <f t="shared" si="65"/>
        <v>438</v>
      </c>
      <c r="Y448" s="56"/>
    </row>
    <row r="449" spans="3:25" x14ac:dyDescent="0.3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ref="K449" si="112">SUM(E449:I449)</f>
        <v>3466922</v>
      </c>
      <c r="L449" s="6"/>
      <c r="M449" s="438">
        <f t="shared" ref="M449" si="113">+(K449-K448)/K448</f>
        <v>2.4379146799104578E-4</v>
      </c>
      <c r="N449" s="29"/>
      <c r="O449" s="29"/>
      <c r="P449" s="29"/>
      <c r="Q449" s="332">
        <f t="shared" ref="Q449" si="114">+K449-K448</f>
        <v>845</v>
      </c>
      <c r="R449" s="6"/>
      <c r="S449" s="7">
        <f>53329+26219+8244</f>
        <v>87792</v>
      </c>
      <c r="T449" s="6"/>
      <c r="U449" s="243">
        <f t="shared" ref="U449" si="115">+S449/K449</f>
        <v>2.5322750266663051E-2</v>
      </c>
      <c r="W449">
        <f t="shared" si="65"/>
        <v>439</v>
      </c>
      <c r="Y449" s="56"/>
    </row>
    <row r="450" spans="3:25" x14ac:dyDescent="0.3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ref="K450" si="116">SUM(E450:I450)</f>
        <v>3467710</v>
      </c>
      <c r="L450" s="6"/>
      <c r="M450" s="438">
        <f t="shared" ref="M450" si="117">+(K450-K449)/K449</f>
        <v>2.2729095145492169E-4</v>
      </c>
      <c r="N450" s="29"/>
      <c r="O450" s="29"/>
      <c r="P450" s="29"/>
      <c r="Q450" s="332">
        <f t="shared" ref="Q450" si="118">+K450-K449</f>
        <v>788</v>
      </c>
      <c r="R450" s="6"/>
      <c r="S450" s="7">
        <f>53338+26247+8247</f>
        <v>87832</v>
      </c>
      <c r="T450" s="6"/>
      <c r="U450" s="243">
        <f t="shared" ref="U450" si="119">+S450/K450</f>
        <v>2.5328530932517426E-2</v>
      </c>
      <c r="W450">
        <f t="shared" si="65"/>
        <v>440</v>
      </c>
      <c r="Y450" s="56"/>
    </row>
    <row r="451" spans="3:25" x14ac:dyDescent="0.3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ref="K451" si="120">SUM(E451:I451)</f>
        <v>3468560</v>
      </c>
      <c r="L451" s="6"/>
      <c r="M451" s="438">
        <f t="shared" ref="M451" si="121">+(K451-K450)/K450</f>
        <v>2.4511853644047511E-4</v>
      </c>
      <c r="N451" s="29"/>
      <c r="O451" s="29"/>
      <c r="P451" s="29"/>
      <c r="Q451" s="332">
        <f t="shared" ref="Q451" si="122">+K451-K450</f>
        <v>850</v>
      </c>
      <c r="R451" s="6"/>
      <c r="S451" s="7">
        <f>53357+26253+8245</f>
        <v>87855</v>
      </c>
      <c r="T451" s="6"/>
      <c r="U451" s="243">
        <f t="shared" ref="U451" si="123">+S451/K451</f>
        <v>2.532895495537053E-2</v>
      </c>
      <c r="W451">
        <f t="shared" si="65"/>
        <v>441</v>
      </c>
      <c r="Y451" s="56"/>
    </row>
    <row r="452" spans="3:25" x14ac:dyDescent="0.3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ref="K452" si="124">SUM(E452:I452)</f>
        <v>3469548</v>
      </c>
      <c r="L452" s="6"/>
      <c r="M452" s="438">
        <f t="shared" ref="M452" si="125">+(K452-K451)/K451</f>
        <v>2.8484443111838917E-4</v>
      </c>
      <c r="N452" s="29"/>
      <c r="O452" s="29"/>
      <c r="P452" s="29"/>
      <c r="Q452" s="332">
        <f t="shared" ref="Q452" si="126">+K452-K451</f>
        <v>988</v>
      </c>
      <c r="R452" s="6"/>
      <c r="S452" s="7">
        <f>53416+26265+8246</f>
        <v>87927</v>
      </c>
      <c r="T452" s="6"/>
      <c r="U452" s="243">
        <f t="shared" ref="U452" si="127">+S452/K452</f>
        <v>2.5342494180798189E-2</v>
      </c>
      <c r="W452">
        <f t="shared" si="65"/>
        <v>442</v>
      </c>
      <c r="Y452" s="56"/>
    </row>
    <row r="453" spans="3:25" x14ac:dyDescent="0.3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ref="K453" si="128">SUM(E453:I453)</f>
        <v>3470961</v>
      </c>
      <c r="L453" s="6"/>
      <c r="M453" s="438">
        <f t="shared" ref="M453" si="129">+(K453-K452)/K452</f>
        <v>4.0725766007560638E-4</v>
      </c>
      <c r="N453" s="29"/>
      <c r="O453" s="29"/>
      <c r="P453" s="29"/>
      <c r="Q453" s="332">
        <f t="shared" ref="Q453" si="130">+K453-K452</f>
        <v>1413</v>
      </c>
      <c r="R453" s="6"/>
      <c r="S453" s="7">
        <f>53429+26273+8246</f>
        <v>87948</v>
      </c>
      <c r="T453" s="6"/>
      <c r="U453" s="243">
        <f t="shared" ref="U453" si="131">+S453/K453</f>
        <v>2.5338227655107619E-2</v>
      </c>
      <c r="W453">
        <f t="shared" si="65"/>
        <v>443</v>
      </c>
      <c r="Y453" s="56"/>
    </row>
    <row r="454" spans="3:25" x14ac:dyDescent="0.3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ref="K454" si="132">SUM(E454:I454)</f>
        <v>3471677</v>
      </c>
      <c r="L454" s="6"/>
      <c r="M454" s="438">
        <f t="shared" ref="M454" si="133">+(K454-K453)/K453</f>
        <v>2.0628292856070696E-4</v>
      </c>
      <c r="N454" s="29"/>
      <c r="O454" s="29"/>
      <c r="P454" s="29"/>
      <c r="Q454" s="332">
        <f t="shared" ref="Q454" si="134">+K454-K453</f>
        <v>716</v>
      </c>
      <c r="R454" s="6"/>
      <c r="S454" s="7">
        <f>53462+26279+8246</f>
        <v>87987</v>
      </c>
      <c r="T454" s="6"/>
      <c r="U454" s="243">
        <f t="shared" ref="U454" si="135">+S454/K454</f>
        <v>2.5344235653259217E-2</v>
      </c>
      <c r="W454">
        <f t="shared" si="65"/>
        <v>444</v>
      </c>
      <c r="Y454" s="56"/>
    </row>
    <row r="455" spans="3:25" x14ac:dyDescent="0.3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ref="K455" si="136">SUM(E455:I455)</f>
        <v>3472461</v>
      </c>
      <c r="L455" s="6"/>
      <c r="M455" s="438">
        <f t="shared" ref="M455" si="137">+(K455-K454)/K454</f>
        <v>2.2582746033113105E-4</v>
      </c>
      <c r="N455" s="29"/>
      <c r="O455" s="29"/>
      <c r="P455" s="29"/>
      <c r="Q455" s="332">
        <f t="shared" ref="Q455" si="138">+K455-K454</f>
        <v>784</v>
      </c>
      <c r="R455" s="6"/>
      <c r="S455" s="7">
        <f>53462+26279+8246</f>
        <v>87987</v>
      </c>
      <c r="T455" s="6"/>
      <c r="U455" s="243">
        <f t="shared" ref="U455" si="139">+S455/K455</f>
        <v>2.5338513521102182E-2</v>
      </c>
      <c r="W455">
        <f t="shared" si="65"/>
        <v>445</v>
      </c>
      <c r="Y455" s="56"/>
    </row>
    <row r="456" spans="3:25" x14ac:dyDescent="0.3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ref="K456" si="140">SUM(E456:I456)</f>
        <v>3473313</v>
      </c>
      <c r="L456" s="6"/>
      <c r="M456" s="438">
        <f t="shared" ref="M456" si="141">+(K456-K455)/K455</f>
        <v>2.4535912714354461E-4</v>
      </c>
      <c r="N456" s="29"/>
      <c r="O456" s="29"/>
      <c r="P456" s="29"/>
      <c r="Q456" s="332">
        <f t="shared" ref="Q456" si="142">+K456-K455</f>
        <v>852</v>
      </c>
      <c r="R456" s="6"/>
      <c r="S456" s="7">
        <f>53483+26285+8255</f>
        <v>88023</v>
      </c>
      <c r="T456" s="6"/>
      <c r="U456" s="243">
        <f t="shared" ref="U456" si="143">+S456/K456</f>
        <v>2.5342662754551635E-2</v>
      </c>
      <c r="W456">
        <f t="shared" si="65"/>
        <v>446</v>
      </c>
      <c r="Y456" s="56"/>
    </row>
    <row r="457" spans="3:25" x14ac:dyDescent="0.3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ref="K457" si="144">SUM(E457:I457)</f>
        <v>3474042</v>
      </c>
      <c r="L457" s="6"/>
      <c r="M457" s="438">
        <f t="shared" ref="M457" si="145">+(K457-K456)/K456</f>
        <v>2.0988606555182328E-4</v>
      </c>
      <c r="N457" s="29"/>
      <c r="O457" s="29"/>
      <c r="P457" s="29"/>
      <c r="Q457" s="332">
        <f t="shared" ref="Q457" si="146">+K457-K456</f>
        <v>729</v>
      </c>
      <c r="R457" s="6"/>
      <c r="S457" s="7">
        <f>53492+26316+8257</f>
        <v>88065</v>
      </c>
      <c r="T457" s="6"/>
      <c r="U457" s="243">
        <f t="shared" ref="U457" si="147">+S457/K457</f>
        <v>2.5349434462795785E-2</v>
      </c>
      <c r="W457">
        <f t="shared" si="65"/>
        <v>447</v>
      </c>
      <c r="Y457" s="56"/>
    </row>
    <row r="458" spans="3:25" x14ac:dyDescent="0.3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ref="K458" si="148">SUM(E458:I458)</f>
        <v>3475000</v>
      </c>
      <c r="L458" s="6"/>
      <c r="M458" s="438">
        <f t="shared" ref="M458" si="149">+(K458-K457)/K457</f>
        <v>2.7575947556189589E-4</v>
      </c>
      <c r="N458" s="29"/>
      <c r="O458" s="29"/>
      <c r="P458" s="29"/>
      <c r="Q458" s="332">
        <f t="shared" ref="Q458" si="150">+K458-K457</f>
        <v>958</v>
      </c>
      <c r="R458" s="6"/>
      <c r="S458" s="7">
        <f>53492+26316+8257</f>
        <v>88065</v>
      </c>
      <c r="T458" s="6"/>
      <c r="U458" s="243">
        <f t="shared" ref="U458" si="151">+S458/K458</f>
        <v>2.5342446043165469E-2</v>
      </c>
      <c r="W458">
        <f t="shared" si="65"/>
        <v>448</v>
      </c>
      <c r="Y458" s="56"/>
    </row>
    <row r="459" spans="3:25" x14ac:dyDescent="0.3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ref="K459" si="152">SUM(E459:I459)</f>
        <v>3475967</v>
      </c>
      <c r="L459" s="6"/>
      <c r="M459" s="438">
        <f t="shared" ref="M459" si="153">+(K459-K458)/K458</f>
        <v>2.7827338129496402E-4</v>
      </c>
      <c r="N459" s="29"/>
      <c r="O459" s="29"/>
      <c r="P459" s="29"/>
      <c r="Q459" s="332">
        <f t="shared" ref="Q459" si="154">+K459-K458</f>
        <v>967</v>
      </c>
      <c r="R459" s="6"/>
      <c r="S459" s="7">
        <f>53522+26324+8261</f>
        <v>88107</v>
      </c>
      <c r="T459" s="6"/>
      <c r="U459" s="243">
        <f t="shared" ref="U459" si="155">+S459/K459</f>
        <v>2.5347478845455091E-2</v>
      </c>
      <c r="W459">
        <f t="shared" si="65"/>
        <v>449</v>
      </c>
      <c r="Y459" s="56"/>
    </row>
    <row r="460" spans="3:25" x14ac:dyDescent="0.3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ref="K460" si="156">SUM(E460:I460)</f>
        <v>3476407</v>
      </c>
      <c r="L460" s="6"/>
      <c r="M460" s="438">
        <f t="shared" ref="M460" si="157">+(K460-K459)/K459</f>
        <v>1.2658348022291351E-4</v>
      </c>
      <c r="N460" s="29"/>
      <c r="O460" s="29"/>
      <c r="P460" s="29"/>
      <c r="Q460" s="332">
        <f t="shared" ref="Q460" si="158">+K460-K459</f>
        <v>440</v>
      </c>
      <c r="R460" s="6"/>
      <c r="S460" s="7">
        <f>53539+26324+8261</f>
        <v>88124</v>
      </c>
      <c r="T460" s="6"/>
      <c r="U460" s="243">
        <f t="shared" ref="U460" si="159">+S460/K460</f>
        <v>2.5349160785834341E-2</v>
      </c>
      <c r="W460">
        <f t="shared" si="65"/>
        <v>450</v>
      </c>
      <c r="Y460" s="56"/>
    </row>
    <row r="461" spans="3:25" x14ac:dyDescent="0.3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ref="K461" si="160">SUM(E461:I461)</f>
        <v>3477226</v>
      </c>
      <c r="L461" s="6"/>
      <c r="M461" s="438">
        <f t="shared" ref="M461" si="161">+(K461-K460)/K460</f>
        <v>2.3558806549405751E-4</v>
      </c>
      <c r="N461" s="29"/>
      <c r="O461" s="29"/>
      <c r="P461" s="29"/>
      <c r="Q461" s="332">
        <f t="shared" ref="Q461" si="162">+K461-K460</f>
        <v>819</v>
      </c>
      <c r="R461" s="6"/>
      <c r="S461" s="7">
        <f>53549+26330+8261</f>
        <v>88140</v>
      </c>
      <c r="T461" s="6"/>
      <c r="U461" s="243">
        <f t="shared" ref="U461" si="163">+S461/K461</f>
        <v>2.5347791601696295E-2</v>
      </c>
      <c r="W461">
        <f t="shared" si="65"/>
        <v>451</v>
      </c>
      <c r="Y461" s="56"/>
    </row>
    <row r="462" spans="3:25" x14ac:dyDescent="0.3">
      <c r="C462" s="157">
        <f t="shared" si="75"/>
        <v>44361</v>
      </c>
      <c r="D462" s="549" t="s">
        <v>26</v>
      </c>
      <c r="E462" s="241">
        <v>2109800</v>
      </c>
      <c r="F462" s="7"/>
      <c r="G462" s="7">
        <v>1019700</v>
      </c>
      <c r="H462" s="7"/>
      <c r="I462" s="7">
        <v>348400</v>
      </c>
      <c r="J462" s="244"/>
      <c r="K462" s="7">
        <f t="shared" ref="K462" si="164">SUM(E462:I462)</f>
        <v>3477900</v>
      </c>
      <c r="L462" s="6"/>
      <c r="M462" s="438">
        <f t="shared" ref="M462" si="165">+(K462-K461)/K461</f>
        <v>1.9383267006516114E-4</v>
      </c>
      <c r="N462" s="29"/>
      <c r="O462" s="29"/>
      <c r="P462" s="29"/>
      <c r="Q462" s="332">
        <f t="shared" ref="Q462" si="166">+K462-K461</f>
        <v>674</v>
      </c>
      <c r="R462" s="6"/>
      <c r="S462" s="7">
        <f>53549+26330+8261</f>
        <v>88140</v>
      </c>
      <c r="T462" s="6"/>
      <c r="U462" s="243">
        <f t="shared" ref="U462" si="167">+S462/K462</f>
        <v>2.5342879323729837E-2</v>
      </c>
      <c r="W462">
        <f t="shared" si="65"/>
        <v>452</v>
      </c>
      <c r="Y462" s="56"/>
    </row>
    <row r="463" spans="3:25" x14ac:dyDescent="0.3">
      <c r="C463" s="157">
        <f t="shared" si="75"/>
        <v>44362</v>
      </c>
      <c r="E463" s="241">
        <v>2110004</v>
      </c>
      <c r="F463" s="7"/>
      <c r="G463" s="7">
        <v>1020120</v>
      </c>
      <c r="H463" s="7"/>
      <c r="I463" s="7">
        <v>348521</v>
      </c>
      <c r="J463" s="244"/>
      <c r="K463" s="7">
        <f t="shared" ref="K463" si="168">SUM(E463:I463)</f>
        <v>3478645</v>
      </c>
      <c r="L463" s="6"/>
      <c r="M463" s="438">
        <f t="shared" ref="M463" si="169">+(K463-K462)/K462</f>
        <v>2.1420972425889186E-4</v>
      </c>
      <c r="N463" s="29"/>
      <c r="O463" s="29"/>
      <c r="P463" s="29"/>
      <c r="Q463" s="332">
        <f t="shared" ref="Q463" si="170">+K463-K462</f>
        <v>745</v>
      </c>
      <c r="R463" s="6"/>
      <c r="S463" s="7">
        <f>53574+26344+8263</f>
        <v>88181</v>
      </c>
      <c r="T463" s="6"/>
      <c r="U463" s="243">
        <f t="shared" ref="U463" si="171">+S463/K463</f>
        <v>2.5349237993529089E-2</v>
      </c>
      <c r="W463">
        <f t="shared" si="65"/>
        <v>453</v>
      </c>
      <c r="Y463" s="56"/>
    </row>
    <row r="464" spans="3:25" x14ac:dyDescent="0.3">
      <c r="C464" s="157">
        <f t="shared" si="75"/>
        <v>44363</v>
      </c>
      <c r="E464" s="241">
        <v>2110310</v>
      </c>
      <c r="F464" s="7"/>
      <c r="G464" s="7">
        <v>1020326</v>
      </c>
      <c r="H464" s="7"/>
      <c r="I464" s="7">
        <v>348560</v>
      </c>
      <c r="J464" s="244"/>
      <c r="K464" s="7">
        <f t="shared" ref="K464" si="172">SUM(E464:I464)</f>
        <v>3479196</v>
      </c>
      <c r="L464" s="6"/>
      <c r="M464" s="438">
        <f t="shared" ref="M464" si="173">+(K464-K463)/K463</f>
        <v>1.5839500725138667E-4</v>
      </c>
      <c r="N464" s="29"/>
      <c r="O464" s="29"/>
      <c r="P464" s="29"/>
      <c r="Q464" s="332">
        <f t="shared" ref="Q464" si="174">+K464-K463</f>
        <v>551</v>
      </c>
      <c r="R464" s="6"/>
      <c r="S464" s="7">
        <f>53576+26357+8265</f>
        <v>88198</v>
      </c>
      <c r="T464" s="6"/>
      <c r="U464" s="243">
        <f t="shared" ref="U464" si="175">+S464/K464</f>
        <v>2.5350109623027851E-2</v>
      </c>
      <c r="W464">
        <f t="shared" si="65"/>
        <v>454</v>
      </c>
      <c r="Y464" s="56"/>
    </row>
    <row r="465" spans="3:25" x14ac:dyDescent="0.3">
      <c r="C465" s="157">
        <f t="shared" si="75"/>
        <v>44364</v>
      </c>
      <c r="D465" s="549" t="s">
        <v>26</v>
      </c>
      <c r="E465" s="241">
        <v>2110700</v>
      </c>
      <c r="F465" s="7"/>
      <c r="G465" s="7">
        <v>1020500</v>
      </c>
      <c r="H465" s="7"/>
      <c r="I465" s="7">
        <v>348600</v>
      </c>
      <c r="J465" s="244"/>
      <c r="K465" s="7">
        <f t="shared" ref="K465:K466" si="176">SUM(E465:I465)</f>
        <v>3479800</v>
      </c>
      <c r="L465" s="6"/>
      <c r="M465" s="438">
        <f t="shared" ref="M465:M466" si="177">+(K465-K464)/K464</f>
        <v>1.7360332674560443E-4</v>
      </c>
      <c r="N465" s="29"/>
      <c r="O465" s="29"/>
      <c r="P465" s="29"/>
      <c r="Q465" s="332">
        <f t="shared" ref="Q465:Q466" si="178">+K465-K464</f>
        <v>604</v>
      </c>
      <c r="R465" s="6"/>
      <c r="S465" s="7">
        <f>53576+26357+8265</f>
        <v>88198</v>
      </c>
      <c r="T465" s="6"/>
      <c r="U465" s="243">
        <f t="shared" ref="U465:U466" si="179">+S465/K465</f>
        <v>2.5345709523535834E-2</v>
      </c>
      <c r="W465">
        <f t="shared" si="65"/>
        <v>455</v>
      </c>
      <c r="Y465" s="56"/>
    </row>
    <row r="466" spans="3:25" x14ac:dyDescent="0.3">
      <c r="C466" s="157">
        <f t="shared" si="75"/>
        <v>44365</v>
      </c>
      <c r="E466" s="241">
        <v>2111162</v>
      </c>
      <c r="F466" s="7"/>
      <c r="G466" s="7">
        <v>1020830</v>
      </c>
      <c r="H466" s="7"/>
      <c r="I466" s="7">
        <v>348665</v>
      </c>
      <c r="J466" s="244"/>
      <c r="K466" s="7">
        <f t="shared" si="176"/>
        <v>3480657</v>
      </c>
      <c r="L466" s="6"/>
      <c r="M466" s="438">
        <f t="shared" si="177"/>
        <v>2.4627852175412379E-4</v>
      </c>
      <c r="N466" s="29"/>
      <c r="O466" s="29"/>
      <c r="P466" s="29"/>
      <c r="Q466" s="332">
        <f t="shared" si="178"/>
        <v>857</v>
      </c>
      <c r="R466" s="6"/>
      <c r="S466" s="7">
        <f>53597+26368+8270</f>
        <v>88235</v>
      </c>
      <c r="T466" s="6"/>
      <c r="U466" s="243">
        <f t="shared" si="179"/>
        <v>2.5350099133583114E-2</v>
      </c>
      <c r="W466">
        <f t="shared" si="65"/>
        <v>456</v>
      </c>
      <c r="Y466" s="56"/>
    </row>
    <row r="467" spans="3:25" x14ac:dyDescent="0.3">
      <c r="C467" s="157">
        <f t="shared" si="75"/>
        <v>44366</v>
      </c>
      <c r="E467" s="241">
        <v>2111600</v>
      </c>
      <c r="F467" s="7"/>
      <c r="G467" s="7">
        <v>1021000</v>
      </c>
      <c r="H467" s="7"/>
      <c r="I467" s="7">
        <v>348665</v>
      </c>
      <c r="J467" s="244"/>
      <c r="K467" s="7">
        <f t="shared" ref="K467" si="180">SUM(E467:I467)</f>
        <v>3481265</v>
      </c>
      <c r="L467" s="6"/>
      <c r="M467" s="438">
        <f t="shared" ref="M467" si="181">+(K467-K466)/K466</f>
        <v>1.7467966536202791E-4</v>
      </c>
      <c r="N467" s="29"/>
      <c r="O467" s="29"/>
      <c r="P467" s="29"/>
      <c r="Q467" s="332">
        <f t="shared" ref="Q467" si="182">+K467-K466</f>
        <v>608</v>
      </c>
      <c r="R467" s="6"/>
      <c r="S467" s="7">
        <f>53606+26374+8270</f>
        <v>88250</v>
      </c>
      <c r="T467" s="6"/>
      <c r="U467" s="243">
        <f t="shared" ref="U467" si="183">+S467/K467</f>
        <v>2.5349980538683495E-2</v>
      </c>
      <c r="W467">
        <f t="shared" si="65"/>
        <v>457</v>
      </c>
      <c r="Y467" s="56"/>
    </row>
    <row r="468" spans="3:25" x14ac:dyDescent="0.3">
      <c r="C468" s="157">
        <f t="shared" si="75"/>
        <v>44367</v>
      </c>
      <c r="D468" s="549" t="s">
        <v>26</v>
      </c>
      <c r="E468" s="241">
        <v>2111845</v>
      </c>
      <c r="F468" s="7"/>
      <c r="G468" s="7">
        <v>1021182</v>
      </c>
      <c r="H468" s="7"/>
      <c r="I468" s="7">
        <v>348665</v>
      </c>
      <c r="J468" s="244"/>
      <c r="K468" s="7">
        <f t="shared" ref="K468" si="184">SUM(E468:I468)</f>
        <v>3481692</v>
      </c>
      <c r="L468" s="6"/>
      <c r="M468" s="438">
        <f t="shared" ref="M468" si="185">+(K468-K467)/K467</f>
        <v>1.2265656305969239E-4</v>
      </c>
      <c r="N468" s="29"/>
      <c r="O468" s="29"/>
      <c r="P468" s="29"/>
      <c r="Q468" s="332">
        <f t="shared" ref="Q468" si="186">+K468-K467</f>
        <v>427</v>
      </c>
      <c r="R468" s="6"/>
      <c r="S468" s="7">
        <f>53606+26374+8270</f>
        <v>88250</v>
      </c>
      <c r="T468" s="6"/>
      <c r="U468" s="243">
        <f t="shared" ref="U468" si="187">+S468/K468</f>
        <v>2.5346871578531358E-2</v>
      </c>
      <c r="W468">
        <f t="shared" si="65"/>
        <v>458</v>
      </c>
      <c r="Y468" s="56"/>
    </row>
    <row r="469" spans="3:25" x14ac:dyDescent="0.3">
      <c r="C469" s="157">
        <f t="shared" si="75"/>
        <v>44368</v>
      </c>
      <c r="D469" s="549" t="s">
        <v>26</v>
      </c>
      <c r="E469" s="241">
        <v>2112000</v>
      </c>
      <c r="F469" s="7"/>
      <c r="G469" s="7">
        <v>1021300</v>
      </c>
      <c r="H469" s="7"/>
      <c r="I469" s="7">
        <v>348700</v>
      </c>
      <c r="J469" s="244"/>
      <c r="K469" s="7">
        <f t="shared" ref="K469" si="188">SUM(E469:I469)</f>
        <v>3482000</v>
      </c>
      <c r="L469" s="6"/>
      <c r="M469" s="438">
        <f t="shared" ref="M469" si="189">+(K469-K468)/K468</f>
        <v>8.8462735934137775E-5</v>
      </c>
      <c r="N469" s="29"/>
      <c r="O469" s="29"/>
      <c r="P469" s="29"/>
      <c r="Q469" s="332">
        <f t="shared" ref="Q469" si="190">+K469-K468</f>
        <v>308</v>
      </c>
      <c r="R469" s="6"/>
      <c r="S469" s="7">
        <f>53632+26392+8271</f>
        <v>88295</v>
      </c>
      <c r="T469" s="6"/>
      <c r="U469" s="243">
        <f t="shared" ref="U469" si="191">+S469/K469</f>
        <v>2.5357553130384836E-2</v>
      </c>
      <c r="W469">
        <f t="shared" si="65"/>
        <v>459</v>
      </c>
      <c r="Y469" s="56"/>
    </row>
    <row r="470" spans="3:25" x14ac:dyDescent="0.3">
      <c r="C470" s="157">
        <f t="shared" si="75"/>
        <v>44369</v>
      </c>
      <c r="D470" s="549" t="s">
        <v>26</v>
      </c>
      <c r="E470" s="241">
        <v>2112200</v>
      </c>
      <c r="F470" s="7"/>
      <c r="G470" s="7">
        <v>1021400</v>
      </c>
      <c r="H470" s="7"/>
      <c r="I470" s="7">
        <v>348750</v>
      </c>
      <c r="J470" s="244"/>
      <c r="K470" s="7">
        <f t="shared" ref="K470:K472" si="192">SUM(E470:I470)</f>
        <v>3482350</v>
      </c>
      <c r="L470" s="6"/>
      <c r="M470" s="438">
        <f t="shared" ref="M470:M472" si="193">+(K470-K469)/K469</f>
        <v>1.0051694428489374E-4</v>
      </c>
      <c r="N470" s="29"/>
      <c r="O470" s="29"/>
      <c r="P470" s="29"/>
      <c r="Q470" s="332">
        <f t="shared" ref="Q470:Q472" si="194">+K470-K469</f>
        <v>350</v>
      </c>
      <c r="R470" s="6"/>
      <c r="S470" s="7">
        <f t="shared" ref="S470:S471" si="195">53632+26392+8271</f>
        <v>88295</v>
      </c>
      <c r="T470" s="6"/>
      <c r="U470" s="243">
        <f t="shared" ref="U470:U472" si="196">+S470/K470</f>
        <v>2.5355004522807874E-2</v>
      </c>
      <c r="W470">
        <f t="shared" si="65"/>
        <v>460</v>
      </c>
      <c r="Y470" s="56"/>
    </row>
    <row r="471" spans="3:25" x14ac:dyDescent="0.3">
      <c r="C471" s="157">
        <f t="shared" si="75"/>
        <v>44370</v>
      </c>
      <c r="E471" s="241">
        <v>2112388</v>
      </c>
      <c r="F471" s="7"/>
      <c r="G471" s="7">
        <v>1021554</v>
      </c>
      <c r="H471" s="7"/>
      <c r="I471" s="7">
        <v>348802</v>
      </c>
      <c r="J471" s="244"/>
      <c r="K471" s="7">
        <f t="shared" si="192"/>
        <v>3482744</v>
      </c>
      <c r="L471" s="6"/>
      <c r="M471" s="438">
        <f t="shared" si="193"/>
        <v>1.1314198745100292E-4</v>
      </c>
      <c r="N471" s="29"/>
      <c r="O471" s="29"/>
      <c r="P471" s="29"/>
      <c r="Q471" s="332">
        <f t="shared" si="194"/>
        <v>394</v>
      </c>
      <c r="R471" s="6"/>
      <c r="S471" s="7">
        <f t="shared" si="195"/>
        <v>88295</v>
      </c>
      <c r="T471" s="6"/>
      <c r="U471" s="243">
        <f t="shared" si="196"/>
        <v>2.53521361317398E-2</v>
      </c>
      <c r="W471">
        <f t="shared" ref="W471" si="197">+W470+1</f>
        <v>461</v>
      </c>
      <c r="Y471" s="56"/>
    </row>
    <row r="472" spans="3:25" x14ac:dyDescent="0.3">
      <c r="C472" s="157">
        <f t="shared" si="75"/>
        <v>44371</v>
      </c>
      <c r="E472" s="241">
        <v>2113046</v>
      </c>
      <c r="F472" s="7"/>
      <c r="G472" s="7">
        <v>1022094</v>
      </c>
      <c r="H472" s="7"/>
      <c r="I472" s="7">
        <v>348993</v>
      </c>
      <c r="J472" s="244"/>
      <c r="K472" s="7">
        <f t="shared" si="192"/>
        <v>3484133</v>
      </c>
      <c r="L472" s="6"/>
      <c r="M472" s="438">
        <f t="shared" si="193"/>
        <v>3.9882345644698549E-4</v>
      </c>
      <c r="N472" s="29"/>
      <c r="O472" s="29"/>
      <c r="P472" s="29"/>
      <c r="Q472" s="332">
        <f t="shared" si="194"/>
        <v>1389</v>
      </c>
      <c r="R472" s="6"/>
      <c r="S472" s="7">
        <f>53635+26416+8274</f>
        <v>88325</v>
      </c>
      <c r="T472" s="6"/>
      <c r="U472" s="243">
        <f t="shared" si="196"/>
        <v>2.5350639599579006E-2</v>
      </c>
      <c r="W472">
        <f t="shared" si="65"/>
        <v>462</v>
      </c>
      <c r="Y472" s="56"/>
    </row>
    <row r="473" spans="3:25" x14ac:dyDescent="0.3">
      <c r="C473" s="157">
        <f t="shared" si="75"/>
        <v>44372</v>
      </c>
      <c r="E473" s="241">
        <v>2113398</v>
      </c>
      <c r="F473" s="7"/>
      <c r="G473" s="7">
        <v>1022680</v>
      </c>
      <c r="H473" s="7"/>
      <c r="I473" s="7">
        <v>349120</v>
      </c>
      <c r="J473" s="244"/>
      <c r="K473" s="7">
        <f t="shared" ref="K473" si="198">SUM(E473:I473)</f>
        <v>3485198</v>
      </c>
      <c r="L473" s="6"/>
      <c r="M473" s="438">
        <f t="shared" ref="M473" si="199">+(K473-K472)/K472</f>
        <v>3.0567145398869677E-4</v>
      </c>
      <c r="N473" s="29"/>
      <c r="O473" s="29"/>
      <c r="P473" s="29"/>
      <c r="Q473" s="332">
        <f t="shared" ref="Q473" si="200">+K473-K472</f>
        <v>1065</v>
      </c>
      <c r="R473" s="6"/>
      <c r="S473" s="7">
        <f>53646+26434+8275</f>
        <v>88355</v>
      </c>
      <c r="T473" s="6"/>
      <c r="U473" s="243">
        <f t="shared" ref="U473" si="201">+S473/K473</f>
        <v>2.5351500832951242E-2</v>
      </c>
      <c r="W473">
        <f t="shared" si="65"/>
        <v>463</v>
      </c>
      <c r="Y473" s="56"/>
    </row>
    <row r="474" spans="3:25" x14ac:dyDescent="0.3">
      <c r="C474" s="157">
        <f t="shared" si="75"/>
        <v>44373</v>
      </c>
      <c r="D474" s="549" t="s">
        <v>26</v>
      </c>
      <c r="E474" s="241">
        <v>2113800</v>
      </c>
      <c r="F474" s="7"/>
      <c r="G474" s="7">
        <v>1022750</v>
      </c>
      <c r="H474" s="7"/>
      <c r="I474" s="7">
        <v>349120</v>
      </c>
      <c r="J474" s="244"/>
      <c r="K474" s="7">
        <f t="shared" ref="K474" si="202">SUM(E474:I474)</f>
        <v>3485670</v>
      </c>
      <c r="L474" s="6"/>
      <c r="M474" s="438">
        <f t="shared" ref="M474" si="203">+(K474-K473)/K473</f>
        <v>1.3542989523120352E-4</v>
      </c>
      <c r="N474" s="29"/>
      <c r="O474" s="29"/>
      <c r="P474" s="29"/>
      <c r="Q474" s="332">
        <f t="shared" ref="Q474" si="204">+K474-K473</f>
        <v>472</v>
      </c>
      <c r="R474" s="6"/>
      <c r="S474" s="7">
        <f>53664+26437+8275</f>
        <v>88376</v>
      </c>
      <c r="T474" s="6"/>
      <c r="U474" s="243">
        <f t="shared" ref="U474" si="205">+S474/K474</f>
        <v>2.535409261347173E-2</v>
      </c>
      <c r="W474">
        <f t="shared" si="65"/>
        <v>464</v>
      </c>
      <c r="Y474" s="56"/>
    </row>
    <row r="475" spans="3:25" x14ac:dyDescent="0.3">
      <c r="C475" s="157">
        <f t="shared" si="75"/>
        <v>44374</v>
      </c>
      <c r="E475" s="241">
        <v>2114123</v>
      </c>
      <c r="F475" s="7"/>
      <c r="G475" s="7">
        <v>1022830</v>
      </c>
      <c r="H475" s="7"/>
      <c r="I475" s="7">
        <v>349120</v>
      </c>
      <c r="J475" s="244"/>
      <c r="K475" s="7">
        <f t="shared" ref="K475" si="206">SUM(E475:I475)</f>
        <v>3486073</v>
      </c>
      <c r="L475" s="6"/>
      <c r="M475" s="438">
        <f t="shared" ref="M475" si="207">+(K475-K474)/K474</f>
        <v>1.1561622299299705E-4</v>
      </c>
      <c r="N475" s="29"/>
      <c r="O475" s="29"/>
      <c r="P475" s="29"/>
      <c r="Q475" s="332">
        <f t="shared" ref="Q475" si="208">+K475-K474</f>
        <v>403</v>
      </c>
      <c r="R475" s="6"/>
      <c r="S475" s="7">
        <f>53664+26437+8275</f>
        <v>88376</v>
      </c>
      <c r="T475" s="6"/>
      <c r="U475" s="243">
        <f t="shared" ref="U475" si="209">+S475/K475</f>
        <v>2.5351161607918136E-2</v>
      </c>
      <c r="W475">
        <f t="shared" si="65"/>
        <v>465</v>
      </c>
      <c r="Y475" s="56"/>
    </row>
    <row r="476" spans="3:25" x14ac:dyDescent="0.3">
      <c r="C476" s="157">
        <f t="shared" si="75"/>
        <v>44375</v>
      </c>
      <c r="E476" s="241">
        <v>2114323</v>
      </c>
      <c r="F476" s="7"/>
      <c r="G476" s="7">
        <v>1022950</v>
      </c>
      <c r="H476" s="7"/>
      <c r="I476" s="7">
        <v>349250</v>
      </c>
      <c r="J476" s="244"/>
      <c r="K476" s="7">
        <f t="shared" ref="K476:K477" si="210">SUM(E476:I476)</f>
        <v>3486523</v>
      </c>
      <c r="L476" s="6"/>
      <c r="M476" s="438">
        <f t="shared" ref="M476:M477" si="211">+(K476-K475)/K475</f>
        <v>1.2908507653167331E-4</v>
      </c>
      <c r="N476" s="29"/>
      <c r="O476" s="29"/>
      <c r="P476" s="29"/>
      <c r="Q476" s="332">
        <f t="shared" ref="Q476:Q477" si="212">+K476-K475</f>
        <v>450</v>
      </c>
      <c r="R476" s="6"/>
      <c r="S476" s="7">
        <f t="shared" ref="S476" si="213">53664+26437+8275</f>
        <v>88376</v>
      </c>
      <c r="T476" s="6"/>
      <c r="U476" s="243">
        <f t="shared" ref="U476:U477" si="214">+S476/K476</f>
        <v>2.5347889573652603E-2</v>
      </c>
      <c r="W476">
        <f t="shared" si="65"/>
        <v>466</v>
      </c>
      <c r="Y476" s="56"/>
    </row>
    <row r="477" spans="3:25" x14ac:dyDescent="0.3">
      <c r="C477" s="157">
        <f t="shared" si="75"/>
        <v>44376</v>
      </c>
      <c r="D477" s="549" t="s">
        <v>26</v>
      </c>
      <c r="E477" s="241">
        <v>2114686</v>
      </c>
      <c r="F477" s="7"/>
      <c r="G477" s="7">
        <v>1023200</v>
      </c>
      <c r="H477" s="7"/>
      <c r="I477" s="7">
        <v>349301</v>
      </c>
      <c r="J477" s="244"/>
      <c r="K477" s="7">
        <f t="shared" si="210"/>
        <v>3487187</v>
      </c>
      <c r="L477" s="6"/>
      <c r="M477" s="438">
        <f t="shared" si="211"/>
        <v>1.9044761787029657E-4</v>
      </c>
      <c r="N477" s="29"/>
      <c r="O477" s="29"/>
      <c r="P477" s="29"/>
      <c r="Q477" s="332">
        <f t="shared" si="212"/>
        <v>664</v>
      </c>
      <c r="R477" s="6"/>
      <c r="S477" s="7">
        <f>53676+26444+8276</f>
        <v>88396</v>
      </c>
      <c r="T477" s="6"/>
      <c r="U477" s="243">
        <f t="shared" si="214"/>
        <v>2.534879832942713E-2</v>
      </c>
      <c r="W477">
        <f t="shared" ref="W477:W510" si="215">+W476+1</f>
        <v>467</v>
      </c>
      <c r="Y477" s="56"/>
    </row>
    <row r="478" spans="3:25" x14ac:dyDescent="0.3">
      <c r="C478" s="157">
        <f t="shared" si="75"/>
        <v>44377</v>
      </c>
      <c r="E478" s="241">
        <v>2114986</v>
      </c>
      <c r="F478" s="7"/>
      <c r="G478" s="7">
        <v>1023395</v>
      </c>
      <c r="H478" s="7"/>
      <c r="I478" s="7">
        <v>349352</v>
      </c>
      <c r="J478" s="244"/>
      <c r="K478" s="7">
        <f t="shared" ref="K478" si="216">SUM(E478:I478)</f>
        <v>3487733</v>
      </c>
      <c r="L478" s="6"/>
      <c r="M478" s="438">
        <f t="shared" ref="M478" si="217">+(K478-K477)/K477</f>
        <v>1.5657319208863763E-4</v>
      </c>
      <c r="N478" s="29"/>
      <c r="O478" s="29"/>
      <c r="P478" s="29"/>
      <c r="Q478" s="332">
        <f t="shared" ref="Q478" si="218">+K478-K477</f>
        <v>546</v>
      </c>
      <c r="R478" s="6"/>
      <c r="S478" s="7">
        <f>53679+26457+8278</f>
        <v>88414</v>
      </c>
      <c r="T478" s="6"/>
      <c r="U478" s="243">
        <f t="shared" ref="U478" si="219">+S478/K478</f>
        <v>2.5349990954009381E-2</v>
      </c>
      <c r="W478">
        <f t="shared" si="215"/>
        <v>468</v>
      </c>
      <c r="Y478" s="56"/>
    </row>
    <row r="479" spans="3:25" x14ac:dyDescent="0.3">
      <c r="C479" s="157">
        <f t="shared" si="75"/>
        <v>44378</v>
      </c>
      <c r="E479" s="241">
        <v>2115377</v>
      </c>
      <c r="F479" s="7"/>
      <c r="G479" s="7">
        <v>1023613</v>
      </c>
      <c r="H479" s="7"/>
      <c r="I479" s="7">
        <v>349387</v>
      </c>
      <c r="J479" s="244"/>
      <c r="K479" s="7">
        <f t="shared" ref="K479" si="220">SUM(E479:I479)</f>
        <v>3488377</v>
      </c>
      <c r="L479" s="6"/>
      <c r="M479" s="438">
        <f t="shared" ref="M479" si="221">+(K479-K478)/K478</f>
        <v>1.8464716192437896E-4</v>
      </c>
      <c r="N479" s="29"/>
      <c r="O479" s="29"/>
      <c r="P479" s="29"/>
      <c r="Q479" s="332">
        <f t="shared" ref="Q479" si="222">+K479-K478</f>
        <v>644</v>
      </c>
      <c r="R479" s="6"/>
      <c r="S479" s="7">
        <f>53690+26462+8279</f>
        <v>88431</v>
      </c>
      <c r="T479" s="6"/>
      <c r="U479" s="243">
        <f t="shared" ref="U479" si="223">+S479/K479</f>
        <v>2.5350184340740694E-2</v>
      </c>
      <c r="W479">
        <f t="shared" si="215"/>
        <v>469</v>
      </c>
      <c r="Y479" s="56"/>
    </row>
    <row r="480" spans="3:25" x14ac:dyDescent="0.3">
      <c r="C480" s="157">
        <f t="shared" si="75"/>
        <v>44379</v>
      </c>
      <c r="E480" s="241">
        <v>2115880</v>
      </c>
      <c r="F480" s="7"/>
      <c r="G480" s="7">
        <v>1023923</v>
      </c>
      <c r="H480" s="7"/>
      <c r="I480" s="7">
        <v>349476</v>
      </c>
      <c r="J480" s="244"/>
      <c r="K480" s="7">
        <f t="shared" ref="K480" si="224">SUM(E480:I480)</f>
        <v>3489279</v>
      </c>
      <c r="L480" s="6"/>
      <c r="M480" s="438">
        <f t="shared" ref="M480" si="225">+(K480-K479)/K479</f>
        <v>2.5857296960735609E-4</v>
      </c>
      <c r="N480" s="29"/>
      <c r="O480" s="29"/>
      <c r="P480" s="29"/>
      <c r="Q480" s="332">
        <f t="shared" ref="Q480" si="226">+K480-K479</f>
        <v>902</v>
      </c>
      <c r="R480" s="6"/>
      <c r="S480" s="7">
        <f>53692+26467+8279</f>
        <v>88438</v>
      </c>
      <c r="T480" s="6"/>
      <c r="U480" s="243">
        <f t="shared" ref="U480" si="227">+S480/K480</f>
        <v>2.5345637307879365E-2</v>
      </c>
      <c r="W480">
        <f t="shared" si="215"/>
        <v>470</v>
      </c>
      <c r="Y480" s="56"/>
    </row>
    <row r="481" spans="3:25" x14ac:dyDescent="0.3">
      <c r="C481" s="157">
        <f t="shared" si="75"/>
        <v>44380</v>
      </c>
      <c r="E481" s="241">
        <v>2116166</v>
      </c>
      <c r="F481" s="7"/>
      <c r="G481" s="7">
        <v>1024113</v>
      </c>
      <c r="H481" s="7"/>
      <c r="I481" s="7">
        <v>349476</v>
      </c>
      <c r="J481" s="244"/>
      <c r="K481" s="7">
        <f t="shared" ref="K481" si="228">SUM(E481:I481)</f>
        <v>3489755</v>
      </c>
      <c r="L481" s="6"/>
      <c r="M481" s="438">
        <f t="shared" ref="M481" si="229">+(K481-K480)/K480</f>
        <v>1.3641786741616248E-4</v>
      </c>
      <c r="N481" s="29"/>
      <c r="O481" s="29"/>
      <c r="P481" s="29"/>
      <c r="Q481" s="332">
        <f t="shared" ref="Q481" si="230">+K481-K480</f>
        <v>476</v>
      </c>
      <c r="R481" s="6"/>
      <c r="S481" s="7">
        <f>53692+26472+8279</f>
        <v>88443</v>
      </c>
      <c r="T481" s="6"/>
      <c r="U481" s="243">
        <f t="shared" ref="U481" si="231">+S481/K481</f>
        <v>2.5343612947040694E-2</v>
      </c>
      <c r="W481">
        <f t="shared" si="215"/>
        <v>471</v>
      </c>
      <c r="Y481" s="56"/>
    </row>
    <row r="482" spans="3:25" x14ac:dyDescent="0.3">
      <c r="C482" s="157">
        <f t="shared" si="75"/>
        <v>44381</v>
      </c>
      <c r="E482" s="241">
        <v>2116516</v>
      </c>
      <c r="F482" s="7"/>
      <c r="G482" s="7">
        <v>1024225</v>
      </c>
      <c r="H482" s="7"/>
      <c r="I482" s="7">
        <v>349476</v>
      </c>
      <c r="J482" s="244"/>
      <c r="K482" s="7">
        <f t="shared" ref="K482" si="232">SUM(E482:I482)</f>
        <v>3490217</v>
      </c>
      <c r="L482" s="6"/>
      <c r="M482" s="438">
        <f t="shared" ref="M482" si="233">+(K482-K481)/K481</f>
        <v>1.3238751717527448E-4</v>
      </c>
      <c r="N482" s="29"/>
      <c r="O482" s="29"/>
      <c r="P482" s="29"/>
      <c r="Q482" s="332">
        <f t="shared" ref="Q482" si="234">+K482-K481</f>
        <v>462</v>
      </c>
      <c r="R482" s="6"/>
      <c r="S482" s="7">
        <f>53701+26473+8279</f>
        <v>88453</v>
      </c>
      <c r="T482" s="6"/>
      <c r="U482" s="243">
        <f t="shared" ref="U482" si="235">+S482/K482</f>
        <v>2.5343123364535786E-2</v>
      </c>
      <c r="W482">
        <f t="shared" si="215"/>
        <v>472</v>
      </c>
      <c r="Y482" s="56"/>
    </row>
    <row r="483" spans="3:25" x14ac:dyDescent="0.3">
      <c r="C483" s="157">
        <f t="shared" si="75"/>
        <v>44382</v>
      </c>
      <c r="E483" s="241">
        <v>2116888</v>
      </c>
      <c r="F483" s="7"/>
      <c r="G483" s="7">
        <v>1024311</v>
      </c>
      <c r="H483" s="7"/>
      <c r="I483" s="7">
        <v>349476</v>
      </c>
      <c r="J483" s="244"/>
      <c r="K483" s="7">
        <f t="shared" ref="K483" si="236">SUM(E483:I483)</f>
        <v>3490675</v>
      </c>
      <c r="L483" s="6"/>
      <c r="M483" s="438">
        <f t="shared" ref="M483" si="237">+(K483-K482)/K482</f>
        <v>1.3122393249474174E-4</v>
      </c>
      <c r="N483" s="29"/>
      <c r="O483" s="29"/>
      <c r="P483" s="29"/>
      <c r="Q483" s="332">
        <f t="shared" ref="Q483" si="238">+K483-K482</f>
        <v>458</v>
      </c>
      <c r="R483" s="6"/>
      <c r="S483" s="7">
        <f>53705+26477+8279</f>
        <v>88461</v>
      </c>
      <c r="T483" s="6"/>
      <c r="U483" s="243">
        <f t="shared" ref="U483" si="239">+S483/K483</f>
        <v>2.5342089996920367E-2</v>
      </c>
      <c r="W483">
        <f t="shared" si="215"/>
        <v>473</v>
      </c>
      <c r="Y483" s="56"/>
    </row>
    <row r="484" spans="3:25" x14ac:dyDescent="0.3">
      <c r="C484" s="157">
        <f t="shared" si="75"/>
        <v>44383</v>
      </c>
      <c r="E484" s="241">
        <v>2117186</v>
      </c>
      <c r="F484" s="7"/>
      <c r="G484" s="7">
        <v>1024465</v>
      </c>
      <c r="H484" s="7"/>
      <c r="I484" s="7">
        <v>349651</v>
      </c>
      <c r="J484" s="244"/>
      <c r="K484" s="7">
        <f t="shared" ref="K484" si="240">SUM(E484:I484)</f>
        <v>3491302</v>
      </c>
      <c r="L484" s="6"/>
      <c r="M484" s="438">
        <f t="shared" ref="M484" si="241">+(K484-K483)/K483</f>
        <v>1.7962141992594556E-4</v>
      </c>
      <c r="N484" s="29"/>
      <c r="O484" s="29"/>
      <c r="P484" s="29"/>
      <c r="Q484" s="332">
        <f t="shared" ref="Q484" si="242">+K484-K483</f>
        <v>627</v>
      </c>
      <c r="R484" s="6"/>
      <c r="S484" s="7">
        <f>53711+26477+8279</f>
        <v>88467</v>
      </c>
      <c r="T484" s="6"/>
      <c r="U484" s="243">
        <f t="shared" ref="U484" si="243">+S484/K484</f>
        <v>2.5339257388790771E-2</v>
      </c>
      <c r="W484">
        <f t="shared" si="215"/>
        <v>474</v>
      </c>
      <c r="Y484" s="56"/>
    </row>
    <row r="485" spans="3:25" x14ac:dyDescent="0.3">
      <c r="C485" s="157">
        <f t="shared" si="75"/>
        <v>44384</v>
      </c>
      <c r="E485" s="241">
        <v>2117549</v>
      </c>
      <c r="F485" s="7"/>
      <c r="G485" s="7">
        <v>1024748</v>
      </c>
      <c r="H485" s="7"/>
      <c r="I485" s="7">
        <v>349743</v>
      </c>
      <c r="J485" s="244"/>
      <c r="K485" s="7">
        <f t="shared" ref="K485" si="244">SUM(E485:I485)</f>
        <v>3492040</v>
      </c>
      <c r="L485" s="6"/>
      <c r="M485" s="438">
        <f t="shared" ref="M485" si="245">+(K485-K484)/K484</f>
        <v>2.1138245846391977E-4</v>
      </c>
      <c r="N485" s="29"/>
      <c r="O485" s="29"/>
      <c r="P485" s="29"/>
      <c r="Q485" s="332">
        <f t="shared" ref="Q485" si="246">+K485-K484</f>
        <v>738</v>
      </c>
      <c r="R485" s="6"/>
      <c r="S485" s="7">
        <f>53717+26490+8278</f>
        <v>88485</v>
      </c>
      <c r="T485" s="6"/>
      <c r="U485" s="243">
        <f t="shared" ref="U485" si="247">+S485/K485</f>
        <v>2.5339056826382288E-2</v>
      </c>
      <c r="W485">
        <f t="shared" si="215"/>
        <v>475</v>
      </c>
      <c r="Y485" s="56"/>
    </row>
    <row r="486" spans="3:25" x14ac:dyDescent="0.3">
      <c r="C486" s="157">
        <f t="shared" si="75"/>
        <v>44385</v>
      </c>
      <c r="E486" s="241">
        <v>2118216</v>
      </c>
      <c r="F486" s="7"/>
      <c r="G486" s="7">
        <v>1025079</v>
      </c>
      <c r="H486" s="7"/>
      <c r="I486" s="7">
        <v>349798</v>
      </c>
      <c r="J486" s="244"/>
      <c r="K486" s="7">
        <f t="shared" ref="K486" si="248">SUM(E486:I486)</f>
        <v>3493093</v>
      </c>
      <c r="L486" s="6"/>
      <c r="M486" s="438">
        <f t="shared" ref="M486" si="249">+(K486-K485)/K485</f>
        <v>3.0154293765248964E-4</v>
      </c>
      <c r="N486" s="29"/>
      <c r="O486" s="29"/>
      <c r="P486" s="29"/>
      <c r="Q486" s="332">
        <f t="shared" ref="Q486" si="250">+K486-K485</f>
        <v>1053</v>
      </c>
      <c r="R486" s="6"/>
      <c r="S486" s="7">
        <f>53721+26493+8279</f>
        <v>88493</v>
      </c>
      <c r="T486" s="6"/>
      <c r="U486" s="243">
        <f t="shared" ref="U486" si="251">+S486/K486</f>
        <v>2.5333708549987073E-2</v>
      </c>
      <c r="W486">
        <f t="shared" si="215"/>
        <v>476</v>
      </c>
      <c r="Y486" s="56"/>
    </row>
    <row r="487" spans="3:25" x14ac:dyDescent="0.3">
      <c r="C487" s="157">
        <f t="shared" si="75"/>
        <v>44386</v>
      </c>
      <c r="E487" s="241">
        <v>2118960</v>
      </c>
      <c r="F487" s="7"/>
      <c r="G487" s="7">
        <v>1025477</v>
      </c>
      <c r="H487" s="7"/>
      <c r="I487" s="7">
        <v>349969</v>
      </c>
      <c r="J487" s="244"/>
      <c r="K487" s="7">
        <f t="shared" ref="K487" si="252">SUM(E487:I487)</f>
        <v>3494406</v>
      </c>
      <c r="L487" s="6"/>
      <c r="M487" s="438">
        <f t="shared" ref="M487" si="253">+(K487-K486)/K486</f>
        <v>3.7588463862828729E-4</v>
      </c>
      <c r="N487" s="29"/>
      <c r="O487" s="29"/>
      <c r="P487" s="29"/>
      <c r="Q487" s="332">
        <f t="shared" ref="Q487" si="254">+K487-K486</f>
        <v>1313</v>
      </c>
      <c r="R487" s="6"/>
      <c r="S487" s="7">
        <f>53726+26496+8279</f>
        <v>88501</v>
      </c>
      <c r="T487" s="6"/>
      <c r="U487" s="243">
        <f t="shared" ref="U487" si="255">+S487/K487</f>
        <v>2.5326478949498139E-2</v>
      </c>
      <c r="W487">
        <f t="shared" si="215"/>
        <v>477</v>
      </c>
      <c r="Y487" s="56"/>
    </row>
    <row r="488" spans="3:25" x14ac:dyDescent="0.3">
      <c r="C488" s="157">
        <f t="shared" si="75"/>
        <v>44387</v>
      </c>
      <c r="E488" s="241">
        <v>2119692</v>
      </c>
      <c r="F488" s="7"/>
      <c r="G488" s="7">
        <v>1025888</v>
      </c>
      <c r="H488" s="7"/>
      <c r="I488" s="7">
        <v>349969</v>
      </c>
      <c r="J488" s="244"/>
      <c r="K488" s="7">
        <f t="shared" ref="K488" si="256">SUM(E488:I488)</f>
        <v>3495549</v>
      </c>
      <c r="L488" s="6"/>
      <c r="M488" s="438">
        <f t="shared" ref="M488" si="257">+(K488-K487)/K487</f>
        <v>3.2709421858822358E-4</v>
      </c>
      <c r="N488" s="29"/>
      <c r="O488" s="29"/>
      <c r="P488" s="29"/>
      <c r="Q488" s="332">
        <f t="shared" ref="Q488" si="258">+K488-K487</f>
        <v>1143</v>
      </c>
      <c r="R488" s="6"/>
      <c r="S488" s="7">
        <f>53733+26501+8279</f>
        <v>88513</v>
      </c>
      <c r="T488" s="6"/>
      <c r="U488" s="243">
        <f t="shared" ref="U488" si="259">+S488/K488</f>
        <v>2.5321630450610189E-2</v>
      </c>
      <c r="W488">
        <f t="shared" si="215"/>
        <v>478</v>
      </c>
      <c r="Y488" s="56"/>
    </row>
    <row r="489" spans="3:25" x14ac:dyDescent="0.3">
      <c r="C489" s="157">
        <f t="shared" si="75"/>
        <v>44388</v>
      </c>
      <c r="E489" s="241">
        <v>2120486</v>
      </c>
      <c r="F489" s="7"/>
      <c r="G489" s="7">
        <v>1026071</v>
      </c>
      <c r="H489" s="7"/>
      <c r="I489" s="7">
        <v>349969</v>
      </c>
      <c r="J489" s="244"/>
      <c r="K489" s="7">
        <f t="shared" ref="K489" si="260">SUM(E489:I489)</f>
        <v>3496526</v>
      </c>
      <c r="L489" s="6"/>
      <c r="M489" s="438">
        <f t="shared" ref="M489" si="261">+(K489-K488)/K488</f>
        <v>2.7949829912268429E-4</v>
      </c>
      <c r="N489" s="29"/>
      <c r="O489" s="29"/>
      <c r="P489" s="29"/>
      <c r="Q489" s="332">
        <f t="shared" ref="Q489" si="262">+K489-K488</f>
        <v>977</v>
      </c>
      <c r="R489" s="6"/>
      <c r="S489" s="7">
        <f>53735+26505+8279</f>
        <v>88519</v>
      </c>
      <c r="T489" s="6"/>
      <c r="U489" s="243">
        <f t="shared" ref="U489" si="263">+S489/K489</f>
        <v>2.531627106447943E-2</v>
      </c>
      <c r="W489">
        <f t="shared" si="215"/>
        <v>479</v>
      </c>
      <c r="Y489" s="56"/>
    </row>
    <row r="490" spans="3:25" x14ac:dyDescent="0.3">
      <c r="C490" s="157">
        <f t="shared" si="75"/>
        <v>44389</v>
      </c>
      <c r="E490" s="241">
        <v>2121119</v>
      </c>
      <c r="F490" s="7"/>
      <c r="G490" s="7">
        <v>1026286</v>
      </c>
      <c r="H490" s="7"/>
      <c r="I490" s="7">
        <v>350039</v>
      </c>
      <c r="J490" s="244"/>
      <c r="K490" s="7">
        <f t="shared" ref="K490" si="264">SUM(E490:I490)</f>
        <v>3497444</v>
      </c>
      <c r="L490" s="6"/>
      <c r="M490" s="438">
        <f t="shared" ref="M490" si="265">+(K490-K489)/K489</f>
        <v>2.6254631025194724E-4</v>
      </c>
      <c r="N490" s="29"/>
      <c r="O490" s="29"/>
      <c r="P490" s="29"/>
      <c r="Q490" s="332">
        <f t="shared" ref="Q490" si="266">+K490-K489</f>
        <v>918</v>
      </c>
      <c r="R490" s="6"/>
      <c r="S490" s="7">
        <f>53737+26509+8279</f>
        <v>88525</v>
      </c>
      <c r="T490" s="6"/>
      <c r="U490" s="243">
        <f t="shared" ref="U490" si="267">+S490/K490</f>
        <v>2.531134165407652E-2</v>
      </c>
      <c r="W490">
        <f t="shared" si="215"/>
        <v>480</v>
      </c>
      <c r="Y490" s="56"/>
    </row>
    <row r="491" spans="3:25" x14ac:dyDescent="0.3">
      <c r="C491" s="157">
        <f t="shared" si="75"/>
        <v>44390</v>
      </c>
      <c r="E491" s="241">
        <v>2121761</v>
      </c>
      <c r="F491" s="7"/>
      <c r="G491" s="7">
        <v>1026649</v>
      </c>
      <c r="H491" s="7"/>
      <c r="I491" s="7">
        <v>350245</v>
      </c>
      <c r="J491" s="244"/>
      <c r="K491" s="7">
        <f t="shared" ref="K491" si="268">SUM(E491:I491)</f>
        <v>3498655</v>
      </c>
      <c r="L491" s="6"/>
      <c r="M491" s="438">
        <f t="shared" ref="M491" si="269">+(K491-K490)/K490</f>
        <v>3.4625286351975903E-4</v>
      </c>
      <c r="N491" s="29"/>
      <c r="O491" s="29"/>
      <c r="P491" s="29"/>
      <c r="Q491" s="332">
        <f t="shared" ref="Q491" si="270">+K491-K490</f>
        <v>1211</v>
      </c>
      <c r="R491" s="6"/>
      <c r="S491" s="7">
        <f>53743+26516+8279</f>
        <v>88538</v>
      </c>
      <c r="T491" s="6"/>
      <c r="U491" s="243">
        <f t="shared" ref="U491" si="271">+S491/K491</f>
        <v>2.5306296276712052E-2</v>
      </c>
      <c r="W491">
        <f t="shared" si="215"/>
        <v>481</v>
      </c>
      <c r="Y491" s="56"/>
    </row>
    <row r="492" spans="3:25" x14ac:dyDescent="0.3">
      <c r="C492" s="157">
        <f t="shared" si="75"/>
        <v>44391</v>
      </c>
      <c r="E492" s="241">
        <v>2122502</v>
      </c>
      <c r="F492" s="7"/>
      <c r="G492" s="7">
        <v>1027014</v>
      </c>
      <c r="H492" s="7"/>
      <c r="I492" s="7">
        <v>350386</v>
      </c>
      <c r="J492" s="244"/>
      <c r="K492" s="7">
        <f t="shared" ref="K492" si="272">SUM(E492:I492)</f>
        <v>3499902</v>
      </c>
      <c r="L492" s="6"/>
      <c r="M492" s="438">
        <f t="shared" ref="M492" si="273">+(K492-K491)/K491</f>
        <v>3.5642268243081982E-4</v>
      </c>
      <c r="N492" s="29"/>
      <c r="O492" s="29"/>
      <c r="P492" s="29"/>
      <c r="Q492" s="332">
        <f t="shared" ref="Q492" si="274">+K492-K491</f>
        <v>1247</v>
      </c>
      <c r="R492" s="6"/>
      <c r="S492" s="7">
        <f>53754+26527+8279</f>
        <v>88560</v>
      </c>
      <c r="T492" s="6"/>
      <c r="U492" s="243">
        <f t="shared" ref="U492" si="275">+S492/K492</f>
        <v>2.5303565642695137E-2</v>
      </c>
      <c r="W492">
        <f t="shared" si="215"/>
        <v>482</v>
      </c>
      <c r="Y492" s="56"/>
    </row>
    <row r="493" spans="3:25" x14ac:dyDescent="0.3">
      <c r="C493" s="157">
        <f t="shared" si="75"/>
        <v>44392</v>
      </c>
      <c r="E493" s="241">
        <v>2123452</v>
      </c>
      <c r="F493" s="7"/>
      <c r="G493" s="7">
        <v>1027460</v>
      </c>
      <c r="H493" s="7"/>
      <c r="I493" s="7">
        <v>350536</v>
      </c>
      <c r="J493" s="244"/>
      <c r="K493" s="7">
        <f t="shared" ref="K493" si="276">SUM(E493:I493)</f>
        <v>3501448</v>
      </c>
      <c r="L493" s="6"/>
      <c r="M493" s="438">
        <f t="shared" ref="M493" si="277">+(K493-K492)/K492</f>
        <v>4.4172665406059939E-4</v>
      </c>
      <c r="N493" s="29"/>
      <c r="O493" s="29"/>
      <c r="P493" s="29"/>
      <c r="Q493" s="332">
        <f t="shared" ref="Q493" si="278">+K493-K492</f>
        <v>1546</v>
      </c>
      <c r="R493" s="6"/>
      <c r="S493" s="7">
        <f>53759+26529+8282</f>
        <v>88570</v>
      </c>
      <c r="T493" s="6"/>
      <c r="U493" s="243">
        <f t="shared" ref="U493" si="279">+S493/K493</f>
        <v>2.529524927972656E-2</v>
      </c>
      <c r="W493">
        <f t="shared" si="215"/>
        <v>483</v>
      </c>
      <c r="Y493" s="56"/>
    </row>
    <row r="494" spans="3:25" x14ac:dyDescent="0.3">
      <c r="C494" s="157">
        <f t="shared" si="75"/>
        <v>44393</v>
      </c>
      <c r="E494" s="241">
        <v>2124168</v>
      </c>
      <c r="F494" s="7"/>
      <c r="G494" s="7">
        <v>1027954</v>
      </c>
      <c r="H494" s="7"/>
      <c r="I494" s="7">
        <v>350675</v>
      </c>
      <c r="J494" s="244"/>
      <c r="K494" s="7">
        <f t="shared" ref="K494" si="280">SUM(E494:I494)</f>
        <v>3502797</v>
      </c>
      <c r="L494" s="6"/>
      <c r="M494" s="438">
        <f t="shared" ref="M494" si="281">+(K494-K493)/K493</f>
        <v>3.8526918006493311E-4</v>
      </c>
      <c r="N494" s="29"/>
      <c r="O494" s="29"/>
      <c r="P494" s="29"/>
      <c r="Q494" s="332">
        <f t="shared" ref="Q494" si="282">+K494-K493</f>
        <v>1349</v>
      </c>
      <c r="R494" s="6"/>
      <c r="S494" s="7">
        <f>53760+26531+8282</f>
        <v>88573</v>
      </c>
      <c r="T494" s="6"/>
      <c r="U494" s="243">
        <f t="shared" ref="U494" si="283">+S494/K494</f>
        <v>2.5286364011388614E-2</v>
      </c>
      <c r="W494">
        <f t="shared" si="215"/>
        <v>484</v>
      </c>
      <c r="Y494" s="56"/>
    </row>
    <row r="495" spans="3:25" x14ac:dyDescent="0.3">
      <c r="C495" s="157">
        <f t="shared" si="75"/>
        <v>44394</v>
      </c>
      <c r="E495" s="241">
        <v>2125535</v>
      </c>
      <c r="F495" s="7"/>
      <c r="G495" s="7">
        <v>1028503</v>
      </c>
      <c r="H495" s="7"/>
      <c r="I495" s="7">
        <v>350675</v>
      </c>
      <c r="J495" s="244"/>
      <c r="K495" s="7">
        <f t="shared" ref="K495" si="284">SUM(E495:I495)</f>
        <v>3504713</v>
      </c>
      <c r="L495" s="6"/>
      <c r="M495" s="438">
        <f t="shared" ref="M495" si="285">+(K495-K494)/K494</f>
        <v>5.4699144712068665E-4</v>
      </c>
      <c r="N495" s="29"/>
      <c r="O495" s="29"/>
      <c r="P495" s="29"/>
      <c r="Q495" s="332">
        <f t="shared" ref="Q495" si="286">+K495-K494</f>
        <v>1916</v>
      </c>
      <c r="R495" s="6"/>
      <c r="S495" s="7">
        <f>53765+26536+8282</f>
        <v>88583</v>
      </c>
      <c r="T495" s="6"/>
      <c r="U495" s="243">
        <f t="shared" ref="U495" si="287">+S495/K495</f>
        <v>2.5275393448764564E-2</v>
      </c>
      <c r="W495">
        <f t="shared" si="215"/>
        <v>485</v>
      </c>
      <c r="Y495" s="56"/>
    </row>
    <row r="496" spans="3:25" x14ac:dyDescent="0.3">
      <c r="C496" s="157">
        <f t="shared" si="75"/>
        <v>44395</v>
      </c>
      <c r="E496" s="241">
        <v>2126680</v>
      </c>
      <c r="F496" s="7"/>
      <c r="G496" s="7">
        <v>1028931</v>
      </c>
      <c r="H496" s="7"/>
      <c r="I496" s="7">
        <v>350675</v>
      </c>
      <c r="J496" s="244"/>
      <c r="K496" s="7">
        <f t="shared" ref="K496" si="288">SUM(E496:I496)</f>
        <v>3506286</v>
      </c>
      <c r="L496" s="6"/>
      <c r="M496" s="438">
        <f t="shared" ref="M496" si="289">+(K496-K495)/K495</f>
        <v>4.488241975876484E-4</v>
      </c>
      <c r="N496" s="29"/>
      <c r="O496" s="29"/>
      <c r="P496" s="29"/>
      <c r="Q496" s="332">
        <f t="shared" ref="Q496" si="290">+K496-K495</f>
        <v>1573</v>
      </c>
      <c r="R496" s="6"/>
      <c r="S496" s="7">
        <f>53775+8282+26539</f>
        <v>88596</v>
      </c>
      <c r="T496" s="6"/>
      <c r="U496" s="243">
        <f t="shared" ref="U496" si="291">+S496/K496</f>
        <v>2.5267761956668681E-2</v>
      </c>
      <c r="W496">
        <f t="shared" si="215"/>
        <v>486</v>
      </c>
      <c r="Y496" s="56"/>
    </row>
    <row r="497" spans="3:25" x14ac:dyDescent="0.3">
      <c r="C497" s="157">
        <f t="shared" si="75"/>
        <v>44396</v>
      </c>
      <c r="E497" s="241">
        <v>2127592</v>
      </c>
      <c r="F497" s="7"/>
      <c r="G497" s="7">
        <v>1029243</v>
      </c>
      <c r="H497" s="7"/>
      <c r="I497" s="7">
        <v>351084</v>
      </c>
      <c r="J497" s="244"/>
      <c r="K497" s="7">
        <f t="shared" ref="K497" si="292">SUM(E497:I497)</f>
        <v>3507919</v>
      </c>
      <c r="L497" s="6"/>
      <c r="M497" s="438">
        <f t="shared" ref="M497" si="293">+(K497-K496)/K496</f>
        <v>4.6573496856788067E-4</v>
      </c>
      <c r="N497" s="29"/>
      <c r="O497" s="29"/>
      <c r="P497" s="29"/>
      <c r="Q497" s="332">
        <f t="shared" ref="Q497" si="294">+K497-K496</f>
        <v>1633</v>
      </c>
      <c r="R497" s="6"/>
      <c r="S497" s="7">
        <f>53780+26545+8282</f>
        <v>88607</v>
      </c>
      <c r="T497" s="6"/>
      <c r="U497" s="243">
        <f t="shared" ref="U497" si="295">+S497/K497</f>
        <v>2.5259135116859881E-2</v>
      </c>
      <c r="W497">
        <f t="shared" si="215"/>
        <v>487</v>
      </c>
      <c r="Y497" s="56"/>
    </row>
    <row r="498" spans="3:25" x14ac:dyDescent="0.3">
      <c r="C498" s="157">
        <f t="shared" si="75"/>
        <v>44397</v>
      </c>
      <c r="E498" s="241">
        <v>2128710</v>
      </c>
      <c r="F498" s="7"/>
      <c r="G498" s="7">
        <v>1029901</v>
      </c>
      <c r="H498" s="7"/>
      <c r="I498" s="7">
        <v>351302</v>
      </c>
      <c r="J498" s="244"/>
      <c r="K498" s="7">
        <f t="shared" ref="K498" si="296">SUM(E498:I498)</f>
        <v>3509913</v>
      </c>
      <c r="L498" s="6"/>
      <c r="M498" s="438">
        <f t="shared" ref="M498" si="297">+(K498-K497)/K497</f>
        <v>5.6842817636325131E-4</v>
      </c>
      <c r="N498" s="29"/>
      <c r="O498" s="29"/>
      <c r="P498" s="29"/>
      <c r="Q498" s="332">
        <f t="shared" ref="Q498" si="298">+K498-K497</f>
        <v>1994</v>
      </c>
      <c r="R498" s="6"/>
      <c r="S498" s="7">
        <f>53784+26557+8282</f>
        <v>88623</v>
      </c>
      <c r="T498" s="6"/>
      <c r="U498" s="243">
        <f t="shared" ref="U498" si="299">+S498/K498</f>
        <v>2.52493437871537E-2</v>
      </c>
      <c r="W498">
        <f t="shared" si="215"/>
        <v>488</v>
      </c>
      <c r="Y498" s="56"/>
    </row>
    <row r="499" spans="3:25" x14ac:dyDescent="0.3">
      <c r="C499" s="157">
        <f t="shared" si="75"/>
        <v>44398</v>
      </c>
      <c r="E499" s="241">
        <v>2129897</v>
      </c>
      <c r="F499" s="7"/>
      <c r="G499" s="7">
        <v>1030600</v>
      </c>
      <c r="H499" s="7"/>
      <c r="I499" s="7">
        <v>351530</v>
      </c>
      <c r="J499" s="244"/>
      <c r="K499" s="7">
        <f t="shared" ref="K499" si="300">SUM(E499:I499)</f>
        <v>3512027</v>
      </c>
      <c r="L499" s="6"/>
      <c r="M499" s="438">
        <f t="shared" ref="M499" si="301">+(K499-K498)/K498</f>
        <v>6.0229413093714856E-4</v>
      </c>
      <c r="N499" s="29"/>
      <c r="O499" s="29"/>
      <c r="P499" s="29"/>
      <c r="Q499" s="332">
        <f t="shared" ref="Q499" si="302">+K499-K498</f>
        <v>2114</v>
      </c>
      <c r="R499" s="6"/>
      <c r="S499" s="7">
        <f>53791+26562+8282</f>
        <v>88635</v>
      </c>
      <c r="T499" s="6"/>
      <c r="U499" s="243">
        <f t="shared" ref="U499" si="303">+S499/K499</f>
        <v>2.5237562239698044E-2</v>
      </c>
      <c r="W499">
        <f t="shared" si="215"/>
        <v>489</v>
      </c>
      <c r="Y499" s="56"/>
    </row>
    <row r="500" spans="3:25" x14ac:dyDescent="0.3">
      <c r="C500" s="157">
        <f t="shared" si="75"/>
        <v>44399</v>
      </c>
      <c r="E500" s="241">
        <v>2131535</v>
      </c>
      <c r="F500" s="7"/>
      <c r="G500" s="7">
        <v>1031346</v>
      </c>
      <c r="H500" s="7"/>
      <c r="I500" s="7">
        <v>351825</v>
      </c>
      <c r="J500" s="244"/>
      <c r="K500" s="7">
        <f t="shared" ref="K500" si="304">SUM(E500:I500)</f>
        <v>3514706</v>
      </c>
      <c r="L500" s="6"/>
      <c r="M500" s="438">
        <f t="shared" ref="M500" si="305">+(K500-K499)/K499</f>
        <v>7.6280734743781864E-4</v>
      </c>
      <c r="N500" s="29"/>
      <c r="O500" s="29"/>
      <c r="P500" s="29"/>
      <c r="Q500" s="332">
        <f t="shared" ref="Q500" si="306">+K500-K499</f>
        <v>2679</v>
      </c>
      <c r="R500" s="6"/>
      <c r="S500" s="7">
        <f>53798+26564+8286</f>
        <v>88648</v>
      </c>
      <c r="T500" s="6"/>
      <c r="U500" s="243">
        <f t="shared" ref="U500" si="307">+S500/K500</f>
        <v>2.5222024260350653E-2</v>
      </c>
      <c r="W500">
        <f t="shared" si="215"/>
        <v>490</v>
      </c>
      <c r="Y500" s="56"/>
    </row>
    <row r="501" spans="3:25" x14ac:dyDescent="0.3">
      <c r="C501" s="157">
        <f t="shared" si="75"/>
        <v>44400</v>
      </c>
      <c r="E501" s="241">
        <v>2133264</v>
      </c>
      <c r="F501" s="7"/>
      <c r="G501" s="7">
        <v>1032256</v>
      </c>
      <c r="H501" s="7"/>
      <c r="I501" s="7">
        <v>352037</v>
      </c>
      <c r="J501" s="244"/>
      <c r="K501" s="7">
        <f t="shared" ref="K501" si="308">SUM(E501:I501)</f>
        <v>3517557</v>
      </c>
      <c r="L501" s="6"/>
      <c r="M501" s="438">
        <f t="shared" ref="M501" si="309">+(K501-K500)/K500</f>
        <v>8.1116315276441326E-4</v>
      </c>
      <c r="N501" s="29"/>
      <c r="O501" s="29"/>
      <c r="P501" s="29"/>
      <c r="Q501" s="332">
        <f t="shared" ref="Q501" si="310">+K501-K500</f>
        <v>2851</v>
      </c>
      <c r="R501" s="6"/>
      <c r="S501" s="7">
        <f>53801+26568+8286</f>
        <v>88655</v>
      </c>
      <c r="T501" s="6"/>
      <c r="U501" s="243">
        <f t="shared" ref="U501" si="311">+S501/K501</f>
        <v>2.5203571683415506E-2</v>
      </c>
      <c r="W501">
        <f t="shared" si="215"/>
        <v>491</v>
      </c>
      <c r="Y501" s="56"/>
    </row>
    <row r="502" spans="3:25" x14ac:dyDescent="0.3">
      <c r="C502" s="157">
        <f t="shared" si="75"/>
        <v>44401</v>
      </c>
      <c r="E502" s="241">
        <v>2135161</v>
      </c>
      <c r="F502" s="7"/>
      <c r="G502" s="7">
        <v>1033116</v>
      </c>
      <c r="H502" s="7"/>
      <c r="I502" s="7">
        <v>352037</v>
      </c>
      <c r="J502" s="244"/>
      <c r="K502" s="7">
        <f t="shared" ref="K502" si="312">SUM(E502:I502)</f>
        <v>3520314</v>
      </c>
      <c r="L502" s="6"/>
      <c r="M502" s="438">
        <f t="shared" ref="M502" si="313">+(K502-K501)/K501</f>
        <v>7.837826082135982E-4</v>
      </c>
      <c r="N502" s="29"/>
      <c r="O502" s="29"/>
      <c r="P502" s="29"/>
      <c r="Q502" s="332">
        <f t="shared" ref="Q502" si="314">+K502-K501</f>
        <v>2757</v>
      </c>
      <c r="R502" s="6"/>
      <c r="S502" s="7">
        <f>53804+26573+8286</f>
        <v>88663</v>
      </c>
      <c r="T502" s="6"/>
      <c r="U502" s="243">
        <f t="shared" ref="U502" si="315">+S502/K502</f>
        <v>2.5186105557629235E-2</v>
      </c>
      <c r="W502">
        <f t="shared" si="215"/>
        <v>492</v>
      </c>
      <c r="Y502" s="56"/>
    </row>
    <row r="503" spans="3:25" x14ac:dyDescent="0.3">
      <c r="C503" s="157">
        <f t="shared" si="75"/>
        <v>44402</v>
      </c>
      <c r="E503" s="241">
        <v>2136032</v>
      </c>
      <c r="F503" s="7"/>
      <c r="G503" s="7">
        <v>1033712</v>
      </c>
      <c r="H503" s="7"/>
      <c r="I503" s="7">
        <v>352037</v>
      </c>
      <c r="J503" s="244"/>
      <c r="K503" s="7">
        <f t="shared" ref="K503" si="316">SUM(E503:I503)</f>
        <v>3521781</v>
      </c>
      <c r="L503" s="6"/>
      <c r="M503" s="438">
        <f t="shared" ref="M503" si="317">+(K503-K502)/K502</f>
        <v>4.1672418994441972E-4</v>
      </c>
      <c r="N503" s="29"/>
      <c r="O503" s="29"/>
      <c r="P503" s="29"/>
      <c r="Q503" s="332">
        <f t="shared" ref="Q503" si="318">+K503-K502</f>
        <v>1467</v>
      </c>
      <c r="R503" s="6"/>
      <c r="S503" s="7">
        <f>53813+26575+8286</f>
        <v>88674</v>
      </c>
      <c r="T503" s="6"/>
      <c r="U503" s="243">
        <f t="shared" ref="U503" si="319">+S503/K503</f>
        <v>2.5178737689822279E-2</v>
      </c>
      <c r="W503">
        <f t="shared" si="215"/>
        <v>493</v>
      </c>
      <c r="Y503" s="56"/>
    </row>
    <row r="504" spans="3:25" x14ac:dyDescent="0.3">
      <c r="C504" s="157">
        <f t="shared" si="75"/>
        <v>44403</v>
      </c>
      <c r="E504" s="241">
        <v>2138643</v>
      </c>
      <c r="F504" s="7"/>
      <c r="G504" s="7">
        <v>1034233</v>
      </c>
      <c r="H504" s="7"/>
      <c r="I504" s="7">
        <v>352626</v>
      </c>
      <c r="J504" s="244"/>
      <c r="K504" s="7">
        <f t="shared" ref="K504" si="320">SUM(E504:I504)</f>
        <v>3525502</v>
      </c>
      <c r="L504" s="6"/>
      <c r="M504" s="438">
        <f t="shared" ref="M504" si="321">+(K504-K503)/K503</f>
        <v>1.0565676854977638E-3</v>
      </c>
      <c r="N504" s="29"/>
      <c r="O504" s="29"/>
      <c r="P504" s="29"/>
      <c r="Q504" s="332">
        <f t="shared" ref="Q504" si="322">+K504-K503</f>
        <v>3721</v>
      </c>
      <c r="R504" s="6"/>
      <c r="S504" s="7">
        <f>53610+26579+8288</f>
        <v>88477</v>
      </c>
      <c r="T504" s="6"/>
      <c r="U504" s="243">
        <f t="shared" ref="U504" si="323">+S504/K504</f>
        <v>2.5096284160383401E-2</v>
      </c>
      <c r="W504">
        <f t="shared" si="215"/>
        <v>494</v>
      </c>
      <c r="Y504" s="56"/>
    </row>
    <row r="505" spans="3:25" x14ac:dyDescent="0.3">
      <c r="C505" s="157">
        <f t="shared" si="75"/>
        <v>44404</v>
      </c>
      <c r="E505" s="241">
        <v>2140258</v>
      </c>
      <c r="F505" s="7"/>
      <c r="G505" s="7">
        <v>1035027</v>
      </c>
      <c r="H505" s="7"/>
      <c r="I505" s="7">
        <v>353114</v>
      </c>
      <c r="J505" s="244"/>
      <c r="K505" s="7">
        <f t="shared" ref="K505" si="324">SUM(E505:I505)</f>
        <v>3528399</v>
      </c>
      <c r="L505" s="6"/>
      <c r="M505" s="438">
        <f t="shared" ref="M505" si="325">+(K505-K504)/K504</f>
        <v>8.2172694838919395E-4</v>
      </c>
      <c r="N505" s="29"/>
      <c r="O505" s="29"/>
      <c r="P505" s="29"/>
      <c r="Q505" s="332">
        <f t="shared" ref="Q505" si="326">+K505-K504</f>
        <v>2897</v>
      </c>
      <c r="R505" s="6"/>
      <c r="S505" s="7">
        <f>53611+26586+8288</f>
        <v>88485</v>
      </c>
      <c r="T505" s="6"/>
      <c r="U505" s="243">
        <f t="shared" ref="U505" si="327">+S505/K505</f>
        <v>2.5077946116638168E-2</v>
      </c>
      <c r="W505">
        <f t="shared" si="215"/>
        <v>495</v>
      </c>
      <c r="Y505" s="56"/>
    </row>
    <row r="506" spans="3:25" x14ac:dyDescent="0.3">
      <c r="C506" s="157">
        <f t="shared" si="75"/>
        <v>44405</v>
      </c>
      <c r="E506" s="241">
        <v>2142132</v>
      </c>
      <c r="F506" s="7"/>
      <c r="G506" s="7">
        <v>1035975</v>
      </c>
      <c r="H506" s="7"/>
      <c r="I506" s="7">
        <v>353505</v>
      </c>
      <c r="J506" s="244"/>
      <c r="K506" s="7">
        <f t="shared" ref="K506" si="328">SUM(E506:I506)</f>
        <v>3531612</v>
      </c>
      <c r="L506" s="6"/>
      <c r="M506" s="438">
        <f t="shared" ref="M506" si="329">+(K506-K505)/K505</f>
        <v>9.1061129991250995E-4</v>
      </c>
      <c r="N506" s="29"/>
      <c r="O506" s="29"/>
      <c r="P506" s="29"/>
      <c r="Q506" s="332">
        <f t="shared" ref="Q506" si="330">+K506-K505</f>
        <v>3213</v>
      </c>
      <c r="R506" s="6"/>
      <c r="S506" s="7">
        <f>53623+26589+8288</f>
        <v>88500</v>
      </c>
      <c r="T506" s="6"/>
      <c r="U506" s="243">
        <f t="shared" ref="U506" si="331">+S506/K506</f>
        <v>2.5059377983764921E-2</v>
      </c>
      <c r="W506">
        <f t="shared" si="215"/>
        <v>496</v>
      </c>
      <c r="Y506" s="56"/>
    </row>
    <row r="507" spans="3:25" x14ac:dyDescent="0.3">
      <c r="C507" s="157">
        <f t="shared" si="75"/>
        <v>44406</v>
      </c>
      <c r="E507" s="241">
        <v>2144741</v>
      </c>
      <c r="F507" s="7"/>
      <c r="G507" s="7">
        <v>1037052</v>
      </c>
      <c r="H507" s="7"/>
      <c r="I507" s="7">
        <v>353844</v>
      </c>
      <c r="J507" s="244"/>
      <c r="K507" s="7">
        <f t="shared" ref="K507" si="332">SUM(E507:I507)</f>
        <v>3535637</v>
      </c>
      <c r="L507" s="6"/>
      <c r="M507" s="438">
        <f t="shared" ref="M507" si="333">+(K507-K506)/K506</f>
        <v>1.1397061738378962E-3</v>
      </c>
      <c r="N507" s="29"/>
      <c r="O507" s="29"/>
      <c r="P507" s="29"/>
      <c r="Q507" s="332">
        <f t="shared" ref="Q507" si="334">+K507-K506</f>
        <v>4025</v>
      </c>
      <c r="R507" s="6"/>
      <c r="S507" s="7">
        <f>53625+26590+8293</f>
        <v>88508</v>
      </c>
      <c r="T507" s="6"/>
      <c r="U507" s="243">
        <f t="shared" ref="U507" si="335">+S507/K507</f>
        <v>2.5033112845012088E-2</v>
      </c>
      <c r="W507">
        <f t="shared" si="215"/>
        <v>497</v>
      </c>
      <c r="Y507" s="56"/>
    </row>
    <row r="508" spans="3:25" x14ac:dyDescent="0.3">
      <c r="C508" s="157">
        <f t="shared" ref="C508:C514" si="336">+C507+1</f>
        <v>44407</v>
      </c>
      <c r="E508" s="241">
        <v>2147318</v>
      </c>
      <c r="F508" s="7"/>
      <c r="G508" s="7">
        <v>1038171</v>
      </c>
      <c r="H508" s="7"/>
      <c r="I508" s="7">
        <v>354335</v>
      </c>
      <c r="J508" s="244"/>
      <c r="K508" s="7">
        <f t="shared" ref="K508" si="337">SUM(E508:I508)</f>
        <v>3539824</v>
      </c>
      <c r="L508" s="6"/>
      <c r="M508" s="438">
        <f t="shared" ref="M508" si="338">+(K508-K507)/K507</f>
        <v>1.1842279057493741E-3</v>
      </c>
      <c r="N508" s="29"/>
      <c r="O508" s="29"/>
      <c r="P508" s="29"/>
      <c r="Q508" s="332">
        <f t="shared" ref="Q508" si="339">+K508-K507</f>
        <v>4187</v>
      </c>
      <c r="R508" s="6"/>
      <c r="S508" s="7">
        <f>53632+26595+8293</f>
        <v>88520</v>
      </c>
      <c r="T508" s="6"/>
      <c r="U508" s="243">
        <f t="shared" ref="U508" si="340">+S508/K508</f>
        <v>2.5006892998069959E-2</v>
      </c>
      <c r="W508">
        <f t="shared" si="215"/>
        <v>498</v>
      </c>
      <c r="Y508" s="56"/>
    </row>
    <row r="509" spans="3:25" x14ac:dyDescent="0.3">
      <c r="C509" s="157">
        <f t="shared" si="336"/>
        <v>44408</v>
      </c>
      <c r="E509" s="241">
        <v>2150390</v>
      </c>
      <c r="F509" s="7"/>
      <c r="G509" s="7">
        <v>1039353</v>
      </c>
      <c r="H509" s="7"/>
      <c r="I509" s="7">
        <v>354335</v>
      </c>
      <c r="J509" s="244"/>
      <c r="K509" s="7">
        <f t="shared" ref="K509" si="341">SUM(E509:I509)</f>
        <v>3544078</v>
      </c>
      <c r="L509" s="6"/>
      <c r="M509" s="438">
        <f t="shared" ref="M509" si="342">+(K509-K508)/K508</f>
        <v>1.2017546635086941E-3</v>
      </c>
      <c r="N509" s="29"/>
      <c r="O509" s="29"/>
      <c r="P509" s="29"/>
      <c r="Q509" s="332">
        <f t="shared" ref="Q509" si="343">+K509-K508</f>
        <v>4254</v>
      </c>
      <c r="R509" s="6"/>
      <c r="S509" s="7">
        <f>53641+26602+8293</f>
        <v>88536</v>
      </c>
      <c r="T509" s="6"/>
      <c r="U509" s="243">
        <f t="shared" ref="U509" si="344">+S509/K509</f>
        <v>2.498139149307662E-2</v>
      </c>
      <c r="W509">
        <f t="shared" si="215"/>
        <v>499</v>
      </c>
      <c r="Y509" s="56"/>
    </row>
    <row r="510" spans="3:25" x14ac:dyDescent="0.3">
      <c r="C510" s="157">
        <f t="shared" si="336"/>
        <v>44409</v>
      </c>
      <c r="E510" s="241">
        <v>2152964</v>
      </c>
      <c r="F510" s="7"/>
      <c r="G510" s="7">
        <v>1040281</v>
      </c>
      <c r="H510" s="7"/>
      <c r="I510" s="7">
        <v>354335</v>
      </c>
      <c r="J510" s="244"/>
      <c r="K510" s="7">
        <f t="shared" ref="K510" si="345">SUM(E510:I510)</f>
        <v>3547580</v>
      </c>
      <c r="L510" s="6"/>
      <c r="M510" s="438">
        <f t="shared" ref="M510" si="346">+(K510-K509)/K509</f>
        <v>9.8812723647730095E-4</v>
      </c>
      <c r="N510" s="29"/>
      <c r="O510" s="29"/>
      <c r="P510" s="29"/>
      <c r="Q510" s="332">
        <f t="shared" ref="Q510" si="347">+K510-K509</f>
        <v>3502</v>
      </c>
      <c r="R510" s="6"/>
      <c r="S510" s="7">
        <f>53650+26607+8293</f>
        <v>88550</v>
      </c>
      <c r="T510" s="6"/>
      <c r="U510" s="243">
        <f t="shared" ref="U510" si="348">+S510/K510</f>
        <v>2.4960677419536698E-2</v>
      </c>
      <c r="W510">
        <f t="shared" si="215"/>
        <v>500</v>
      </c>
      <c r="Y510" s="56"/>
    </row>
    <row r="511" spans="3:25" x14ac:dyDescent="0.3">
      <c r="C511" s="157">
        <f t="shared" si="336"/>
        <v>44410</v>
      </c>
      <c r="E511" s="241"/>
      <c r="F511" s="7"/>
      <c r="G511" s="7"/>
      <c r="H511" s="7"/>
      <c r="I511" s="7"/>
      <c r="J511" s="244"/>
      <c r="K511" s="7"/>
      <c r="L511" s="6"/>
      <c r="M511" s="438"/>
      <c r="N511" s="29"/>
      <c r="O511" s="29"/>
      <c r="P511" s="29"/>
      <c r="Q511" s="332"/>
      <c r="R511" s="6"/>
      <c r="S511" s="7"/>
      <c r="T511" s="6"/>
      <c r="U511" s="243"/>
      <c r="Y511" s="56"/>
    </row>
    <row r="512" spans="3:25" x14ac:dyDescent="0.3">
      <c r="C512" s="157">
        <f t="shared" si="336"/>
        <v>44411</v>
      </c>
      <c r="E512" s="241"/>
      <c r="F512" s="7"/>
      <c r="G512" s="7"/>
      <c r="H512" s="7"/>
      <c r="I512" s="7"/>
      <c r="J512" s="244"/>
      <c r="K512" s="7"/>
      <c r="L512" s="6"/>
      <c r="M512" s="438"/>
      <c r="N512" s="29"/>
      <c r="O512" s="29"/>
      <c r="P512" s="29"/>
      <c r="Q512" s="332"/>
      <c r="R512" s="6"/>
      <c r="S512" s="7"/>
      <c r="T512" s="6"/>
      <c r="U512" s="243"/>
      <c r="Y512" s="56"/>
    </row>
    <row r="513" spans="3:41" x14ac:dyDescent="0.3">
      <c r="C513" s="157">
        <f t="shared" si="336"/>
        <v>44412</v>
      </c>
      <c r="E513" s="241"/>
      <c r="F513" s="7"/>
      <c r="G513" s="7"/>
      <c r="H513" s="7"/>
      <c r="I513" s="7"/>
      <c r="J513" s="244"/>
      <c r="K513" s="7"/>
      <c r="L513" s="6"/>
      <c r="M513" s="438"/>
      <c r="N513" s="29"/>
      <c r="O513" s="29"/>
      <c r="P513" s="29"/>
      <c r="Q513" s="332"/>
      <c r="R513" s="6"/>
      <c r="S513" s="7"/>
      <c r="T513" s="6"/>
      <c r="U513" s="243"/>
      <c r="Y513" s="56"/>
    </row>
    <row r="514" spans="3:41" ht="15" thickBot="1" x14ac:dyDescent="0.35">
      <c r="C514" s="157">
        <f t="shared" si="336"/>
        <v>44413</v>
      </c>
      <c r="E514" s="245"/>
      <c r="F514" s="246"/>
      <c r="G514" s="246"/>
      <c r="H514" s="246"/>
      <c r="I514" s="246"/>
      <c r="J514" s="246"/>
      <c r="K514" s="246"/>
      <c r="L514" s="247"/>
      <c r="M514" s="248"/>
      <c r="N514" s="248"/>
      <c r="O514" s="248"/>
      <c r="P514" s="248"/>
      <c r="Q514" s="331"/>
      <c r="R514" s="247"/>
      <c r="S514" s="247"/>
      <c r="T514" s="247"/>
      <c r="U514" s="249"/>
      <c r="W514">
        <f>+W405+1</f>
        <v>396</v>
      </c>
      <c r="Y514" s="59"/>
    </row>
    <row r="515" spans="3:41" x14ac:dyDescent="0.3">
      <c r="E515" s="56"/>
      <c r="F515" s="1"/>
      <c r="G515" s="56"/>
      <c r="H515" s="56"/>
      <c r="I515" s="56"/>
      <c r="J515" s="1"/>
      <c r="K515" s="56"/>
      <c r="S515" s="56"/>
    </row>
    <row r="516" spans="3:41" x14ac:dyDescent="0.3">
      <c r="C516" s="166" t="s">
        <v>73</v>
      </c>
      <c r="E516" s="56">
        <f>+E510</f>
        <v>2152964</v>
      </c>
      <c r="F516" s="56"/>
      <c r="G516" s="56">
        <f t="shared" ref="G516:U516" si="349">+G510</f>
        <v>1040281</v>
      </c>
      <c r="H516" s="56">
        <f t="shared" si="349"/>
        <v>0</v>
      </c>
      <c r="I516" s="56">
        <f t="shared" si="349"/>
        <v>354335</v>
      </c>
      <c r="J516" s="56">
        <f t="shared" si="349"/>
        <v>0</v>
      </c>
      <c r="K516" s="56">
        <f t="shared" si="349"/>
        <v>3547580</v>
      </c>
      <c r="L516" s="56">
        <f t="shared" si="349"/>
        <v>0</v>
      </c>
      <c r="M516" s="56">
        <f t="shared" si="349"/>
        <v>9.8812723647730095E-4</v>
      </c>
      <c r="N516" s="56">
        <f t="shared" si="349"/>
        <v>0</v>
      </c>
      <c r="O516" s="56">
        <f t="shared" si="349"/>
        <v>0</v>
      </c>
      <c r="P516" s="56">
        <f t="shared" si="349"/>
        <v>0</v>
      </c>
      <c r="Q516" s="56">
        <f t="shared" si="349"/>
        <v>3502</v>
      </c>
      <c r="R516" s="56">
        <f t="shared" si="349"/>
        <v>0</v>
      </c>
      <c r="S516" s="56">
        <f t="shared" si="349"/>
        <v>88550</v>
      </c>
      <c r="T516" s="56">
        <f t="shared" si="349"/>
        <v>0</v>
      </c>
      <c r="U516" s="56">
        <f t="shared" si="349"/>
        <v>2.4960677419536698E-2</v>
      </c>
      <c r="V516" s="56">
        <f>+V259</f>
        <v>0</v>
      </c>
    </row>
    <row r="517" spans="3:41" x14ac:dyDescent="0.3">
      <c r="E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</row>
    <row r="518" spans="3:41" x14ac:dyDescent="0.3">
      <c r="E518" s="59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</row>
    <row r="519" spans="3:41" x14ac:dyDescent="0.3">
      <c r="C519" s="111"/>
      <c r="D519" s="112"/>
      <c r="E519" s="349"/>
      <c r="F519" s="10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</row>
    <row r="520" spans="3:41" x14ac:dyDescent="0.3">
      <c r="E520" s="56"/>
      <c r="K520" s="56"/>
      <c r="Q520" s="56"/>
    </row>
    <row r="521" spans="3:41" x14ac:dyDescent="0.3">
      <c r="D521" s="549" t="s">
        <v>26</v>
      </c>
      <c r="E521" t="s">
        <v>158</v>
      </c>
      <c r="K521" s="549"/>
      <c r="Q521" s="56"/>
      <c r="S521" s="59"/>
    </row>
    <row r="523" spans="3:41" x14ac:dyDescent="0.3">
      <c r="U523" s="549"/>
    </row>
    <row r="524" spans="3:41" x14ac:dyDescent="0.3">
      <c r="AO524" s="1">
        <v>3797000</v>
      </c>
    </row>
    <row r="525" spans="3:41" x14ac:dyDescent="0.3">
      <c r="C525" s="1"/>
    </row>
    <row r="526" spans="3:41" x14ac:dyDescent="0.3">
      <c r="C526" s="1"/>
      <c r="AO526" s="1">
        <v>30000</v>
      </c>
    </row>
    <row r="527" spans="3:41" x14ac:dyDescent="0.3">
      <c r="C527" s="59"/>
    </row>
    <row r="528" spans="3:41" x14ac:dyDescent="0.3">
      <c r="AO528" s="235">
        <f>+AO526/AO524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505"/>
  <sheetViews>
    <sheetView topLeftCell="A444" workbookViewId="0">
      <selection activeCell="U464" sqref="U464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707" t="s">
        <v>101</v>
      </c>
      <c r="U3" s="708"/>
      <c r="V3" s="708"/>
      <c r="W3" s="708"/>
      <c r="X3" s="708"/>
      <c r="Y3" s="708"/>
      <c r="Z3" s="708"/>
      <c r="AA3" s="708"/>
      <c r="AB3" s="708"/>
      <c r="AC3" s="708"/>
      <c r="AD3" s="709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1.3275473988705436E-2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710" t="s">
        <v>91</v>
      </c>
      <c r="F15" s="710"/>
      <c r="G15" s="710"/>
      <c r="H15" s="710"/>
      <c r="I15" s="710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716" t="s">
        <v>44</v>
      </c>
      <c r="E18" s="717"/>
      <c r="F18" s="717"/>
      <c r="G18" s="717"/>
      <c r="H18" s="717"/>
      <c r="I18" s="717"/>
      <c r="J18" s="717"/>
      <c r="K18" s="717"/>
      <c r="L18" s="717"/>
      <c r="M18" s="717"/>
      <c r="N18" s="717"/>
      <c r="O18" s="718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719" t="s">
        <v>67</v>
      </c>
      <c r="F19" s="719"/>
      <c r="G19" s="719"/>
      <c r="H19" s="719"/>
      <c r="I19" s="134" t="s">
        <v>66</v>
      </c>
      <c r="J19" s="135"/>
      <c r="K19" s="724" t="s">
        <v>64</v>
      </c>
      <c r="L19" s="724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Table'!H501</f>
        <v>34687900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Table'!AA516</f>
        <v>612932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11513</v>
      </c>
      <c r="J22" s="116"/>
      <c r="K22" s="127"/>
      <c r="L22" s="238">
        <v>11516</v>
      </c>
      <c r="M22" s="127"/>
      <c r="N22" s="147">
        <f>+(I22-L22)/I22</f>
        <v>-2.6057500217145836E-4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34063455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Table'!AP516</f>
        <v>29673290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720" t="s">
        <v>47</v>
      </c>
      <c r="E25" s="721"/>
      <c r="F25" s="721"/>
      <c r="G25" s="721"/>
      <c r="H25" s="721"/>
      <c r="I25" s="119">
        <f>+I23-I24</f>
        <v>4390165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29673290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720" t="s">
        <v>44</v>
      </c>
      <c r="E27" s="721"/>
      <c r="F27" s="721"/>
      <c r="G27" s="721"/>
      <c r="H27" s="721"/>
      <c r="I27" s="136">
        <f>+I25+I26</f>
        <v>34063455</v>
      </c>
      <c r="J27" s="116"/>
      <c r="K27" s="725">
        <v>34026737</v>
      </c>
      <c r="L27" s="725"/>
      <c r="M27" s="127"/>
      <c r="N27" s="137">
        <f>+I27-K27</f>
        <v>36718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722" t="s">
        <v>61</v>
      </c>
      <c r="F28" s="722"/>
      <c r="G28" s="722"/>
      <c r="H28" s="124"/>
      <c r="I28" s="232">
        <f>+I27/I32</f>
        <v>0.96928340571300187</v>
      </c>
      <c r="J28" s="127"/>
      <c r="K28" s="127"/>
      <c r="L28" s="127"/>
      <c r="M28" s="98"/>
      <c r="N28" s="463">
        <f>+N27/K27</f>
        <v>1.0790925970950431E-3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701" t="s">
        <v>101</v>
      </c>
      <c r="F31" s="702"/>
      <c r="G31" s="702"/>
      <c r="H31" s="702"/>
      <c r="I31" s="702"/>
      <c r="J31" s="703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696">
        <f>+'Main Table'!H516</f>
        <v>35142926</v>
      </c>
      <c r="J32" s="696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697">
        <f>+I27</f>
        <v>34063455</v>
      </c>
      <c r="J34" s="698"/>
      <c r="K34" s="22"/>
      <c r="L34" s="25">
        <f>+I34/$I$32</f>
        <v>0.96928340571300187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704">
        <f>+I21</f>
        <v>612932</v>
      </c>
      <c r="J35" s="705"/>
      <c r="K35" s="22"/>
      <c r="L35" s="25">
        <f>+I35/$I$32</f>
        <v>1.7441120298292749E-2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723" t="s">
        <v>101</v>
      </c>
      <c r="F36" s="723"/>
      <c r="G36" s="723"/>
      <c r="H36" s="233"/>
      <c r="I36" s="699">
        <f>+I32-I34-I35</f>
        <v>466539</v>
      </c>
      <c r="J36" s="700"/>
      <c r="K36" s="259"/>
      <c r="L36" s="234">
        <f>+I36/$I$32</f>
        <v>1.3275473988705436E-2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711" t="s">
        <v>114</v>
      </c>
      <c r="E41" s="712"/>
      <c r="F41" s="712"/>
      <c r="G41" s="712"/>
      <c r="H41" s="712"/>
      <c r="I41" s="712"/>
      <c r="J41" s="712"/>
      <c r="K41" s="712"/>
      <c r="L41" s="712"/>
      <c r="M41" s="712"/>
      <c r="N41" s="712"/>
      <c r="O41" s="713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714" t="s">
        <v>67</v>
      </c>
      <c r="F42" s="714"/>
      <c r="G42" s="714"/>
      <c r="H42" s="714"/>
      <c r="I42" s="260" t="s">
        <v>66</v>
      </c>
      <c r="J42" s="261"/>
      <c r="K42" s="715" t="s">
        <v>35</v>
      </c>
      <c r="L42" s="715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Table'!AP534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80" t="s">
        <v>47</v>
      </c>
      <c r="E48" s="681"/>
      <c r="F48" s="681"/>
      <c r="G48" s="681"/>
      <c r="H48" s="681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80" t="s">
        <v>44</v>
      </c>
      <c r="E50" s="681"/>
      <c r="F50" s="681"/>
      <c r="G50" s="681"/>
      <c r="H50" s="681"/>
      <c r="I50" s="340">
        <f>+I48+I49</f>
        <v>22172</v>
      </c>
      <c r="J50" s="336"/>
      <c r="K50" s="682">
        <v>30167</v>
      </c>
      <c r="L50" s="682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683" t="s">
        <v>61</v>
      </c>
      <c r="F51" s="683"/>
      <c r="G51" s="683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84" t="s">
        <v>115</v>
      </c>
      <c r="F54" s="685"/>
      <c r="G54" s="685"/>
      <c r="H54" s="685"/>
      <c r="I54" s="685"/>
      <c r="J54" s="686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687">
        <f>+K50</f>
        <v>30167</v>
      </c>
      <c r="J55" s="687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688">
        <f>+I50</f>
        <v>22172</v>
      </c>
      <c r="J57" s="689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690">
        <f>+I44</f>
        <v>1836</v>
      </c>
      <c r="J58" s="691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692" t="s">
        <v>101</v>
      </c>
      <c r="F59" s="692"/>
      <c r="G59" s="692"/>
      <c r="H59" s="267"/>
      <c r="I59" s="693">
        <f>+I55-I57-I58</f>
        <v>6159</v>
      </c>
      <c r="J59" s="694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695">
        <f>+I45</f>
        <v>1397</v>
      </c>
      <c r="J60" s="695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693">
        <f>+I59-I60</f>
        <v>4762</v>
      </c>
      <c r="J61" s="693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84" t="s">
        <v>104</v>
      </c>
      <c r="F64" s="685"/>
      <c r="G64" s="685"/>
      <c r="H64" s="685"/>
      <c r="I64" s="685"/>
      <c r="J64" s="685"/>
      <c r="K64" s="685"/>
      <c r="L64" s="685"/>
      <c r="M64" s="686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79">
        <v>11690000</v>
      </c>
      <c r="J65" s="679"/>
      <c r="K65" s="679"/>
      <c r="L65" s="679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706" t="s">
        <v>95</v>
      </c>
      <c r="G67" s="706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654" t="s">
        <v>118</v>
      </c>
      <c r="E72" s="655"/>
      <c r="F72" s="655"/>
      <c r="G72" s="655"/>
      <c r="H72" s="655"/>
      <c r="I72" s="655"/>
      <c r="J72" s="655"/>
      <c r="K72" s="655"/>
      <c r="L72" s="655"/>
      <c r="M72" s="655"/>
      <c r="N72" s="655"/>
      <c r="O72" s="656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657" t="s">
        <v>67</v>
      </c>
      <c r="F73" s="657"/>
      <c r="G73" s="657"/>
      <c r="H73" s="657"/>
      <c r="I73" s="355" t="s">
        <v>66</v>
      </c>
      <c r="J73" s="356"/>
      <c r="K73" s="658" t="s">
        <v>35</v>
      </c>
      <c r="L73" s="658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Table'!AP575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659" t="s">
        <v>47</v>
      </c>
      <c r="E79" s="660"/>
      <c r="F79" s="660"/>
      <c r="G79" s="660"/>
      <c r="H79" s="660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659" t="s">
        <v>44</v>
      </c>
      <c r="E81" s="660"/>
      <c r="F81" s="660"/>
      <c r="G81" s="660"/>
      <c r="H81" s="660"/>
      <c r="I81" s="370">
        <f>+I79+I80</f>
        <v>36684</v>
      </c>
      <c r="J81" s="363"/>
      <c r="K81" s="662">
        <v>48675</v>
      </c>
      <c r="L81" s="662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661" t="s">
        <v>61</v>
      </c>
      <c r="F82" s="661"/>
      <c r="G82" s="661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1.3275473988705436E-2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1.3275473988705436E-2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1.3275473988705436E-2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1.3275473988705436E-2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469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3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3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3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3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3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3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3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3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3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" si="22">+W394-W395</f>
        <v>5415</v>
      </c>
      <c r="AB395" s="6"/>
      <c r="AC395" s="258"/>
      <c r="AD395" s="251"/>
    </row>
    <row r="396" spans="15:30" x14ac:dyDescent="0.3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ref="AA396" si="23">+W395-W396</f>
        <v>-4902</v>
      </c>
      <c r="AB396" s="6"/>
      <c r="AC396" s="258"/>
      <c r="AD396" s="251"/>
    </row>
    <row r="397" spans="15:30" x14ac:dyDescent="0.3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ref="AA397" si="24">+W396-W397</f>
        <v>1651</v>
      </c>
      <c r="AB397" s="6"/>
      <c r="AC397" s="258"/>
      <c r="AD397" s="251"/>
    </row>
    <row r="398" spans="15:30" x14ac:dyDescent="0.3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ref="AA398" si="25">+W397-W398</f>
        <v>3270</v>
      </c>
      <c r="AB398" s="6"/>
      <c r="AC398" s="258"/>
      <c r="AD398" s="251"/>
    </row>
    <row r="399" spans="15:30" x14ac:dyDescent="0.3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ref="AA399" si="26">+W398-W399</f>
        <v>5765</v>
      </c>
      <c r="AB399" s="6"/>
      <c r="AC399" s="258"/>
      <c r="AD399" s="251"/>
    </row>
    <row r="400" spans="15:30" x14ac:dyDescent="0.3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ref="AA400" si="27">+W399-W400</f>
        <v>17880</v>
      </c>
      <c r="AB400" s="6"/>
      <c r="AC400" s="258"/>
      <c r="AD400" s="251"/>
    </row>
    <row r="401" spans="15:30" x14ac:dyDescent="0.3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ref="AA401" si="28">+W400-W401</f>
        <v>21325</v>
      </c>
      <c r="AB401" s="6"/>
      <c r="AC401" s="258"/>
      <c r="AD401" s="251"/>
    </row>
    <row r="402" spans="15:30" x14ac:dyDescent="0.3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ref="AA402" si="29">+W401-W402</f>
        <v>14411</v>
      </c>
      <c r="AB402" s="6"/>
      <c r="AC402" s="258"/>
      <c r="AD402" s="251"/>
    </row>
    <row r="403" spans="15:30" x14ac:dyDescent="0.3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ref="AA403" si="30">+W402-W403</f>
        <v>741</v>
      </c>
      <c r="AB403" s="6"/>
      <c r="AC403" s="258"/>
      <c r="AD403" s="251"/>
    </row>
    <row r="404" spans="15:30" x14ac:dyDescent="0.3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ref="AA404" si="31">+W403-W404</f>
        <v>3504</v>
      </c>
      <c r="AB404" s="6"/>
      <c r="AC404" s="258"/>
      <c r="AD404" s="251"/>
    </row>
    <row r="405" spans="15:30" x14ac:dyDescent="0.3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ref="AA405" si="32">+W404-W405</f>
        <v>4951</v>
      </c>
      <c r="AB405" s="6"/>
      <c r="AC405" s="258"/>
      <c r="AD405" s="251"/>
    </row>
    <row r="406" spans="15:30" x14ac:dyDescent="0.3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ref="AA406" si="33">+W405-W406</f>
        <v>6751</v>
      </c>
      <c r="AB406" s="6"/>
      <c r="AC406" s="258"/>
      <c r="AD406" s="251"/>
    </row>
    <row r="407" spans="15:30" x14ac:dyDescent="0.3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ref="AA407" si="34">+W406-W407</f>
        <v>13026</v>
      </c>
      <c r="AB407" s="6"/>
      <c r="AC407" s="258"/>
      <c r="AD407" s="251"/>
    </row>
    <row r="408" spans="15:30" x14ac:dyDescent="0.3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ref="AA408" si="35">+W407-W408</f>
        <v>16513</v>
      </c>
      <c r="AB408" s="6"/>
      <c r="AC408" s="258"/>
      <c r="AD408" s="251"/>
    </row>
    <row r="409" spans="15:30" x14ac:dyDescent="0.3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ref="AA409" si="36">+W408-W409</f>
        <v>479</v>
      </c>
      <c r="AB409" s="6"/>
      <c r="AC409" s="258"/>
      <c r="AD409" s="251"/>
    </row>
    <row r="410" spans="15:30" x14ac:dyDescent="0.3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ref="AA410" si="37">+W409-W410</f>
        <v>-5740</v>
      </c>
      <c r="AB410" s="6"/>
      <c r="AC410" s="258"/>
      <c r="AD410" s="251"/>
    </row>
    <row r="411" spans="15:30" x14ac:dyDescent="0.3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ref="AA411" si="38">+W410-W411</f>
        <v>-8915</v>
      </c>
      <c r="AB411" s="6"/>
      <c r="AC411" s="258"/>
      <c r="AD411" s="251"/>
    </row>
    <row r="412" spans="15:30" x14ac:dyDescent="0.3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ref="AA412" si="39">+W411-W412</f>
        <v>-3788</v>
      </c>
      <c r="AB412" s="6"/>
      <c r="AC412" s="258"/>
      <c r="AD412" s="251"/>
    </row>
    <row r="413" spans="15:30" x14ac:dyDescent="0.3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ref="AA413" si="40">+W412-W413</f>
        <v>987</v>
      </c>
      <c r="AB413" s="6"/>
      <c r="AC413" s="258"/>
      <c r="AD413" s="251"/>
    </row>
    <row r="414" spans="15:30" x14ac:dyDescent="0.3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ref="AA414" si="41">+W413-W414</f>
        <v>8776</v>
      </c>
      <c r="AB414" s="6"/>
      <c r="AC414" s="258"/>
      <c r="AD414" s="251"/>
    </row>
    <row r="415" spans="15:30" x14ac:dyDescent="0.3">
      <c r="O415" s="98"/>
      <c r="T415" s="250"/>
      <c r="U415" s="573">
        <f t="shared" si="21"/>
        <v>44360</v>
      </c>
      <c r="V415" s="6"/>
      <c r="W415" s="253">
        <v>110250</v>
      </c>
      <c r="X415" s="6"/>
      <c r="Y415" s="44">
        <v>3.0000000000000001E-3</v>
      </c>
      <c r="Z415" s="6"/>
      <c r="AA415" s="254">
        <f t="shared" ref="AA415" si="42">+W414-W415</f>
        <v>11591</v>
      </c>
      <c r="AB415" s="6"/>
      <c r="AC415" s="258"/>
      <c r="AD415" s="251"/>
    </row>
    <row r="416" spans="15:30" x14ac:dyDescent="0.3">
      <c r="O416" s="98"/>
      <c r="T416" s="250"/>
      <c r="U416" s="252">
        <f t="shared" si="21"/>
        <v>44361</v>
      </c>
      <c r="V416" s="6"/>
      <c r="W416" s="253">
        <v>109979</v>
      </c>
      <c r="X416" s="6"/>
      <c r="Y416" s="44">
        <v>3.0000000000000001E-3</v>
      </c>
      <c r="Z416" s="6"/>
      <c r="AA416" s="254">
        <f t="shared" ref="AA416" si="43">+W415-W416</f>
        <v>271</v>
      </c>
      <c r="AB416" s="6"/>
      <c r="AC416" s="258"/>
      <c r="AD416" s="251"/>
    </row>
    <row r="417" spans="15:31" x14ac:dyDescent="0.3">
      <c r="O417" s="98"/>
      <c r="T417" s="250"/>
      <c r="U417" s="252">
        <f t="shared" si="21"/>
        <v>44362</v>
      </c>
      <c r="V417" s="6"/>
      <c r="W417" s="253">
        <v>116096</v>
      </c>
      <c r="X417" s="6"/>
      <c r="Y417" s="44">
        <v>3.0000000000000001E-3</v>
      </c>
      <c r="Z417" s="6"/>
      <c r="AA417" s="254">
        <f t="shared" ref="AA417" si="44">+W416-W417</f>
        <v>-6117</v>
      </c>
      <c r="AB417" s="6"/>
      <c r="AC417" s="258"/>
      <c r="AD417" s="251"/>
    </row>
    <row r="418" spans="15:31" x14ac:dyDescent="0.3">
      <c r="O418" s="98"/>
      <c r="T418" s="250"/>
      <c r="U418" s="252">
        <f t="shared" si="21"/>
        <v>44363</v>
      </c>
      <c r="V418" s="6"/>
      <c r="W418" s="253">
        <v>117816</v>
      </c>
      <c r="X418" s="6"/>
      <c r="Y418" s="44">
        <v>3.0000000000000001E-3</v>
      </c>
      <c r="Z418" s="6"/>
      <c r="AA418" s="254">
        <f t="shared" ref="AA418" si="45">+W417-W418</f>
        <v>-1720</v>
      </c>
      <c r="AB418" s="6"/>
      <c r="AC418" s="258"/>
      <c r="AD418" s="251"/>
    </row>
    <row r="419" spans="15:31" x14ac:dyDescent="0.3">
      <c r="O419" s="98"/>
      <c r="T419" s="250"/>
      <c r="U419" s="252">
        <f t="shared" si="21"/>
        <v>44364</v>
      </c>
      <c r="V419" s="6"/>
      <c r="W419" s="253">
        <v>117972</v>
      </c>
      <c r="X419" s="6"/>
      <c r="Y419" s="44">
        <v>3.0000000000000001E-3</v>
      </c>
      <c r="Z419" s="6"/>
      <c r="AA419" s="254">
        <f t="shared" ref="AA419" si="46">+W418-W419</f>
        <v>-156</v>
      </c>
      <c r="AB419" s="6"/>
      <c r="AC419" s="258"/>
      <c r="AD419" s="251"/>
    </row>
    <row r="420" spans="15:31" x14ac:dyDescent="0.3">
      <c r="O420" s="98"/>
      <c r="T420" s="250"/>
      <c r="U420" s="252">
        <f t="shared" si="21"/>
        <v>44365</v>
      </c>
      <c r="V420" s="6"/>
      <c r="W420" s="253">
        <v>117067</v>
      </c>
      <c r="X420" s="6"/>
      <c r="Y420" s="44">
        <v>3.0000000000000001E-3</v>
      </c>
      <c r="Z420" s="6"/>
      <c r="AA420" s="254">
        <f t="shared" ref="AA420" si="47">+W419-W420</f>
        <v>905</v>
      </c>
      <c r="AB420" s="6"/>
      <c r="AC420" s="258"/>
      <c r="AD420" s="251"/>
    </row>
    <row r="421" spans="15:31" x14ac:dyDescent="0.3">
      <c r="O421" s="98"/>
      <c r="T421" s="250"/>
      <c r="U421" s="252">
        <f t="shared" si="21"/>
        <v>44366</v>
      </c>
      <c r="V421" s="6"/>
      <c r="W421" s="253">
        <v>107919</v>
      </c>
      <c r="X421" s="6"/>
      <c r="Y421" s="44">
        <v>3.0000000000000001E-3</v>
      </c>
      <c r="Z421" s="6"/>
      <c r="AA421" s="254">
        <f t="shared" ref="AA421" si="48">+W420-W421</f>
        <v>9148</v>
      </c>
      <c r="AB421" s="6"/>
      <c r="AC421" s="258"/>
      <c r="AD421" s="251"/>
    </row>
    <row r="422" spans="15:31" x14ac:dyDescent="0.3">
      <c r="O422" s="98"/>
      <c r="T422" s="250"/>
      <c r="U422" s="573">
        <f t="shared" si="21"/>
        <v>44367</v>
      </c>
      <c r="V422" s="6"/>
      <c r="W422" s="253">
        <v>96161</v>
      </c>
      <c r="X422" s="6"/>
      <c r="Y422" s="44">
        <v>3.0000000000000001E-3</v>
      </c>
      <c r="Z422" s="6"/>
      <c r="AA422" s="254">
        <f t="shared" ref="AA422" si="49">+W421-W422</f>
        <v>11758</v>
      </c>
      <c r="AB422" s="6"/>
      <c r="AC422" s="258"/>
      <c r="AD422" s="251"/>
    </row>
    <row r="423" spans="15:31" x14ac:dyDescent="0.3">
      <c r="O423" s="98"/>
      <c r="T423" s="250"/>
      <c r="U423" s="252">
        <f t="shared" si="21"/>
        <v>44368</v>
      </c>
      <c r="V423" s="6"/>
      <c r="W423" s="253">
        <v>96472</v>
      </c>
      <c r="X423" s="6"/>
      <c r="Y423" s="44">
        <v>3.0000000000000001E-3</v>
      </c>
      <c r="Z423" s="6"/>
      <c r="AA423" s="254">
        <f t="shared" ref="AA423" si="50">+W422-W423</f>
        <v>-311</v>
      </c>
      <c r="AB423" s="6"/>
      <c r="AC423" s="258"/>
      <c r="AD423" s="251"/>
    </row>
    <row r="424" spans="15:31" x14ac:dyDescent="0.3">
      <c r="O424" s="98"/>
      <c r="T424" s="250"/>
      <c r="U424" s="252">
        <f t="shared" si="21"/>
        <v>44369</v>
      </c>
      <c r="V424" s="6"/>
      <c r="W424" s="253">
        <v>104035</v>
      </c>
      <c r="X424" s="6"/>
      <c r="Y424" s="44">
        <v>3.0000000000000001E-3</v>
      </c>
      <c r="Z424" s="6"/>
      <c r="AA424" s="254">
        <f t="shared" ref="AA424" si="51">+W423-W424</f>
        <v>-7563</v>
      </c>
      <c r="AB424" s="6"/>
      <c r="AC424" s="258"/>
      <c r="AD424" s="251"/>
    </row>
    <row r="425" spans="15:31" x14ac:dyDescent="0.3">
      <c r="O425" s="98"/>
      <c r="T425" s="250"/>
      <c r="U425" s="252">
        <f t="shared" si="21"/>
        <v>44370</v>
      </c>
      <c r="V425" s="6"/>
      <c r="W425" s="253">
        <v>105847</v>
      </c>
      <c r="X425" s="6"/>
      <c r="Y425" s="44">
        <v>3.0000000000000001E-3</v>
      </c>
      <c r="Z425" s="6"/>
      <c r="AA425" s="254">
        <f t="shared" ref="AA425" si="52">+W424-W425</f>
        <v>-1812</v>
      </c>
      <c r="AB425" s="6"/>
      <c r="AC425" s="258"/>
      <c r="AD425" s="251"/>
    </row>
    <row r="426" spans="15:31" x14ac:dyDescent="0.3">
      <c r="O426" s="98"/>
      <c r="T426" s="250"/>
      <c r="U426" s="252">
        <f t="shared" si="21"/>
        <v>44371</v>
      </c>
      <c r="V426" s="6"/>
      <c r="W426" s="253">
        <v>108727</v>
      </c>
      <c r="X426" s="6"/>
      <c r="Y426" s="44">
        <v>3.0000000000000001E-3</v>
      </c>
      <c r="Z426" s="6"/>
      <c r="AA426" s="254">
        <f t="shared" ref="AA426" si="53">+W425-W426</f>
        <v>-2880</v>
      </c>
      <c r="AB426" s="6"/>
      <c r="AC426" s="258"/>
      <c r="AD426" s="251"/>
    </row>
    <row r="427" spans="15:31" x14ac:dyDescent="0.3">
      <c r="O427" s="98"/>
      <c r="T427" s="250"/>
      <c r="U427" s="252">
        <f t="shared" si="21"/>
        <v>44372</v>
      </c>
      <c r="V427" s="6"/>
      <c r="W427" s="253">
        <v>96417</v>
      </c>
      <c r="X427" s="6"/>
      <c r="Y427" s="44">
        <v>3.0000000000000001E-3</v>
      </c>
      <c r="Z427" s="6"/>
      <c r="AA427" s="254">
        <f t="shared" ref="AA427" si="54">+W426-W427</f>
        <v>12310</v>
      </c>
      <c r="AB427" s="6"/>
      <c r="AC427" s="258"/>
      <c r="AD427" s="251"/>
    </row>
    <row r="428" spans="15:31" x14ac:dyDescent="0.3">
      <c r="O428" s="98"/>
      <c r="T428" s="250"/>
      <c r="U428" s="252">
        <f t="shared" si="21"/>
        <v>44373</v>
      </c>
      <c r="V428" s="6"/>
      <c r="W428" s="253">
        <v>89614</v>
      </c>
      <c r="X428" s="6"/>
      <c r="Y428" s="44">
        <v>3.0000000000000001E-3</v>
      </c>
      <c r="Z428" s="6"/>
      <c r="AA428" s="254">
        <f t="shared" ref="AA428" si="55">+W427-W428</f>
        <v>6803</v>
      </c>
      <c r="AB428" s="6"/>
      <c r="AC428" s="258"/>
      <c r="AD428" s="251"/>
      <c r="AE428" s="61"/>
    </row>
    <row r="429" spans="15:31" x14ac:dyDescent="0.3">
      <c r="O429" s="98"/>
      <c r="T429" s="250"/>
      <c r="U429" s="573">
        <f t="shared" si="21"/>
        <v>44374</v>
      </c>
      <c r="V429" s="6"/>
      <c r="W429" s="253">
        <v>89138</v>
      </c>
      <c r="X429" s="6"/>
      <c r="Y429" s="44">
        <v>3.0000000000000001E-3</v>
      </c>
      <c r="Z429" s="6"/>
      <c r="AA429" s="254">
        <f t="shared" ref="AA429" si="56">+W428-W429</f>
        <v>476</v>
      </c>
      <c r="AB429" s="6"/>
      <c r="AC429" s="258"/>
      <c r="AD429" s="251"/>
      <c r="AE429" s="61"/>
    </row>
    <row r="430" spans="15:31" x14ac:dyDescent="0.3">
      <c r="O430" s="98"/>
      <c r="T430" s="250"/>
      <c r="U430" s="252">
        <f t="shared" si="21"/>
        <v>44375</v>
      </c>
      <c r="V430" s="6"/>
      <c r="W430" s="253">
        <v>96701</v>
      </c>
      <c r="X430" s="6"/>
      <c r="Y430" s="44">
        <v>3.0000000000000001E-3</v>
      </c>
      <c r="Z430" s="6"/>
      <c r="AA430" s="254">
        <f t="shared" ref="AA430" si="57">+W429-W430</f>
        <v>-7563</v>
      </c>
      <c r="AB430" s="6"/>
      <c r="AC430" s="258"/>
      <c r="AD430" s="251"/>
      <c r="AE430" s="61"/>
    </row>
    <row r="431" spans="15:31" x14ac:dyDescent="0.3">
      <c r="O431" s="98"/>
      <c r="T431" s="250"/>
      <c r="U431" s="252">
        <f t="shared" si="21"/>
        <v>44376</v>
      </c>
      <c r="V431" s="6"/>
      <c r="W431" s="253">
        <v>85502</v>
      </c>
      <c r="X431" s="6"/>
      <c r="Y431" s="44">
        <v>3.0000000000000001E-3</v>
      </c>
      <c r="Z431" s="6"/>
      <c r="AA431" s="254">
        <f t="shared" ref="AA431" si="58">+W430-W431</f>
        <v>11199</v>
      </c>
      <c r="AB431" s="6"/>
      <c r="AC431" s="258"/>
      <c r="AD431" s="251"/>
      <c r="AE431" s="61"/>
    </row>
    <row r="432" spans="15:31" x14ac:dyDescent="0.3">
      <c r="O432" s="98"/>
      <c r="T432" s="250"/>
      <c r="U432" s="252">
        <f t="shared" si="21"/>
        <v>44377</v>
      </c>
      <c r="V432" s="6"/>
      <c r="W432" s="253">
        <v>86386</v>
      </c>
      <c r="X432" s="6"/>
      <c r="Y432" s="44">
        <v>3.0000000000000001E-3</v>
      </c>
      <c r="Z432" s="6"/>
      <c r="AA432" s="254">
        <f t="shared" ref="AA432" si="59">+W431-W432</f>
        <v>-884</v>
      </c>
      <c r="AB432" s="6"/>
      <c r="AC432" s="258"/>
      <c r="AD432" s="251"/>
      <c r="AE432" s="61"/>
    </row>
    <row r="433" spans="15:31" x14ac:dyDescent="0.3">
      <c r="O433" s="98"/>
      <c r="T433" s="250"/>
      <c r="U433" s="252">
        <f t="shared" si="21"/>
        <v>44378</v>
      </c>
      <c r="V433" s="6"/>
      <c r="W433" s="253">
        <v>87852</v>
      </c>
      <c r="X433" s="6"/>
      <c r="Y433" s="44">
        <v>3.0000000000000001E-3</v>
      </c>
      <c r="Z433" s="6"/>
      <c r="AA433" s="254">
        <f t="shared" ref="AA433" si="60">+W432-W433</f>
        <v>-1466</v>
      </c>
      <c r="AB433" s="6"/>
      <c r="AC433" s="258"/>
      <c r="AD433" s="251"/>
      <c r="AE433" s="61"/>
    </row>
    <row r="434" spans="15:31" x14ac:dyDescent="0.3">
      <c r="O434" s="98"/>
      <c r="T434" s="250"/>
      <c r="U434" s="252">
        <f t="shared" si="21"/>
        <v>44379</v>
      </c>
      <c r="V434" s="6"/>
      <c r="W434" s="253">
        <v>90712</v>
      </c>
      <c r="X434" s="6"/>
      <c r="Y434" s="44">
        <v>3.0000000000000001E-3</v>
      </c>
      <c r="Z434" s="6"/>
      <c r="AA434" s="254">
        <f t="shared" ref="AA434" si="61">+W433-W434</f>
        <v>-2860</v>
      </c>
      <c r="AB434" s="6"/>
      <c r="AC434" s="258"/>
      <c r="AD434" s="251"/>
      <c r="AE434" s="61"/>
    </row>
    <row r="435" spans="15:31" x14ac:dyDescent="0.3">
      <c r="O435" s="98"/>
      <c r="T435" s="250"/>
      <c r="U435" s="252">
        <f t="shared" si="21"/>
        <v>44380</v>
      </c>
      <c r="V435" s="6"/>
      <c r="W435" s="253">
        <v>92036</v>
      </c>
      <c r="X435" s="6"/>
      <c r="Y435" s="44">
        <v>3.0000000000000001E-3</v>
      </c>
      <c r="Z435" s="6"/>
      <c r="AA435" s="254">
        <f t="shared" ref="AA435" si="62">+W434-W435</f>
        <v>-1324</v>
      </c>
      <c r="AB435" s="6"/>
      <c r="AC435" s="258"/>
      <c r="AD435" s="251"/>
      <c r="AE435" s="61"/>
    </row>
    <row r="436" spans="15:31" x14ac:dyDescent="0.3">
      <c r="O436" s="98"/>
      <c r="T436" s="250"/>
      <c r="U436" s="573">
        <f t="shared" si="21"/>
        <v>44381</v>
      </c>
      <c r="V436" s="6"/>
      <c r="W436" s="253">
        <v>90479</v>
      </c>
      <c r="X436" s="6"/>
      <c r="Y436" s="44">
        <v>3.0000000000000001E-3</v>
      </c>
      <c r="Z436" s="6"/>
      <c r="AA436" s="254">
        <f t="shared" ref="AA436" si="63">+W435-W436</f>
        <v>1557</v>
      </c>
      <c r="AB436" s="6"/>
      <c r="AC436" s="258"/>
      <c r="AD436" s="251"/>
      <c r="AE436" s="61"/>
    </row>
    <row r="437" spans="15:31" x14ac:dyDescent="0.3">
      <c r="O437" s="98"/>
      <c r="T437" s="250"/>
      <c r="U437" s="252">
        <f t="shared" si="21"/>
        <v>44382</v>
      </c>
      <c r="V437" s="6"/>
      <c r="W437" s="253">
        <v>83662</v>
      </c>
      <c r="X437" s="6"/>
      <c r="Y437" s="44">
        <v>3.0000000000000001E-3</v>
      </c>
      <c r="Z437" s="6"/>
      <c r="AA437" s="254">
        <f t="shared" ref="AA437" si="64">+W436-W437</f>
        <v>6817</v>
      </c>
      <c r="AB437" s="6"/>
      <c r="AC437" s="258"/>
      <c r="AD437" s="251"/>
      <c r="AE437" s="61"/>
    </row>
    <row r="438" spans="15:31" x14ac:dyDescent="0.3">
      <c r="O438" s="98"/>
      <c r="T438" s="250"/>
      <c r="U438" s="252">
        <f t="shared" si="21"/>
        <v>44383</v>
      </c>
      <c r="V438" s="6"/>
      <c r="W438" s="253">
        <v>83817</v>
      </c>
      <c r="X438" s="6"/>
      <c r="Y438" s="44">
        <v>3.0000000000000001E-3</v>
      </c>
      <c r="Z438" s="6"/>
      <c r="AA438" s="254">
        <f t="shared" ref="AA438" si="65">+W437-W438</f>
        <v>-155</v>
      </c>
      <c r="AB438" s="6"/>
      <c r="AC438" s="258"/>
      <c r="AD438" s="251"/>
      <c r="AE438" s="61"/>
    </row>
    <row r="439" spans="15:31" x14ac:dyDescent="0.3">
      <c r="O439" s="98"/>
      <c r="T439" s="250"/>
      <c r="U439" s="252">
        <f t="shared" si="21"/>
        <v>44384</v>
      </c>
      <c r="V439" s="6"/>
      <c r="W439" s="253">
        <v>86446</v>
      </c>
      <c r="X439" s="6"/>
      <c r="Y439" s="44">
        <v>3.0000000000000001E-3</v>
      </c>
      <c r="Z439" s="6"/>
      <c r="AA439" s="254">
        <f t="shared" ref="AA439" si="66">+W438-W439</f>
        <v>-2629</v>
      </c>
      <c r="AB439" s="6"/>
      <c r="AC439" s="258"/>
      <c r="AD439" s="251"/>
      <c r="AE439" s="61"/>
    </row>
    <row r="440" spans="15:31" x14ac:dyDescent="0.3">
      <c r="O440" s="98"/>
      <c r="T440" s="250"/>
      <c r="U440" s="252">
        <f t="shared" si="21"/>
        <v>44385</v>
      </c>
      <c r="V440" s="6"/>
      <c r="W440" s="253">
        <v>88879</v>
      </c>
      <c r="X440" s="6"/>
      <c r="Y440" s="44">
        <v>3.0000000000000001E-3</v>
      </c>
      <c r="Z440" s="6"/>
      <c r="AA440" s="254">
        <f t="shared" ref="AA440" si="67">+W439-W440</f>
        <v>-2433</v>
      </c>
      <c r="AB440" s="6"/>
      <c r="AC440" s="258"/>
      <c r="AD440" s="251"/>
      <c r="AE440" s="61"/>
    </row>
    <row r="441" spans="15:31" x14ac:dyDescent="0.3">
      <c r="O441" s="98"/>
      <c r="T441" s="250"/>
      <c r="U441" s="252">
        <f t="shared" si="21"/>
        <v>44386</v>
      </c>
      <c r="V441" s="6"/>
      <c r="W441" s="253">
        <v>97804</v>
      </c>
      <c r="X441" s="6"/>
      <c r="Y441" s="44">
        <v>3.0000000000000001E-3</v>
      </c>
      <c r="Z441" s="6"/>
      <c r="AA441" s="254">
        <f t="shared" ref="AA441" si="68">+W440-W441</f>
        <v>-8925</v>
      </c>
      <c r="AB441" s="6"/>
      <c r="AC441" s="258"/>
      <c r="AD441" s="251"/>
      <c r="AE441" s="61"/>
    </row>
    <row r="442" spans="15:31" x14ac:dyDescent="0.3">
      <c r="O442" s="98"/>
      <c r="T442" s="250"/>
      <c r="U442" s="252">
        <f t="shared" si="21"/>
        <v>44387</v>
      </c>
      <c r="V442" s="6"/>
      <c r="W442" s="253">
        <v>104764</v>
      </c>
      <c r="X442" s="6"/>
      <c r="Y442" s="44">
        <v>3.0000000000000001E-3</v>
      </c>
      <c r="Z442" s="6"/>
      <c r="AA442" s="254">
        <f t="shared" ref="AA442" si="69">+W441-W442</f>
        <v>-6960</v>
      </c>
      <c r="AB442" s="6"/>
      <c r="AC442" s="258"/>
      <c r="AD442" s="251"/>
      <c r="AE442" s="61"/>
    </row>
    <row r="443" spans="15:31" x14ac:dyDescent="0.3">
      <c r="O443" s="98"/>
      <c r="T443" s="250"/>
      <c r="U443" s="573">
        <f t="shared" si="21"/>
        <v>44388</v>
      </c>
      <c r="V443" s="6"/>
      <c r="W443" s="253">
        <v>105672</v>
      </c>
      <c r="X443" s="6"/>
      <c r="Y443" s="44">
        <v>3.0000000000000001E-3</v>
      </c>
      <c r="Z443" s="6"/>
      <c r="AA443" s="254">
        <f t="shared" ref="AA443" si="70">+W442-W443</f>
        <v>-908</v>
      </c>
      <c r="AB443" s="6"/>
      <c r="AC443" s="258"/>
      <c r="AD443" s="251"/>
      <c r="AE443" s="61"/>
    </row>
    <row r="444" spans="15:31" x14ac:dyDescent="0.3">
      <c r="O444" s="98"/>
      <c r="T444" s="250"/>
      <c r="U444" s="252">
        <f t="shared" si="21"/>
        <v>44389</v>
      </c>
      <c r="V444" s="6"/>
      <c r="W444" s="253">
        <v>125770</v>
      </c>
      <c r="X444" s="6"/>
      <c r="Y444" s="44">
        <v>3.0000000000000001E-3</v>
      </c>
      <c r="Z444" s="6"/>
      <c r="AA444" s="254">
        <f t="shared" ref="AA444" si="71">+W443-W444</f>
        <v>-20098</v>
      </c>
      <c r="AB444" s="6"/>
      <c r="AC444" s="258"/>
      <c r="AD444" s="251"/>
      <c r="AE444" s="61"/>
    </row>
    <row r="445" spans="15:31" x14ac:dyDescent="0.3">
      <c r="O445" s="98"/>
      <c r="T445" s="250"/>
      <c r="U445" s="252">
        <f t="shared" si="21"/>
        <v>44390</v>
      </c>
      <c r="V445" s="6"/>
      <c r="W445" s="253">
        <v>160392</v>
      </c>
      <c r="X445" s="6"/>
      <c r="Y445" s="44">
        <v>3.0000000000000001E-3</v>
      </c>
      <c r="Z445" s="6"/>
      <c r="AA445" s="254">
        <f t="shared" ref="AA445" si="72">+W444-W445</f>
        <v>-34622</v>
      </c>
      <c r="AB445" s="6"/>
      <c r="AC445" s="258"/>
      <c r="AD445" s="251"/>
      <c r="AE445" s="61"/>
    </row>
    <row r="446" spans="15:31" x14ac:dyDescent="0.3">
      <c r="O446" s="98"/>
      <c r="T446" s="250"/>
      <c r="U446" s="252">
        <f t="shared" si="21"/>
        <v>44391</v>
      </c>
      <c r="V446" s="6"/>
      <c r="W446" s="253">
        <v>184472</v>
      </c>
      <c r="X446" s="6"/>
      <c r="Y446" s="44">
        <v>3.0000000000000001E-3</v>
      </c>
      <c r="Z446" s="6"/>
      <c r="AA446" s="254">
        <f t="shared" ref="AA446" si="73">+W445-W446</f>
        <v>-24080</v>
      </c>
      <c r="AB446" s="6"/>
      <c r="AC446" s="258"/>
      <c r="AD446" s="251"/>
      <c r="AE446" s="61"/>
    </row>
    <row r="447" spans="15:31" x14ac:dyDescent="0.3">
      <c r="O447" s="98"/>
      <c r="T447" s="250"/>
      <c r="U447" s="252">
        <f t="shared" si="21"/>
        <v>44392</v>
      </c>
      <c r="V447" s="6"/>
      <c r="W447" s="253">
        <v>204394</v>
      </c>
      <c r="X447" s="6"/>
      <c r="Y447" s="44">
        <v>3.0000000000000001E-3</v>
      </c>
      <c r="Z447" s="6"/>
      <c r="AA447" s="254">
        <f t="shared" ref="AA447" si="74">+W446-W447</f>
        <v>-19922</v>
      </c>
      <c r="AB447" s="6"/>
      <c r="AC447" s="258"/>
      <c r="AD447" s="251"/>
      <c r="AE447" s="61"/>
    </row>
    <row r="448" spans="15:31" x14ac:dyDescent="0.3">
      <c r="O448" s="98"/>
      <c r="T448" s="250"/>
      <c r="U448" s="252">
        <f t="shared" si="21"/>
        <v>44393</v>
      </c>
      <c r="V448" s="6"/>
      <c r="W448" s="253">
        <v>225690</v>
      </c>
      <c r="X448" s="6"/>
      <c r="Y448" s="44">
        <v>3.0000000000000001E-3</v>
      </c>
      <c r="Z448" s="6"/>
      <c r="AA448" s="254">
        <f t="shared" ref="AA448" si="75">+W447-W448</f>
        <v>-21296</v>
      </c>
      <c r="AB448" s="6"/>
      <c r="AC448" s="258"/>
      <c r="AD448" s="251"/>
      <c r="AE448" s="61"/>
    </row>
    <row r="449" spans="15:31" x14ac:dyDescent="0.3">
      <c r="O449" s="98"/>
      <c r="T449" s="250"/>
      <c r="U449" s="252">
        <f t="shared" si="21"/>
        <v>44394</v>
      </c>
      <c r="V449" s="6"/>
      <c r="W449" s="253">
        <v>223526</v>
      </c>
      <c r="X449" s="6"/>
      <c r="Y449" s="44">
        <v>3.0000000000000001E-3</v>
      </c>
      <c r="Z449" s="6"/>
      <c r="AA449" s="254">
        <f t="shared" ref="AA449" si="76">+W448-W449</f>
        <v>2164</v>
      </c>
      <c r="AB449" s="6"/>
      <c r="AC449" s="258"/>
      <c r="AD449" s="251"/>
      <c r="AE449" s="61"/>
    </row>
    <row r="450" spans="15:31" x14ac:dyDescent="0.3">
      <c r="O450" s="98"/>
      <c r="T450" s="250"/>
      <c r="U450" s="573">
        <f t="shared" si="21"/>
        <v>44395</v>
      </c>
      <c r="V450" s="6"/>
      <c r="W450" s="253">
        <v>234744</v>
      </c>
      <c r="X450" s="6"/>
      <c r="Y450" s="44">
        <v>3.0000000000000001E-3</v>
      </c>
      <c r="Z450" s="6"/>
      <c r="AA450" s="254">
        <f t="shared" ref="AA450" si="77">+W449-W450</f>
        <v>-11218</v>
      </c>
      <c r="AB450" s="6"/>
      <c r="AC450" s="258"/>
      <c r="AD450" s="251"/>
      <c r="AE450" s="61"/>
    </row>
    <row r="451" spans="15:31" x14ac:dyDescent="0.3">
      <c r="O451" s="98"/>
      <c r="T451" s="250"/>
      <c r="U451" s="252">
        <f t="shared" si="21"/>
        <v>44396</v>
      </c>
      <c r="V451" s="6"/>
      <c r="W451" s="253">
        <v>257407</v>
      </c>
      <c r="X451" s="6"/>
      <c r="Y451" s="44">
        <v>3.0000000000000001E-3</v>
      </c>
      <c r="Z451" s="6"/>
      <c r="AA451" s="254">
        <f t="shared" ref="AA451" si="78">+W450-W451</f>
        <v>-22663</v>
      </c>
      <c r="AB451" s="6"/>
      <c r="AC451" s="258"/>
      <c r="AD451" s="251"/>
      <c r="AE451" s="61"/>
    </row>
    <row r="452" spans="15:31" x14ac:dyDescent="0.3">
      <c r="O452" s="98"/>
      <c r="T452" s="250"/>
      <c r="U452" s="252">
        <f t="shared" si="21"/>
        <v>44397</v>
      </c>
      <c r="V452" s="6"/>
      <c r="W452" s="253">
        <v>281920</v>
      </c>
      <c r="X452" s="6"/>
      <c r="Y452" s="44">
        <v>3.0000000000000001E-3</v>
      </c>
      <c r="Z452" s="6"/>
      <c r="AA452" s="254">
        <f t="shared" ref="AA452" si="79">+W451-W452</f>
        <v>-24513</v>
      </c>
      <c r="AB452" s="6"/>
      <c r="AC452" s="258"/>
      <c r="AD452" s="251"/>
      <c r="AE452" s="61"/>
    </row>
    <row r="453" spans="15:31" x14ac:dyDescent="0.3">
      <c r="O453" s="98"/>
      <c r="T453" s="250"/>
      <c r="U453" s="252">
        <f t="shared" si="21"/>
        <v>44398</v>
      </c>
      <c r="V453" s="6"/>
      <c r="W453" s="253">
        <v>298822</v>
      </c>
      <c r="X453" s="6"/>
      <c r="Y453" s="44">
        <v>3.0000000000000001E-3</v>
      </c>
      <c r="Z453" s="6"/>
      <c r="AA453" s="254">
        <f t="shared" ref="AA453" si="80">+W452-W453</f>
        <v>-16902</v>
      </c>
      <c r="AB453" s="6"/>
      <c r="AC453" s="258"/>
      <c r="AD453" s="251"/>
      <c r="AE453" s="61"/>
    </row>
    <row r="454" spans="15:31" x14ac:dyDescent="0.3">
      <c r="O454" s="98"/>
      <c r="T454" s="250"/>
      <c r="U454" s="252">
        <f t="shared" si="21"/>
        <v>44399</v>
      </c>
      <c r="V454" s="6"/>
      <c r="W454" s="253">
        <v>325153</v>
      </c>
      <c r="X454" s="6"/>
      <c r="Y454" s="44">
        <v>3.0000000000000001E-3</v>
      </c>
      <c r="Z454" s="6"/>
      <c r="AA454" s="254">
        <f t="shared" ref="AA454" si="81">+W453-W454</f>
        <v>-26331</v>
      </c>
      <c r="AB454" s="6"/>
      <c r="AC454" s="258"/>
      <c r="AD454" s="251"/>
      <c r="AE454" s="61"/>
    </row>
    <row r="455" spans="15:31" x14ac:dyDescent="0.3">
      <c r="O455" s="98"/>
      <c r="T455" s="250"/>
      <c r="U455" s="252">
        <f t="shared" si="21"/>
        <v>44400</v>
      </c>
      <c r="V455" s="6"/>
      <c r="W455" s="253">
        <v>356076</v>
      </c>
      <c r="X455" s="6"/>
      <c r="Y455" s="44">
        <v>3.0000000000000001E-3</v>
      </c>
      <c r="Z455" s="6"/>
      <c r="AA455" s="254">
        <f t="shared" ref="AA455" si="82">+W454-W455</f>
        <v>-30923</v>
      </c>
      <c r="AB455" s="6"/>
      <c r="AC455" s="258"/>
      <c r="AD455" s="251"/>
      <c r="AE455" s="61"/>
    </row>
    <row r="456" spans="15:31" x14ac:dyDescent="0.3">
      <c r="O456" s="98"/>
      <c r="T456" s="250"/>
      <c r="U456" s="252">
        <f t="shared" si="21"/>
        <v>44401</v>
      </c>
      <c r="V456" s="6"/>
      <c r="W456" s="253">
        <v>353378</v>
      </c>
      <c r="X456" s="6"/>
      <c r="Y456" s="44">
        <v>3.0000000000000001E-3</v>
      </c>
      <c r="Z456" s="6"/>
      <c r="AA456" s="254">
        <f t="shared" ref="AA456" si="83">+W455-W456</f>
        <v>2698</v>
      </c>
      <c r="AB456" s="6"/>
      <c r="AC456" s="258"/>
      <c r="AD456" s="251"/>
      <c r="AE456" s="61"/>
    </row>
    <row r="457" spans="15:31" x14ac:dyDescent="0.3">
      <c r="O457" s="98"/>
      <c r="T457" s="250"/>
      <c r="U457" s="573">
        <f t="shared" si="21"/>
        <v>44402</v>
      </c>
      <c r="V457" s="6"/>
      <c r="W457" s="253">
        <v>343580</v>
      </c>
      <c r="X457" s="6"/>
      <c r="Y457" s="44">
        <v>3.0000000000000001E-3</v>
      </c>
      <c r="Z457" s="6"/>
      <c r="AA457" s="254">
        <f t="shared" ref="AA457" si="84">+W456-W457</f>
        <v>9798</v>
      </c>
      <c r="AB457" s="6"/>
      <c r="AC457" s="258"/>
      <c r="AD457" s="251"/>
      <c r="AE457" s="61"/>
    </row>
    <row r="458" spans="15:31" x14ac:dyDescent="0.3">
      <c r="O458" s="98"/>
      <c r="T458" s="250"/>
      <c r="U458" s="252">
        <f t="shared" si="21"/>
        <v>44403</v>
      </c>
      <c r="V458" s="6"/>
      <c r="W458" s="253">
        <v>357329</v>
      </c>
      <c r="X458" s="6"/>
      <c r="Y458" s="44">
        <v>3.0000000000000001E-3</v>
      </c>
      <c r="Z458" s="6"/>
      <c r="AA458" s="254">
        <f t="shared" ref="AA458" si="85">+W457-W458</f>
        <v>-13749</v>
      </c>
      <c r="AB458" s="6"/>
      <c r="AC458" s="258"/>
      <c r="AD458" s="251"/>
      <c r="AE458" s="61"/>
    </row>
    <row r="459" spans="15:31" x14ac:dyDescent="0.3">
      <c r="O459" s="98"/>
      <c r="T459" s="250"/>
      <c r="U459" s="252">
        <f t="shared" si="21"/>
        <v>44404</v>
      </c>
      <c r="V459" s="6"/>
      <c r="W459" s="253">
        <v>386669</v>
      </c>
      <c r="X459" s="6"/>
      <c r="Y459" s="44">
        <v>3.0000000000000001E-3</v>
      </c>
      <c r="Z459" s="6"/>
      <c r="AA459" s="254">
        <f t="shared" ref="AA459" si="86">+W458-W459</f>
        <v>-29340</v>
      </c>
      <c r="AB459" s="6"/>
      <c r="AC459" s="258"/>
      <c r="AD459" s="251"/>
      <c r="AE459" s="61"/>
    </row>
    <row r="460" spans="15:31" x14ac:dyDescent="0.3">
      <c r="O460" s="98"/>
      <c r="T460" s="250"/>
      <c r="U460" s="252">
        <f t="shared" si="21"/>
        <v>44405</v>
      </c>
      <c r="V460" s="6"/>
      <c r="W460" s="253">
        <v>427240</v>
      </c>
      <c r="X460" s="6"/>
      <c r="Y460" s="44">
        <v>3.0000000000000001E-3</v>
      </c>
      <c r="Z460" s="6"/>
      <c r="AA460" s="254">
        <f t="shared" ref="AA460" si="87">+W459-W460</f>
        <v>-40571</v>
      </c>
      <c r="AB460" s="6"/>
      <c r="AC460" s="258"/>
      <c r="AD460" s="251"/>
      <c r="AE460" s="61"/>
    </row>
    <row r="461" spans="15:31" x14ac:dyDescent="0.3">
      <c r="O461" s="98"/>
      <c r="T461" s="250"/>
      <c r="U461" s="252">
        <f t="shared" si="21"/>
        <v>44406</v>
      </c>
      <c r="V461" s="6"/>
      <c r="W461" s="253">
        <v>455244</v>
      </c>
      <c r="X461" s="6"/>
      <c r="Y461" s="44">
        <v>3.0000000000000001E-3</v>
      </c>
      <c r="Z461" s="6"/>
      <c r="AA461" s="254">
        <f t="shared" ref="AA461" si="88">+W460-W461</f>
        <v>-28004</v>
      </c>
      <c r="AB461" s="6"/>
      <c r="AC461" s="258"/>
      <c r="AD461" s="251"/>
      <c r="AE461" s="61"/>
    </row>
    <row r="462" spans="15:31" x14ac:dyDescent="0.3">
      <c r="O462" s="98"/>
      <c r="T462" s="250"/>
      <c r="U462" s="252">
        <f t="shared" si="21"/>
        <v>44407</v>
      </c>
      <c r="V462" s="6"/>
      <c r="W462" s="253">
        <v>497055</v>
      </c>
      <c r="X462" s="6"/>
      <c r="Y462" s="44">
        <v>3.0000000000000001E-3</v>
      </c>
      <c r="Z462" s="6"/>
      <c r="AA462" s="254">
        <f t="shared" ref="AA462" si="89">+W461-W462</f>
        <v>-41811</v>
      </c>
      <c r="AB462" s="6"/>
      <c r="AC462" s="258"/>
      <c r="AD462" s="251"/>
      <c r="AE462" s="61"/>
    </row>
    <row r="463" spans="15:31" x14ac:dyDescent="0.3">
      <c r="O463" s="98"/>
      <c r="T463" s="250"/>
      <c r="U463" s="252">
        <f t="shared" si="21"/>
        <v>44408</v>
      </c>
      <c r="V463" s="6"/>
      <c r="W463" s="253">
        <v>481553</v>
      </c>
      <c r="X463" s="6"/>
      <c r="Y463" s="44">
        <v>3.0000000000000001E-3</v>
      </c>
      <c r="Z463" s="6"/>
      <c r="AA463" s="254">
        <f t="shared" ref="AA463" si="90">+W462-W463</f>
        <v>15502</v>
      </c>
      <c r="AB463" s="6"/>
      <c r="AC463" s="258"/>
      <c r="AD463" s="251"/>
      <c r="AE463" s="61"/>
    </row>
    <row r="464" spans="15:31" x14ac:dyDescent="0.3">
      <c r="O464" s="98"/>
      <c r="T464" s="250"/>
      <c r="U464" s="573">
        <f t="shared" si="21"/>
        <v>44409</v>
      </c>
      <c r="V464" s="6"/>
      <c r="W464" s="253">
        <f>+I$36</f>
        <v>466539</v>
      </c>
      <c r="X464" s="6"/>
      <c r="Y464" s="44">
        <v>3.0000000000000001E-3</v>
      </c>
      <c r="Z464" s="6"/>
      <c r="AA464" s="254">
        <f t="shared" ref="AA464" si="91">+W463-W464</f>
        <v>15014</v>
      </c>
      <c r="AB464" s="6"/>
      <c r="AC464" s="258"/>
      <c r="AD464" s="251"/>
      <c r="AE464" s="61"/>
    </row>
    <row r="465" spans="5:36" x14ac:dyDescent="0.3">
      <c r="O465" s="98"/>
      <c r="T465" s="250"/>
      <c r="U465" s="252">
        <f t="shared" si="21"/>
        <v>44410</v>
      </c>
      <c r="V465" s="6"/>
      <c r="W465" s="253"/>
      <c r="X465" s="6"/>
      <c r="Y465" s="44"/>
      <c r="Z465" s="6"/>
      <c r="AA465" s="254"/>
      <c r="AB465" s="6"/>
      <c r="AC465" s="258"/>
      <c r="AD465" s="251"/>
      <c r="AE465" s="61"/>
    </row>
    <row r="466" spans="5:36" x14ac:dyDescent="0.3">
      <c r="O466" s="98"/>
      <c r="T466" s="250"/>
      <c r="U466" s="252">
        <f t="shared" si="21"/>
        <v>44411</v>
      </c>
      <c r="V466" s="6"/>
      <c r="W466" s="253"/>
      <c r="X466" s="6"/>
      <c r="Y466" s="44"/>
      <c r="Z466" s="6"/>
      <c r="AA466" s="254"/>
      <c r="AB466" s="6"/>
      <c r="AC466" s="258"/>
      <c r="AD466" s="251"/>
      <c r="AE466" s="61"/>
    </row>
    <row r="467" spans="5:36" x14ac:dyDescent="0.3">
      <c r="O467" s="98"/>
      <c r="T467" s="250"/>
      <c r="U467" s="252">
        <f t="shared" si="21"/>
        <v>44412</v>
      </c>
      <c r="V467" s="6"/>
      <c r="W467" s="253"/>
      <c r="X467" s="6"/>
      <c r="Y467" s="44"/>
      <c r="Z467" s="6"/>
      <c r="AA467" s="254"/>
      <c r="AB467" s="6"/>
      <c r="AC467" s="258"/>
      <c r="AD467" s="251"/>
      <c r="AE467" s="61"/>
    </row>
    <row r="468" spans="5:36" x14ac:dyDescent="0.3">
      <c r="O468" s="98"/>
      <c r="T468" s="250"/>
      <c r="U468" s="252">
        <f t="shared" si="21"/>
        <v>44413</v>
      </c>
      <c r="V468" s="6"/>
      <c r="W468" s="253"/>
      <c r="X468" s="6"/>
      <c r="Y468" s="44"/>
      <c r="Z468" s="6"/>
      <c r="AA468" s="254"/>
      <c r="AB468" s="6"/>
      <c r="AC468" s="258"/>
      <c r="AD468" s="251"/>
    </row>
    <row r="469" spans="5:36" ht="15" thickBot="1" x14ac:dyDescent="0.35">
      <c r="O469" s="98"/>
      <c r="T469" s="255"/>
      <c r="U469" s="350">
        <f t="shared" si="21"/>
        <v>44414</v>
      </c>
      <c r="V469" s="247"/>
      <c r="W469" s="351"/>
      <c r="X469" s="247"/>
      <c r="Y469" s="256"/>
      <c r="Z469" s="247"/>
      <c r="AA469" s="352"/>
      <c r="AB469" s="247"/>
      <c r="AC469" s="353"/>
      <c r="AD469" s="257"/>
    </row>
    <row r="470" spans="5:36" x14ac:dyDescent="0.3">
      <c r="O470" s="98"/>
    </row>
    <row r="471" spans="5:36" x14ac:dyDescent="0.3">
      <c r="O471" s="98"/>
      <c r="P471" s="57"/>
      <c r="Q471" s="57"/>
      <c r="R471" s="57"/>
    </row>
    <row r="472" spans="5:36" x14ac:dyDescent="0.3">
      <c r="O472" s="98"/>
    </row>
    <row r="473" spans="5:36" ht="15" thickBot="1" x14ac:dyDescent="0.35">
      <c r="O473" s="98"/>
    </row>
    <row r="474" spans="5:36" ht="15.6" thickTop="1" thickBot="1" x14ac:dyDescent="0.35">
      <c r="Q474" s="441"/>
      <c r="R474" s="442"/>
      <c r="S474" s="442"/>
      <c r="T474" s="442"/>
      <c r="U474" s="442"/>
      <c r="V474" s="442"/>
      <c r="W474" s="442"/>
      <c r="X474" s="442"/>
      <c r="Y474" s="442"/>
      <c r="Z474" s="442"/>
      <c r="AA474" s="442"/>
      <c r="AB474" s="443"/>
    </row>
    <row r="475" spans="5:36" ht="15" thickBot="1" x14ac:dyDescent="0.35">
      <c r="E475" s="666" t="s">
        <v>106</v>
      </c>
      <c r="F475" s="667"/>
      <c r="G475" s="667"/>
      <c r="H475" s="667"/>
      <c r="I475" s="667"/>
      <c r="J475" s="667"/>
      <c r="K475" s="667"/>
      <c r="L475" s="667"/>
      <c r="M475" s="668"/>
      <c r="Q475" s="444"/>
      <c r="R475" s="6"/>
      <c r="S475" s="6"/>
      <c r="T475" s="6"/>
      <c r="U475" s="5" t="s">
        <v>132</v>
      </c>
      <c r="V475" s="5"/>
      <c r="W475" s="5"/>
      <c r="X475" s="5"/>
      <c r="Y475" s="5"/>
      <c r="Z475" s="5"/>
      <c r="AA475" s="5" t="s">
        <v>28</v>
      </c>
      <c r="AB475" s="445"/>
    </row>
    <row r="476" spans="5:36" x14ac:dyDescent="0.3">
      <c r="E476" s="395"/>
      <c r="F476" s="396" t="s">
        <v>107</v>
      </c>
      <c r="G476" s="396"/>
      <c r="H476" s="396"/>
      <c r="I476" s="669">
        <v>21477737</v>
      </c>
      <c r="J476" s="669"/>
      <c r="K476" s="669"/>
      <c r="L476" s="669"/>
      <c r="M476" s="397"/>
      <c r="Q476" s="444"/>
      <c r="R476" s="437" t="s">
        <v>134</v>
      </c>
      <c r="S476" s="6"/>
      <c r="T476" s="6"/>
      <c r="U476" s="437" t="s">
        <v>133</v>
      </c>
      <c r="V476" s="5"/>
      <c r="W476" s="437" t="s">
        <v>20</v>
      </c>
      <c r="X476" s="5"/>
      <c r="Y476" s="437" t="s">
        <v>4</v>
      </c>
      <c r="Z476" s="5"/>
      <c r="AA476" s="446" t="s">
        <v>131</v>
      </c>
      <c r="AB476" s="445"/>
    </row>
    <row r="477" spans="5:36" x14ac:dyDescent="0.3">
      <c r="E477" s="395"/>
      <c r="F477" s="396" t="s">
        <v>97</v>
      </c>
      <c r="G477" s="396"/>
      <c r="H477" s="396"/>
      <c r="I477" s="396"/>
      <c r="J477" s="396"/>
      <c r="K477" s="396"/>
      <c r="L477" s="398">
        <f>+I489/I476</f>
        <v>4.5847474526762295E-4</v>
      </c>
      <c r="M477" s="397"/>
      <c r="Q477" s="444"/>
      <c r="R477" s="6" t="s">
        <v>121</v>
      </c>
      <c r="S477" s="6"/>
      <c r="T477" s="6"/>
      <c r="U477" s="7">
        <v>2003</v>
      </c>
      <c r="V477" s="6"/>
      <c r="W477" s="7">
        <v>389666</v>
      </c>
      <c r="X477" s="6"/>
      <c r="Y477" s="7">
        <v>31257</v>
      </c>
      <c r="Z477" s="6"/>
      <c r="AA477" s="253">
        <f>+AJ477</f>
        <v>19500</v>
      </c>
      <c r="AB477" s="445"/>
      <c r="AJ477" s="1">
        <v>19500</v>
      </c>
    </row>
    <row r="478" spans="5:36" x14ac:dyDescent="0.3">
      <c r="E478" s="395"/>
      <c r="F478" s="670" t="s">
        <v>95</v>
      </c>
      <c r="G478" s="670"/>
      <c r="H478" s="396"/>
      <c r="I478" s="396"/>
      <c r="J478" s="396"/>
      <c r="K478" s="396"/>
      <c r="L478" s="399">
        <f>+I489/(I476/100000)</f>
        <v>45.847474526762298</v>
      </c>
      <c r="M478" s="397"/>
      <c r="Q478" s="444"/>
      <c r="R478" s="6" t="s">
        <v>122</v>
      </c>
      <c r="S478" s="6"/>
      <c r="T478" s="6"/>
      <c r="U478" s="7">
        <v>1913</v>
      </c>
      <c r="V478" s="6"/>
      <c r="W478" s="7">
        <v>169892</v>
      </c>
      <c r="X478" s="6"/>
      <c r="Y478" s="7">
        <v>13076</v>
      </c>
      <c r="Z478" s="6"/>
      <c r="AA478" s="253">
        <f t="shared" ref="AA478:AA486" si="92">+AJ478</f>
        <v>8900</v>
      </c>
      <c r="AB478" s="445"/>
      <c r="AJ478" s="1">
        <v>8900</v>
      </c>
    </row>
    <row r="479" spans="5:36" x14ac:dyDescent="0.3">
      <c r="E479" s="395"/>
      <c r="F479" s="400"/>
      <c r="G479" s="400"/>
      <c r="H479" s="396"/>
      <c r="I479" s="396"/>
      <c r="J479" s="396"/>
      <c r="K479" s="396"/>
      <c r="L479" s="399"/>
      <c r="M479" s="397"/>
      <c r="Q479" s="444"/>
      <c r="R479" s="6" t="s">
        <v>123</v>
      </c>
      <c r="S479" s="6"/>
      <c r="T479" s="6"/>
      <c r="U479" s="7">
        <v>1568</v>
      </c>
      <c r="V479" s="6"/>
      <c r="W479" s="7">
        <v>16606</v>
      </c>
      <c r="X479" s="6"/>
      <c r="Y479" s="7">
        <v>912</v>
      </c>
      <c r="Z479" s="6"/>
      <c r="AA479" s="253">
        <f t="shared" si="92"/>
        <v>1100</v>
      </c>
      <c r="AB479" s="445"/>
      <c r="AJ479" s="1">
        <v>1100</v>
      </c>
    </row>
    <row r="480" spans="5:36" x14ac:dyDescent="0.3">
      <c r="E480" s="395"/>
      <c r="F480" s="400" t="s">
        <v>108</v>
      </c>
      <c r="G480" s="400"/>
      <c r="H480" s="670" t="s">
        <v>109</v>
      </c>
      <c r="I480" s="670"/>
      <c r="J480" s="396"/>
      <c r="K480" s="396"/>
      <c r="L480" s="399"/>
      <c r="M480" s="397"/>
      <c r="Q480" s="444"/>
      <c r="R480" s="6" t="s">
        <v>56</v>
      </c>
      <c r="S480" s="6"/>
      <c r="T480" s="6"/>
      <c r="U480" s="7">
        <v>1561</v>
      </c>
      <c r="V480" s="6"/>
      <c r="W480" s="7">
        <v>107611</v>
      </c>
      <c r="X480" s="6"/>
      <c r="Y480" s="7">
        <v>7937</v>
      </c>
      <c r="Z480" s="6"/>
      <c r="AA480" s="253">
        <f t="shared" si="92"/>
        <v>7000</v>
      </c>
      <c r="AB480" s="445"/>
      <c r="AJ480" s="1">
        <v>7000</v>
      </c>
    </row>
    <row r="481" spans="4:36" ht="15" thickBot="1" x14ac:dyDescent="0.35">
      <c r="E481" s="401"/>
      <c r="F481" s="402"/>
      <c r="G481" s="402"/>
      <c r="H481" s="402"/>
      <c r="I481" s="402"/>
      <c r="J481" s="402"/>
      <c r="K481" s="402"/>
      <c r="L481" s="402"/>
      <c r="M481" s="403"/>
      <c r="Q481" s="444"/>
      <c r="R481" s="6" t="s">
        <v>128</v>
      </c>
      <c r="S481" s="6"/>
      <c r="T481" s="6"/>
      <c r="U481" s="7">
        <v>1435</v>
      </c>
      <c r="V481" s="6"/>
      <c r="W481" s="7">
        <v>10128</v>
      </c>
      <c r="X481" s="6"/>
      <c r="Y481" s="7">
        <v>541</v>
      </c>
      <c r="Z481" s="6"/>
      <c r="AA481" s="253">
        <f t="shared" si="92"/>
        <v>700</v>
      </c>
      <c r="AB481" s="445"/>
      <c r="AJ481" s="1">
        <v>700</v>
      </c>
    </row>
    <row r="482" spans="4:36" x14ac:dyDescent="0.3">
      <c r="Q482" s="444"/>
      <c r="R482" s="6" t="s">
        <v>124</v>
      </c>
      <c r="S482" s="6"/>
      <c r="T482" s="6"/>
      <c r="U482" s="7">
        <v>1288</v>
      </c>
      <c r="V482" s="6"/>
      <c r="W482" s="7">
        <v>45913</v>
      </c>
      <c r="X482" s="6"/>
      <c r="Y482" s="7">
        <v>4287</v>
      </c>
      <c r="Z482" s="6"/>
      <c r="AA482" s="253">
        <f t="shared" si="92"/>
        <v>3600</v>
      </c>
      <c r="AB482" s="445"/>
      <c r="AJ482" s="1">
        <v>3600</v>
      </c>
    </row>
    <row r="483" spans="4:36" ht="15" thickBot="1" x14ac:dyDescent="0.35">
      <c r="D483" s="78"/>
      <c r="E483" s="139"/>
      <c r="F483" s="139"/>
      <c r="G483" s="139"/>
      <c r="H483" s="139"/>
      <c r="I483" s="310"/>
      <c r="J483" s="78"/>
      <c r="K483" s="98"/>
      <c r="L483" s="98"/>
      <c r="M483" s="98"/>
      <c r="N483" s="98"/>
      <c r="Q483" s="444"/>
      <c r="R483" s="6" t="s">
        <v>129</v>
      </c>
      <c r="S483" s="6"/>
      <c r="T483" s="6"/>
      <c r="U483" s="7">
        <v>1129</v>
      </c>
      <c r="V483" s="6"/>
      <c r="W483" s="7">
        <v>52477</v>
      </c>
      <c r="X483" s="6"/>
      <c r="Y483" s="7">
        <v>3152</v>
      </c>
      <c r="Z483" s="6"/>
      <c r="AA483" s="253">
        <f t="shared" si="92"/>
        <v>4600</v>
      </c>
      <c r="AB483" s="445"/>
      <c r="AJ483" s="1">
        <v>4600</v>
      </c>
    </row>
    <row r="484" spans="4:36" ht="16.2" thickBot="1" x14ac:dyDescent="0.35">
      <c r="D484" s="381"/>
      <c r="E484" s="671" t="s">
        <v>119</v>
      </c>
      <c r="F484" s="672"/>
      <c r="G484" s="672"/>
      <c r="H484" s="672"/>
      <c r="I484" s="672"/>
      <c r="J484" s="673"/>
      <c r="K484" s="382"/>
      <c r="L484" s="394" t="s">
        <v>10</v>
      </c>
      <c r="M484" s="383"/>
      <c r="N484" s="98"/>
      <c r="Q484" s="444"/>
      <c r="R484" s="6" t="s">
        <v>125</v>
      </c>
      <c r="S484" s="6"/>
      <c r="T484" s="6"/>
      <c r="U484" s="7">
        <v>1118</v>
      </c>
      <c r="V484" s="6"/>
      <c r="W484" s="7">
        <v>10889</v>
      </c>
      <c r="X484" s="6"/>
      <c r="Y484" s="7">
        <v>505</v>
      </c>
      <c r="Z484" s="6"/>
      <c r="AA484" s="253">
        <f t="shared" si="92"/>
        <v>980</v>
      </c>
      <c r="AB484" s="445"/>
      <c r="AJ484" s="1">
        <v>980</v>
      </c>
    </row>
    <row r="485" spans="4:36" x14ac:dyDescent="0.3">
      <c r="D485" s="360"/>
      <c r="E485" s="384" t="s">
        <v>75</v>
      </c>
      <c r="F485" s="16"/>
      <c r="G485" s="16"/>
      <c r="H485" s="16"/>
      <c r="I485" s="674">
        <f>+K81</f>
        <v>48675</v>
      </c>
      <c r="J485" s="674"/>
      <c r="K485" s="16"/>
      <c r="L485" s="60">
        <f>+I485/$I$485</f>
        <v>1</v>
      </c>
      <c r="M485" s="385"/>
      <c r="N485" s="98"/>
      <c r="Q485" s="444"/>
      <c r="R485" s="6" t="s">
        <v>126</v>
      </c>
      <c r="S485" s="6"/>
      <c r="T485" s="6"/>
      <c r="U485" s="7">
        <v>1093</v>
      </c>
      <c r="V485" s="6"/>
      <c r="W485" s="7">
        <v>138546</v>
      </c>
      <c r="X485" s="6"/>
      <c r="Y485" s="7">
        <v>6770</v>
      </c>
      <c r="Z485" s="6"/>
      <c r="AA485" s="253">
        <f t="shared" si="92"/>
        <v>12700</v>
      </c>
      <c r="AB485" s="445"/>
      <c r="AJ485" s="1">
        <v>12700</v>
      </c>
    </row>
    <row r="486" spans="4:36" x14ac:dyDescent="0.3">
      <c r="D486" s="360"/>
      <c r="E486" s="384"/>
      <c r="F486" s="16"/>
      <c r="G486" s="16"/>
      <c r="H486" s="16"/>
      <c r="I486" s="16"/>
      <c r="J486" s="16"/>
      <c r="K486" s="16"/>
      <c r="L486" s="16"/>
      <c r="M486" s="385"/>
      <c r="N486" s="98"/>
      <c r="Q486" s="444"/>
      <c r="R486" s="6" t="s">
        <v>127</v>
      </c>
      <c r="S486" s="6"/>
      <c r="T486" s="6"/>
      <c r="U486" s="447">
        <v>1081</v>
      </c>
      <c r="V486" s="6"/>
      <c r="W486" s="447">
        <v>65337</v>
      </c>
      <c r="X486" s="6"/>
      <c r="Y486" s="447">
        <v>3108</v>
      </c>
      <c r="Z486" s="6"/>
      <c r="AA486" s="448">
        <f t="shared" si="92"/>
        <v>6100</v>
      </c>
      <c r="AB486" s="445"/>
      <c r="AJ486" s="439">
        <v>6100</v>
      </c>
    </row>
    <row r="487" spans="4:36" x14ac:dyDescent="0.3">
      <c r="D487" s="372"/>
      <c r="E487" s="15"/>
      <c r="F487" s="386" t="s">
        <v>100</v>
      </c>
      <c r="G487" s="386"/>
      <c r="H487" s="15"/>
      <c r="I487" s="675">
        <f>+I81</f>
        <v>36684</v>
      </c>
      <c r="J487" s="676"/>
      <c r="K487" s="15"/>
      <c r="L487" s="60">
        <f>+I487/$I$485</f>
        <v>0.75365177195685673</v>
      </c>
      <c r="M487" s="365"/>
      <c r="N487" s="98"/>
      <c r="Q487" s="444"/>
      <c r="R487" s="5" t="s">
        <v>31</v>
      </c>
      <c r="S487" s="6"/>
      <c r="T487" s="6"/>
      <c r="U487" s="253">
        <f>+W487/(AA487/100)</f>
        <v>1545.0521632402579</v>
      </c>
      <c r="V487" s="6"/>
      <c r="W487" s="253">
        <f>SUM(W477:W486)</f>
        <v>1007065</v>
      </c>
      <c r="X487" s="6"/>
      <c r="Y487" s="253">
        <f>SUM(Y477:Y486)</f>
        <v>71545</v>
      </c>
      <c r="Z487" s="6"/>
      <c r="AA487" s="253">
        <f>SUM(AA477:AA486)</f>
        <v>65180</v>
      </c>
      <c r="AB487" s="445"/>
      <c r="AJ487" s="56">
        <f>SUM(AJ477:AJ486)</f>
        <v>65180</v>
      </c>
    </row>
    <row r="488" spans="4:36" x14ac:dyDescent="0.3">
      <c r="D488" s="372"/>
      <c r="E488" s="15"/>
      <c r="F488" s="15" t="s">
        <v>76</v>
      </c>
      <c r="G488" s="15"/>
      <c r="H488" s="15"/>
      <c r="I488" s="677">
        <f>+I75</f>
        <v>2144</v>
      </c>
      <c r="J488" s="678"/>
      <c r="K488" s="15"/>
      <c r="L488" s="60">
        <f>+I488/$I$485</f>
        <v>4.4047252182845401E-2</v>
      </c>
      <c r="M488" s="365"/>
      <c r="N488" s="98"/>
      <c r="Q488" s="444"/>
      <c r="R488" s="5"/>
      <c r="S488" s="6"/>
      <c r="T488" s="6"/>
      <c r="U488" s="6"/>
      <c r="V488" s="6"/>
      <c r="W488" s="253"/>
      <c r="X488" s="6"/>
      <c r="Y488" s="253"/>
      <c r="Z488" s="6"/>
      <c r="AA488" s="6"/>
      <c r="AB488" s="445"/>
      <c r="AJ488" s="56"/>
    </row>
    <row r="489" spans="4:36" ht="15" thickBot="1" x14ac:dyDescent="0.35">
      <c r="D489" s="372"/>
      <c r="E489" s="663" t="s">
        <v>101</v>
      </c>
      <c r="F489" s="663"/>
      <c r="G489" s="663"/>
      <c r="H489" s="15"/>
      <c r="I489" s="664">
        <f>+I485-I487-I488</f>
        <v>9847</v>
      </c>
      <c r="J489" s="665"/>
      <c r="K489" s="387"/>
      <c r="L489" s="388">
        <f>+I489/$I$485</f>
        <v>0.20230097586029788</v>
      </c>
      <c r="M489" s="365"/>
      <c r="N489" s="98"/>
      <c r="Q489" s="444"/>
      <c r="R489" s="5" t="s">
        <v>57</v>
      </c>
      <c r="S489" s="6"/>
      <c r="T489" s="6"/>
      <c r="U489" s="7">
        <v>7441</v>
      </c>
      <c r="V489" s="6"/>
      <c r="W489" s="7">
        <f>+'Main Table'!H106</f>
        <v>3029734</v>
      </c>
      <c r="X489" s="6"/>
      <c r="Y489" s="7">
        <f>+'Main Table'!AA106</f>
        <v>129682</v>
      </c>
      <c r="Z489" s="6"/>
      <c r="AA489" s="253">
        <f>+AJ489</f>
        <v>333000</v>
      </c>
      <c r="AB489" s="445"/>
      <c r="AJ489" s="56">
        <v>333000</v>
      </c>
    </row>
    <row r="490" spans="4:36" ht="15.6" thickTop="1" thickBot="1" x14ac:dyDescent="0.35">
      <c r="D490" s="372"/>
      <c r="E490" s="389"/>
      <c r="F490" s="389"/>
      <c r="G490" s="389"/>
      <c r="H490" s="15"/>
      <c r="I490" s="390"/>
      <c r="J490" s="389"/>
      <c r="K490" s="387"/>
      <c r="L490" s="391"/>
      <c r="M490" s="365"/>
      <c r="N490" s="98"/>
      <c r="Q490" s="444"/>
      <c r="R490" s="5" t="s">
        <v>130</v>
      </c>
      <c r="S490" s="6"/>
      <c r="T490" s="6"/>
      <c r="U490" s="449"/>
      <c r="V490" s="6"/>
      <c r="W490" s="450">
        <f>+W487/W489</f>
        <v>0.33239386692033029</v>
      </c>
      <c r="X490" s="6"/>
      <c r="Y490" s="450">
        <f>+Y487/Y489</f>
        <v>0.55169568637127742</v>
      </c>
      <c r="Z490" s="6"/>
      <c r="AA490" s="450">
        <f>+AA487/AA489</f>
        <v>0.19573573573573574</v>
      </c>
      <c r="AB490" s="445"/>
      <c r="AJ490" s="440">
        <f>+AJ487/AJ489</f>
        <v>0.19573573573573574</v>
      </c>
    </row>
    <row r="491" spans="4:36" ht="15.6" thickTop="1" thickBot="1" x14ac:dyDescent="0.35">
      <c r="D491" s="392"/>
      <c r="E491" s="393"/>
      <c r="F491" s="393"/>
      <c r="G491" s="393"/>
      <c r="H491" s="393"/>
      <c r="I491" s="393"/>
      <c r="J491" s="393"/>
      <c r="K491" s="393"/>
      <c r="L491" s="393"/>
      <c r="M491" s="380"/>
      <c r="N491" s="98"/>
      <c r="Q491" s="451"/>
      <c r="R491" s="452"/>
      <c r="S491" s="452"/>
      <c r="T491" s="452"/>
      <c r="U491" s="452"/>
      <c r="V491" s="452"/>
      <c r="W491" s="452"/>
      <c r="X491" s="452"/>
      <c r="Y491" s="452"/>
      <c r="Z491" s="452"/>
      <c r="AA491" s="452"/>
      <c r="AB491" s="453"/>
    </row>
    <row r="495" spans="4:36" x14ac:dyDescent="0.3">
      <c r="F495" s="1">
        <v>1248371</v>
      </c>
    </row>
    <row r="496" spans="4:36" x14ac:dyDescent="0.3">
      <c r="W496" s="1"/>
    </row>
    <row r="497" spans="6:6" x14ac:dyDescent="0.3">
      <c r="F497">
        <v>700</v>
      </c>
    </row>
    <row r="498" spans="6:6" x14ac:dyDescent="0.3">
      <c r="F498" s="76">
        <f>+F497/F495</f>
        <v>5.6073074430597954E-4</v>
      </c>
    </row>
    <row r="500" spans="6:6" x14ac:dyDescent="0.3">
      <c r="F500" s="1">
        <v>60000</v>
      </c>
    </row>
    <row r="501" spans="6:6" x14ac:dyDescent="0.3">
      <c r="F501">
        <f>+F498*F500</f>
        <v>33.643844658358773</v>
      </c>
    </row>
    <row r="503" spans="6:6" x14ac:dyDescent="0.3">
      <c r="F503" s="1">
        <v>331000000</v>
      </c>
    </row>
    <row r="504" spans="6:6" x14ac:dyDescent="0.3">
      <c r="F504" s="56">
        <f>+W86</f>
        <v>811067</v>
      </c>
    </row>
    <row r="505" spans="6:6" x14ac:dyDescent="0.3">
      <c r="F505" s="57">
        <f>+F504/F503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489:G489"/>
    <mergeCell ref="I489:J489"/>
    <mergeCell ref="E475:M475"/>
    <mergeCell ref="I476:L476"/>
    <mergeCell ref="F478:G478"/>
    <mergeCell ref="E484:J484"/>
    <mergeCell ref="I485:J485"/>
    <mergeCell ref="I487:J487"/>
    <mergeCell ref="I488:J488"/>
    <mergeCell ref="H480:I480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2021-08-02T23:18:28Z</dcterms:modified>
</cp:coreProperties>
</file>