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685863E3-209C-483F-B1E6-F7782ACF7111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5" i="2" l="1"/>
  <c r="BO161" i="1" l="1"/>
  <c r="BH161" i="1"/>
  <c r="AZ161" i="1"/>
  <c r="AY161" i="1"/>
  <c r="AQ161" i="1"/>
  <c r="AJ161" i="1"/>
  <c r="AB161" i="1"/>
  <c r="T161" i="1"/>
  <c r="L161" i="1"/>
  <c r="K161" i="1"/>
  <c r="BO160" i="1"/>
  <c r="BL160" i="1"/>
  <c r="BL161" i="1" s="1"/>
  <c r="BJ160" i="1"/>
  <c r="BJ161" i="1" s="1"/>
  <c r="BI160" i="1"/>
  <c r="BI161" i="1" s="1"/>
  <c r="BH160" i="1"/>
  <c r="BF160" i="1"/>
  <c r="BF161" i="1" s="1"/>
  <c r="BD160" i="1"/>
  <c r="BD161" i="1" s="1"/>
  <c r="BC160" i="1"/>
  <c r="BC161" i="1" s="1"/>
  <c r="BB160" i="1"/>
  <c r="BB161" i="1" s="1"/>
  <c r="AZ160" i="1"/>
  <c r="AY160" i="1"/>
  <c r="AW160" i="1"/>
  <c r="AW161" i="1" s="1"/>
  <c r="AU160" i="1"/>
  <c r="AU161" i="1" s="1"/>
  <c r="AT160" i="1"/>
  <c r="AT161" i="1" s="1"/>
  <c r="AS160" i="1"/>
  <c r="AS161" i="1" s="1"/>
  <c r="AQ160" i="1"/>
  <c r="AP160" i="1"/>
  <c r="AP161" i="1" s="1"/>
  <c r="AO160" i="1"/>
  <c r="AO161" i="1" s="1"/>
  <c r="AN160" i="1"/>
  <c r="AN161" i="1" s="1"/>
  <c r="AM160" i="1"/>
  <c r="AM161" i="1" s="1"/>
  <c r="AK160" i="1"/>
  <c r="AK161" i="1" s="1"/>
  <c r="AJ160" i="1"/>
  <c r="AF160" i="1"/>
  <c r="AF161" i="1" s="1"/>
  <c r="AD160" i="1"/>
  <c r="AD161" i="1" s="1"/>
  <c r="AB160" i="1"/>
  <c r="Z160" i="1"/>
  <c r="Z161" i="1" s="1"/>
  <c r="Y160" i="1"/>
  <c r="Y161" i="1" s="1"/>
  <c r="X160" i="1"/>
  <c r="X161" i="1" s="1"/>
  <c r="W160" i="1"/>
  <c r="W161" i="1" s="1"/>
  <c r="V160" i="1"/>
  <c r="V161" i="1" s="1"/>
  <c r="U160" i="1"/>
  <c r="U161" i="1" s="1"/>
  <c r="T160" i="1"/>
  <c r="R160" i="1"/>
  <c r="R161" i="1" s="1"/>
  <c r="P160" i="1"/>
  <c r="P161" i="1" s="1"/>
  <c r="M160" i="1"/>
  <c r="M161" i="1" s="1"/>
  <c r="L160" i="1"/>
  <c r="K160" i="1"/>
  <c r="I160" i="1"/>
  <c r="I161" i="1" s="1"/>
  <c r="D160" i="1"/>
  <c r="D161" i="1" s="1"/>
  <c r="BW154" i="1"/>
  <c r="BN154" i="1" s="1"/>
  <c r="BN160" i="1" s="1"/>
  <c r="BN161" i="1" s="1"/>
  <c r="BE154" i="1"/>
  <c r="BP154" i="1" s="1"/>
  <c r="BR154" i="1" s="1"/>
  <c r="BA154" i="1"/>
  <c r="BK154" i="1" s="1"/>
  <c r="BK160" i="1" s="1"/>
  <c r="BK161" i="1" s="1"/>
  <c r="AX154" i="1"/>
  <c r="AX160" i="1" s="1"/>
  <c r="AX161" i="1" s="1"/>
  <c r="AL154" i="1"/>
  <c r="AL160" i="1" s="1"/>
  <c r="AL161" i="1" s="1"/>
  <c r="AG154" i="1"/>
  <c r="AI154" i="1" s="1"/>
  <c r="AI160" i="1" s="1"/>
  <c r="AI161" i="1" s="1"/>
  <c r="AA154" i="1"/>
  <c r="AA160" i="1" s="1"/>
  <c r="AA161" i="1" s="1"/>
  <c r="V154" i="1"/>
  <c r="Q154" i="1"/>
  <c r="N154" i="1"/>
  <c r="N160" i="1" s="1"/>
  <c r="N161" i="1" s="1"/>
  <c r="J154" i="1"/>
  <c r="J160" i="1" s="1"/>
  <c r="J161" i="1" s="1"/>
  <c r="H154" i="1"/>
  <c r="AV154" i="1" s="1"/>
  <c r="AV160" i="1" s="1"/>
  <c r="AV161" i="1" s="1"/>
  <c r="S163" i="2"/>
  <c r="R163" i="2"/>
  <c r="P163" i="2"/>
  <c r="O163" i="2"/>
  <c r="N163" i="2"/>
  <c r="L163" i="2"/>
  <c r="J163" i="2"/>
  <c r="I163" i="2"/>
  <c r="H163" i="2"/>
  <c r="G163" i="2"/>
  <c r="E163" i="2"/>
  <c r="K155" i="2"/>
  <c r="Q155" i="2" s="1"/>
  <c r="Q163" i="2" s="1"/>
  <c r="I20" i="3"/>
  <c r="J212" i="1"/>
  <c r="AA207" i="1"/>
  <c r="H205" i="1"/>
  <c r="O207" i="1"/>
  <c r="O208" i="1" s="1"/>
  <c r="H206" i="1"/>
  <c r="J206" i="1" s="1"/>
  <c r="H207" i="1"/>
  <c r="J207" i="1" s="1"/>
  <c r="S154" i="2"/>
  <c r="AG160" i="1" l="1"/>
  <c r="AG161" i="1" s="1"/>
  <c r="K163" i="2"/>
  <c r="BA160" i="1"/>
  <c r="BA161" i="1" s="1"/>
  <c r="BM154" i="1"/>
  <c r="BM160" i="1" s="1"/>
  <c r="BM161" i="1" s="1"/>
  <c r="AR154" i="1"/>
  <c r="AR160" i="1" s="1"/>
  <c r="AR161" i="1" s="1"/>
  <c r="AE154" i="1"/>
  <c r="AE160" i="1" s="1"/>
  <c r="AE161" i="1" s="1"/>
  <c r="H160" i="1"/>
  <c r="H161" i="1" s="1"/>
  <c r="Q160" i="1"/>
  <c r="Q161" i="1" s="1"/>
  <c r="BE160" i="1"/>
  <c r="BE161" i="1" s="1"/>
  <c r="BP160" i="1"/>
  <c r="BP161" i="1" s="1"/>
  <c r="BG154" i="1"/>
  <c r="BG160" i="1" s="1"/>
  <c r="BG161" i="1" s="1"/>
  <c r="O154" i="1"/>
  <c r="O160" i="1" s="1"/>
  <c r="O161" i="1" s="1"/>
  <c r="S154" i="1"/>
  <c r="S160" i="1" s="1"/>
  <c r="S161" i="1" s="1"/>
  <c r="AC154" i="1"/>
  <c r="AC160" i="1" s="1"/>
  <c r="AC161" i="1" s="1"/>
  <c r="U155" i="2"/>
  <c r="M155" i="2"/>
  <c r="M163" i="2" s="1"/>
  <c r="J205" i="1"/>
  <c r="AH154" i="1"/>
  <c r="AH160" i="1" s="1"/>
  <c r="BE153" i="1"/>
  <c r="BA153" i="1"/>
  <c r="AL153" i="1"/>
  <c r="AR153" i="1" s="1"/>
  <c r="AG153" i="1"/>
  <c r="Q153" i="1"/>
  <c r="N153" i="1"/>
  <c r="K154" i="2"/>
  <c r="M154" i="2" s="1"/>
  <c r="W154" i="2"/>
  <c r="W155" i="2" s="1"/>
  <c r="W156" i="2" s="1"/>
  <c r="W157" i="2" s="1"/>
  <c r="W158" i="2" s="1"/>
  <c r="C154" i="2"/>
  <c r="C155" i="2" s="1"/>
  <c r="C156" i="2" s="1"/>
  <c r="C157" i="2" s="1"/>
  <c r="C158" i="2" s="1"/>
  <c r="C159" i="2" s="1"/>
  <c r="C160" i="2" s="1"/>
  <c r="BG153" i="1" l="1"/>
  <c r="AI153" i="1"/>
  <c r="U154" i="2"/>
  <c r="Q154" i="2"/>
  <c r="S153" i="2"/>
  <c r="AG112" i="1" l="1"/>
  <c r="N131" i="1"/>
  <c r="N138" i="1"/>
  <c r="N145" i="1"/>
  <c r="N152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AL152" i="1"/>
  <c r="AG152" i="1"/>
  <c r="Q152" i="1"/>
  <c r="U107" i="3"/>
  <c r="U108" i="3" s="1"/>
  <c r="U109" i="3" s="1"/>
  <c r="U110" i="3" s="1"/>
  <c r="U111" i="3" s="1"/>
  <c r="U112" i="3" s="1"/>
  <c r="U113" i="3" s="1"/>
  <c r="U114" i="3" s="1"/>
  <c r="U115" i="3" s="1"/>
  <c r="U116" i="3" s="1"/>
  <c r="BE151" i="1"/>
  <c r="BA151" i="1"/>
  <c r="AL151" i="1"/>
  <c r="AR151" i="1" s="1"/>
  <c r="Q151" i="1"/>
  <c r="AR152" i="1" l="1"/>
  <c r="BG152" i="1"/>
  <c r="BG151" i="1"/>
  <c r="S151" i="2"/>
  <c r="K151" i="2"/>
  <c r="BC149" i="1"/>
  <c r="BA150" i="1" s="1"/>
  <c r="AP149" i="1"/>
  <c r="AL150" i="1" s="1"/>
  <c r="BQ160" i="1"/>
  <c r="BQ161" i="1" s="1"/>
  <c r="BE150" i="1"/>
  <c r="Q150" i="1"/>
  <c r="S150" i="2"/>
  <c r="U151" i="2" l="1"/>
  <c r="BG150" i="1"/>
  <c r="AR150" i="1"/>
  <c r="BE149" i="1"/>
  <c r="BA149" i="1"/>
  <c r="AL149" i="1"/>
  <c r="Q149" i="1"/>
  <c r="K150" i="2"/>
  <c r="Q150" i="2" s="1"/>
  <c r="Q151" i="2" l="1"/>
  <c r="M151" i="2"/>
  <c r="BG149" i="1"/>
  <c r="AR149" i="1"/>
  <c r="U150" i="2"/>
  <c r="M150" i="2"/>
  <c r="S149" i="2"/>
  <c r="BE148" i="1" l="1"/>
  <c r="BA148" i="1"/>
  <c r="AL148" i="1"/>
  <c r="Q148" i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K148" i="2"/>
  <c r="Q148" i="2" s="1"/>
  <c r="F153" i="3"/>
  <c r="F152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183" i="1" l="1"/>
  <c r="AR178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182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60" i="1"/>
  <c r="G161" i="1" s="1"/>
  <c r="F160" i="1"/>
  <c r="F161" i="1" s="1"/>
  <c r="E160" i="1"/>
  <c r="E161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BM144" i="1"/>
  <c r="BK143" i="1"/>
  <c r="BM143" i="1" s="1"/>
  <c r="Q140" i="2"/>
  <c r="M140" i="2"/>
  <c r="AR138" i="1"/>
  <c r="BG138" i="1"/>
  <c r="U139" i="2"/>
  <c r="BG137" i="1"/>
  <c r="S138" i="2" l="1"/>
  <c r="U138" i="2" s="1"/>
  <c r="K138" i="2"/>
  <c r="BE136" i="1"/>
  <c r="BA136" i="1"/>
  <c r="BK142" i="1" s="1"/>
  <c r="BM142" i="1" s="1"/>
  <c r="AL136" i="1"/>
  <c r="AR136" i="1" s="1"/>
  <c r="Q136" i="1"/>
  <c r="S143" i="1" s="1"/>
  <c r="Q138" i="2" l="1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187" i="1"/>
  <c r="S133" i="2"/>
  <c r="BM139" i="1" l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181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177" i="1" s="1"/>
  <c r="AH113" i="1"/>
  <c r="AP177" i="1" s="1"/>
  <c r="BE124" i="1"/>
  <c r="BA124" i="1"/>
  <c r="AL124" i="1"/>
  <c r="AG124" i="1"/>
  <c r="AI131" i="1" s="1"/>
  <c r="K125" i="2"/>
  <c r="S124" i="2"/>
  <c r="AV177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194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181" i="1" l="1"/>
  <c r="AP178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178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34" i="3"/>
  <c r="AA133" i="3"/>
  <c r="AA132" i="3"/>
  <c r="AA131" i="3"/>
  <c r="AA130" i="3"/>
  <c r="AA129" i="3"/>
  <c r="AA128" i="3"/>
  <c r="AA127" i="3"/>
  <c r="AA126" i="3"/>
  <c r="AA125" i="3"/>
  <c r="AJ135" i="3"/>
  <c r="AJ138" i="3" s="1"/>
  <c r="Y135" i="3"/>
  <c r="W135" i="3"/>
  <c r="S107" i="2"/>
  <c r="AA135" i="3" l="1"/>
  <c r="AA138" i="3" s="1"/>
  <c r="U135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46" i="3"/>
  <c r="F149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176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63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176" i="1"/>
  <c r="I60" i="3"/>
  <c r="AH153" i="1" l="1"/>
  <c r="AH161" i="1" s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176" i="1"/>
  <c r="AV176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36" i="3" l="1"/>
  <c r="I133" i="3"/>
  <c r="L133" i="3" s="1"/>
  <c r="I78" i="3"/>
  <c r="I80" i="3" s="1"/>
  <c r="I77" i="3"/>
  <c r="BE64" i="1"/>
  <c r="BA64" i="1"/>
  <c r="AL64" i="1"/>
  <c r="AR64" i="1" s="1"/>
  <c r="K65" i="2"/>
  <c r="Y19" i="3"/>
  <c r="Q66" i="2" l="1"/>
  <c r="M66" i="2"/>
  <c r="L136" i="3"/>
  <c r="I79" i="3"/>
  <c r="I81" i="3" s="1"/>
  <c r="I82" i="3" s="1"/>
  <c r="BG64" i="1"/>
  <c r="U65" i="2"/>
  <c r="S64" i="2"/>
  <c r="N81" i="3" l="1"/>
  <c r="N82" i="3" s="1"/>
  <c r="I135" i="3"/>
  <c r="L135" i="3" s="1"/>
  <c r="K64" i="2"/>
  <c r="BE63" i="1"/>
  <c r="BA63" i="1"/>
  <c r="AL63" i="1"/>
  <c r="AR63" i="1" s="1"/>
  <c r="Y18" i="3"/>
  <c r="Q65" i="2" l="1"/>
  <c r="M65" i="2"/>
  <c r="I137" i="3"/>
  <c r="U64" i="2"/>
  <c r="BG63" i="1"/>
  <c r="L126" i="3" l="1"/>
  <c r="L137" i="3"/>
  <c r="L125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T163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U117" i="3" s="1"/>
  <c r="AI54" i="1"/>
  <c r="AI61" i="1"/>
  <c r="U55" i="2"/>
  <c r="M56" i="2"/>
  <c r="BG54" i="1"/>
  <c r="S54" i="2"/>
  <c r="L51" i="7" l="1"/>
  <c r="K54" i="2"/>
  <c r="BE53" i="1"/>
  <c r="BA53" i="1"/>
  <c r="AL53" i="1"/>
  <c r="AR53" i="1" s="1"/>
  <c r="F73" i="7"/>
  <c r="F71" i="7"/>
  <c r="S53" i="2"/>
  <c r="L50" i="7"/>
  <c r="Q55" i="2" l="1"/>
  <c r="M55" i="2"/>
  <c r="U54" i="2"/>
  <c r="BG53" i="1"/>
  <c r="K53" i="2"/>
  <c r="Q54" i="2" s="1"/>
  <c r="BE52" i="1"/>
  <c r="BA52" i="1"/>
  <c r="AL52" i="1"/>
  <c r="AR52" i="1" s="1"/>
  <c r="M54" i="2" l="1"/>
  <c r="U53" i="2"/>
  <c r="BG52" i="1"/>
  <c r="G46" i="2"/>
  <c r="AO175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63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C149" i="2" l="1"/>
  <c r="C150" i="2" s="1"/>
  <c r="C151" i="2" s="1"/>
  <c r="C152" i="2" s="1"/>
  <c r="C153" i="2" s="1"/>
  <c r="C161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W113" i="2" l="1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W122" i="2" l="1"/>
  <c r="W123" i="2" s="1"/>
  <c r="W124" i="2" s="1"/>
  <c r="W125" i="2" s="1"/>
  <c r="W126" i="2" s="1"/>
  <c r="W127" i="2" s="1"/>
  <c r="BW15" i="1"/>
  <c r="AX14" i="1"/>
  <c r="AJ27" i="2"/>
  <c r="AH31" i="2"/>
  <c r="BG50" i="1"/>
  <c r="W128" i="2" l="1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18" i="1"/>
  <c r="B221" i="1"/>
  <c r="W147" i="2" l="1"/>
  <c r="W148" i="2" s="1"/>
  <c r="BM54" i="1"/>
  <c r="BK169" i="1" s="1"/>
  <c r="BK164" i="1"/>
  <c r="BK166" i="1" s="1"/>
  <c r="BW19" i="1"/>
  <c r="AX18" i="1"/>
  <c r="BG48" i="1"/>
  <c r="BE47" i="1"/>
  <c r="BA47" i="1"/>
  <c r="AL47" i="1"/>
  <c r="AR47" i="1" s="1"/>
  <c r="W149" i="2" l="1"/>
  <c r="BK171" i="1"/>
  <c r="BK168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W159" i="2" s="1"/>
  <c r="W160" i="2" s="1"/>
  <c r="W161" i="2" s="1"/>
  <c r="BW22" i="1"/>
  <c r="AX21" i="1"/>
  <c r="BG45" i="1"/>
  <c r="BW23" i="1" l="1"/>
  <c r="AX22" i="1"/>
  <c r="BE44" i="1"/>
  <c r="BA44" i="1"/>
  <c r="AL44" i="1"/>
  <c r="AR44" i="1" s="1"/>
  <c r="BW24" i="1" l="1"/>
  <c r="AX23" i="1"/>
  <c r="BG44" i="1"/>
  <c r="BA43" i="1"/>
  <c r="AL43" i="1"/>
  <c r="AR43" i="1" s="1"/>
  <c r="BW25" i="1" l="1"/>
  <c r="AX24" i="1"/>
  <c r="BE43" i="1"/>
  <c r="BG43" i="1" s="1"/>
  <c r="BW26" i="1" l="1"/>
  <c r="AX25" i="1"/>
  <c r="BE42" i="1"/>
  <c r="BA42" i="1"/>
  <c r="AL42" i="1"/>
  <c r="AR42" i="1" s="1"/>
  <c r="BW27" i="1" l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175" i="1"/>
  <c r="BW43" i="1"/>
  <c r="BN43" i="1" s="1"/>
  <c r="AX42" i="1"/>
  <c r="BE24" i="1"/>
  <c r="BC24" i="1"/>
  <c r="AR180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182" i="1" l="1"/>
  <c r="AV182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175" i="1" l="1"/>
  <c r="AV175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156" i="1" s="1"/>
  <c r="B157" i="1" s="1"/>
  <c r="B158" i="1" s="1"/>
  <c r="BW54" i="1"/>
  <c r="BN54" i="1" s="1"/>
  <c r="AX53" i="1"/>
  <c r="J11" i="1"/>
  <c r="O10" i="1"/>
  <c r="BR33" i="1"/>
  <c r="BP34" i="1"/>
  <c r="H11" i="1"/>
  <c r="AC10" i="1"/>
  <c r="AA12" i="1"/>
  <c r="AE12" i="1" s="1"/>
  <c r="BW55" i="1" l="1"/>
  <c r="BN55" i="1" s="1"/>
  <c r="AX54" i="1"/>
  <c r="AC11" i="1"/>
  <c r="O11" i="1"/>
  <c r="J12" i="1"/>
  <c r="H12" i="1"/>
  <c r="AC12" i="1" s="1"/>
  <c r="BR34" i="1"/>
  <c r="BP35" i="1"/>
  <c r="AA13" i="1"/>
  <c r="AE13" i="1" s="1"/>
  <c r="BW56" i="1" l="1"/>
  <c r="BN56" i="1" s="1"/>
  <c r="AX55" i="1"/>
  <c r="AV12" i="1"/>
  <c r="O12" i="1"/>
  <c r="J13" i="1"/>
  <c r="H13" i="1"/>
  <c r="BR35" i="1"/>
  <c r="BP36" i="1"/>
  <c r="AA14" i="1"/>
  <c r="AE14" i="1" s="1"/>
  <c r="BW57" i="1" l="1"/>
  <c r="BN57" i="1" s="1"/>
  <c r="AX56" i="1"/>
  <c r="AV13" i="1"/>
  <c r="O13" i="1"/>
  <c r="J14" i="1"/>
  <c r="H14" i="1"/>
  <c r="AC13" i="1"/>
  <c r="BR36" i="1"/>
  <c r="BP37" i="1"/>
  <c r="AA15" i="1"/>
  <c r="AE15" i="1" s="1"/>
  <c r="BW58" i="1" l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172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37" i="3"/>
  <c r="Y138" i="3" s="1"/>
  <c r="O92" i="1"/>
  <c r="H93" i="1"/>
  <c r="J93" i="1"/>
  <c r="AC92" i="1"/>
  <c r="AV92" i="1"/>
  <c r="BW153" i="1" l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W155" i="1" l="1"/>
  <c r="BW156" i="1" s="1"/>
  <c r="BW157" i="1" s="1"/>
  <c r="BW158" i="1" s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R133" i="1" l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R134" i="1" l="1"/>
  <c r="BP135" i="1"/>
  <c r="AA115" i="1"/>
  <c r="AE114" i="1"/>
  <c r="AE113" i="1"/>
  <c r="AV96" i="1"/>
  <c r="H97" i="1"/>
  <c r="J97" i="1"/>
  <c r="O96" i="1"/>
  <c r="AC96" i="1"/>
  <c r="BR135" i="1" l="1"/>
  <c r="BP136" i="1"/>
  <c r="AA116" i="1"/>
  <c r="AE115" i="1"/>
  <c r="O97" i="1"/>
  <c r="H98" i="1"/>
  <c r="J98" i="1"/>
  <c r="AV97" i="1"/>
  <c r="AC97" i="1"/>
  <c r="BP137" i="1" l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R137" i="1" l="1"/>
  <c r="BP138" i="1"/>
  <c r="BP139" i="1" s="1"/>
  <c r="BP140" i="1" s="1"/>
  <c r="AE117" i="1"/>
  <c r="AA118" i="1"/>
  <c r="H100" i="1"/>
  <c r="J100" i="1"/>
  <c r="O99" i="1"/>
  <c r="AV99" i="1"/>
  <c r="AC99" i="1"/>
  <c r="BR140" i="1" l="1"/>
  <c r="BP141" i="1"/>
  <c r="BR139" i="1"/>
  <c r="BR138" i="1"/>
  <c r="AE118" i="1"/>
  <c r="AA119" i="1"/>
  <c r="AV100" i="1"/>
  <c r="J101" i="1"/>
  <c r="H101" i="1"/>
  <c r="O100" i="1"/>
  <c r="AC100" i="1"/>
  <c r="BR141" i="1" l="1"/>
  <c r="BP142" i="1"/>
  <c r="AA120" i="1"/>
  <c r="AE119" i="1"/>
  <c r="O101" i="1"/>
  <c r="J102" i="1"/>
  <c r="H102" i="1"/>
  <c r="AV101" i="1"/>
  <c r="AC101" i="1"/>
  <c r="BR142" i="1" l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BR143" i="1" l="1"/>
  <c r="BP144" i="1"/>
  <c r="AA123" i="1"/>
  <c r="AE122" i="1"/>
  <c r="AE121" i="1"/>
  <c r="J104" i="1"/>
  <c r="H104" i="1"/>
  <c r="AV103" i="1"/>
  <c r="O103" i="1"/>
  <c r="AC103" i="1"/>
  <c r="BP145" i="1" l="1"/>
  <c r="BP146" i="1" s="1"/>
  <c r="BR144" i="1"/>
  <c r="AE123" i="1"/>
  <c r="AA124" i="1"/>
  <c r="O104" i="1"/>
  <c r="H105" i="1"/>
  <c r="J105" i="1"/>
  <c r="AV104" i="1"/>
  <c r="AC104" i="1"/>
  <c r="BP147" i="1" l="1"/>
  <c r="BR146" i="1"/>
  <c r="BR145" i="1"/>
  <c r="AE124" i="1"/>
  <c r="AA125" i="1"/>
  <c r="AA126" i="1" s="1"/>
  <c r="O105" i="1"/>
  <c r="J106" i="1"/>
  <c r="H106" i="1"/>
  <c r="H107" i="1" s="1"/>
  <c r="AV105" i="1"/>
  <c r="AC105" i="1"/>
  <c r="BP148" i="1" l="1"/>
  <c r="BR147" i="1"/>
  <c r="AA127" i="1"/>
  <c r="AE126" i="1"/>
  <c r="AE125" i="1"/>
  <c r="AV106" i="1"/>
  <c r="J107" i="1"/>
  <c r="O106" i="1"/>
  <c r="W137" i="3"/>
  <c r="W138" i="3" s="1"/>
  <c r="AC106" i="1"/>
  <c r="BR148" i="1" l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R151" i="1" l="1"/>
  <c r="BP152" i="1"/>
  <c r="BP153" i="1" s="1"/>
  <c r="BR150" i="1"/>
  <c r="BR149" i="1"/>
  <c r="AA131" i="1"/>
  <c r="AE130" i="1"/>
  <c r="AE129" i="1"/>
  <c r="AE128" i="1"/>
  <c r="H109" i="1"/>
  <c r="J109" i="1"/>
  <c r="AV108" i="1"/>
  <c r="O108" i="1"/>
  <c r="AC108" i="1"/>
  <c r="BR153" i="1" l="1"/>
  <c r="BR152" i="1"/>
  <c r="AA132" i="1"/>
  <c r="AA133" i="1" s="1"/>
  <c r="AE131" i="1"/>
  <c r="O109" i="1"/>
  <c r="J110" i="1"/>
  <c r="H110" i="1"/>
  <c r="AC109" i="1"/>
  <c r="AV109" i="1"/>
  <c r="AA134" i="1" l="1"/>
  <c r="AE133" i="1"/>
  <c r="AE132" i="1"/>
  <c r="O110" i="1"/>
  <c r="J111" i="1"/>
  <c r="H111" i="1"/>
  <c r="AC110" i="1"/>
  <c r="AV110" i="1"/>
  <c r="AA65" i="3"/>
  <c r="AA63" i="3"/>
  <c r="AA64" i="3"/>
  <c r="AA62" i="3"/>
  <c r="AA135" i="1" l="1"/>
  <c r="AE134" i="1"/>
  <c r="J112" i="1"/>
  <c r="H112" i="1"/>
  <c r="O111" i="1"/>
  <c r="AC111" i="1"/>
  <c r="AV111" i="1"/>
  <c r="AE135" i="1" l="1"/>
  <c r="AA136" i="1"/>
  <c r="AV112" i="1"/>
  <c r="J113" i="1"/>
  <c r="H113" i="1"/>
  <c r="H114" i="1" s="1"/>
  <c r="O112" i="1"/>
  <c r="AC112" i="1"/>
  <c r="AA137" i="1" l="1"/>
  <c r="AE136" i="1"/>
  <c r="J114" i="1"/>
  <c r="O113" i="1"/>
  <c r="AV113" i="1"/>
  <c r="AC113" i="1"/>
  <c r="AE137" i="1" l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AE140" i="1" l="1"/>
  <c r="AA141" i="1"/>
  <c r="AE139" i="1"/>
  <c r="AE138" i="1"/>
  <c r="O115" i="1"/>
  <c r="J116" i="1"/>
  <c r="AV115" i="1"/>
  <c r="AC115" i="1"/>
  <c r="AE141" i="1" l="1"/>
  <c r="AA142" i="1"/>
  <c r="O116" i="1"/>
  <c r="J117" i="1"/>
  <c r="H117" i="1"/>
  <c r="AC116" i="1"/>
  <c r="AV116" i="1"/>
  <c r="AA71" i="3"/>
  <c r="AA72" i="3"/>
  <c r="AA69" i="3"/>
  <c r="AA70" i="3"/>
  <c r="AA68" i="3"/>
  <c r="AE142" i="1" l="1"/>
  <c r="AA143" i="1"/>
  <c r="AV117" i="1"/>
  <c r="H118" i="1"/>
  <c r="J118" i="1"/>
  <c r="AC117" i="1"/>
  <c r="O117" i="1"/>
  <c r="AE143" i="1" l="1"/>
  <c r="AA144" i="1"/>
  <c r="H119" i="1"/>
  <c r="J119" i="1"/>
  <c r="O118" i="1"/>
  <c r="AC118" i="1"/>
  <c r="AV118" i="1"/>
  <c r="AE144" i="1" l="1"/>
  <c r="AA145" i="1"/>
  <c r="AA146" i="1" s="1"/>
  <c r="H120" i="1"/>
  <c r="J120" i="1"/>
  <c r="O119" i="1"/>
  <c r="AV119" i="1"/>
  <c r="AC119" i="1"/>
  <c r="AA147" i="1" l="1"/>
  <c r="AE146" i="1"/>
  <c r="AE145" i="1"/>
  <c r="O120" i="1"/>
  <c r="J121" i="1"/>
  <c r="H121" i="1"/>
  <c r="AV120" i="1"/>
  <c r="AC120" i="1"/>
  <c r="AE147" i="1" l="1"/>
  <c r="AA148" i="1"/>
  <c r="J122" i="1"/>
  <c r="H122" i="1"/>
  <c r="O121" i="1"/>
  <c r="AV121" i="1"/>
  <c r="AC121" i="1"/>
  <c r="AA75" i="3"/>
  <c r="AA76" i="3"/>
  <c r="AA73" i="3"/>
  <c r="AA74" i="3"/>
  <c r="AE148" i="1" l="1"/>
  <c r="AA149" i="1"/>
  <c r="AA150" i="1" s="1"/>
  <c r="AA151" i="1" s="1"/>
  <c r="AV122" i="1"/>
  <c r="J123" i="1"/>
  <c r="H123" i="1"/>
  <c r="O122" i="1"/>
  <c r="AC122" i="1"/>
  <c r="AA152" i="1" l="1"/>
  <c r="AA153" i="1" s="1"/>
  <c r="AE151" i="1"/>
  <c r="AE150" i="1"/>
  <c r="AE149" i="1"/>
  <c r="O123" i="1"/>
  <c r="J124" i="1"/>
  <c r="H124" i="1"/>
  <c r="AV123" i="1"/>
  <c r="AC123" i="1"/>
  <c r="AE153" i="1" l="1"/>
  <c r="AE152" i="1"/>
  <c r="I21" i="3"/>
  <c r="I35" i="3" s="1"/>
  <c r="AJ21" i="2"/>
  <c r="AD49" i="2"/>
  <c r="AD51" i="2" s="1"/>
  <c r="AD53" i="2" s="1"/>
  <c r="AD55" i="2" s="1"/>
  <c r="AD57" i="2" s="1"/>
  <c r="O124" i="1"/>
  <c r="H125" i="1"/>
  <c r="J125" i="1"/>
  <c r="AV124" i="1"/>
  <c r="AC124" i="1"/>
  <c r="AA78" i="3"/>
  <c r="AA79" i="3"/>
  <c r="AA77" i="3"/>
  <c r="H126" i="1" l="1"/>
  <c r="J126" i="1"/>
  <c r="AV125" i="1"/>
  <c r="O125" i="1"/>
  <c r="AC125" i="1"/>
  <c r="AC126" i="1" l="1"/>
  <c r="J127" i="1"/>
  <c r="H127" i="1"/>
  <c r="O126" i="1"/>
  <c r="AV126" i="1"/>
  <c r="J173" i="1"/>
  <c r="J174" i="1" s="1"/>
  <c r="AV127" i="1" l="1"/>
  <c r="H128" i="1"/>
  <c r="J128" i="1"/>
  <c r="O127" i="1"/>
  <c r="AC127" i="1"/>
  <c r="J129" i="1" l="1"/>
  <c r="H129" i="1"/>
  <c r="AC128" i="1"/>
  <c r="O128" i="1"/>
  <c r="AV128" i="1"/>
  <c r="AA81" i="3"/>
  <c r="AA82" i="3"/>
  <c r="AA80" i="3"/>
  <c r="J130" i="1" l="1"/>
  <c r="H130" i="1"/>
  <c r="O129" i="1"/>
  <c r="AV129" i="1"/>
  <c r="AC129" i="1"/>
  <c r="AV130" i="1" l="1"/>
  <c r="J131" i="1"/>
  <c r="H131" i="1"/>
  <c r="O130" i="1"/>
  <c r="AC130" i="1"/>
  <c r="AV131" i="1" l="1"/>
  <c r="J132" i="1"/>
  <c r="H132" i="1"/>
  <c r="O131" i="1"/>
  <c r="AC131" i="1"/>
  <c r="AA86" i="3"/>
  <c r="AA84" i="3"/>
  <c r="AA85" i="3"/>
  <c r="AA83" i="3"/>
  <c r="J133" i="1" l="1"/>
  <c r="H133" i="1"/>
  <c r="O132" i="1"/>
  <c r="AV132" i="1"/>
  <c r="AC132" i="1"/>
  <c r="AV133" i="1" l="1"/>
  <c r="H134" i="1"/>
  <c r="J134" i="1"/>
  <c r="O133" i="1"/>
  <c r="AC133" i="1"/>
  <c r="AV134" i="1" l="1"/>
  <c r="J135" i="1"/>
  <c r="H135" i="1"/>
  <c r="O134" i="1"/>
  <c r="AC134" i="1"/>
  <c r="O135" i="1" l="1"/>
  <c r="J136" i="1"/>
  <c r="H136" i="1"/>
  <c r="AV135" i="1"/>
  <c r="AC135" i="1"/>
  <c r="AA92" i="3"/>
  <c r="AA90" i="3"/>
  <c r="AA91" i="3"/>
  <c r="AA88" i="3"/>
  <c r="AA89" i="3"/>
  <c r="AA87" i="3"/>
  <c r="O136" i="1" l="1"/>
  <c r="J137" i="1"/>
  <c r="H137" i="1"/>
  <c r="AV136" i="1"/>
  <c r="AC136" i="1"/>
  <c r="AV137" i="1" l="1"/>
  <c r="J138" i="1"/>
  <c r="H138" i="1"/>
  <c r="O137" i="1"/>
  <c r="AC137" i="1"/>
  <c r="J139" i="1" l="1"/>
  <c r="H139" i="1"/>
  <c r="AV138" i="1"/>
  <c r="O138" i="1"/>
  <c r="AC138" i="1"/>
  <c r="J140" i="1" l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O140" i="1" l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O141" i="1" l="1"/>
  <c r="J142" i="1"/>
  <c r="H142" i="1"/>
  <c r="AV141" i="1"/>
  <c r="AC141" i="1"/>
  <c r="AA98" i="3"/>
  <c r="AA99" i="3"/>
  <c r="AA94" i="3"/>
  <c r="AA95" i="3"/>
  <c r="AA93" i="3"/>
  <c r="H143" i="1" l="1"/>
  <c r="I23" i="3" s="1"/>
  <c r="I25" i="3" s="1"/>
  <c r="I27" i="3" s="1"/>
  <c r="J143" i="1"/>
  <c r="O142" i="1"/>
  <c r="AV142" i="1"/>
  <c r="AC142" i="1"/>
  <c r="AA96" i="3"/>
  <c r="AA97" i="3"/>
  <c r="N27" i="3" l="1"/>
  <c r="N28" i="3" s="1"/>
  <c r="I34" i="3"/>
  <c r="O143" i="1"/>
  <c r="J144" i="1"/>
  <c r="H144" i="1"/>
  <c r="AV143" i="1"/>
  <c r="AC143" i="1"/>
  <c r="O144" i="1" l="1"/>
  <c r="H145" i="1"/>
  <c r="J145" i="1"/>
  <c r="AV144" i="1"/>
  <c r="AC144" i="1"/>
  <c r="J146" i="1" l="1"/>
  <c r="H146" i="1"/>
  <c r="AV145" i="1"/>
  <c r="O145" i="1"/>
  <c r="AC145" i="1"/>
  <c r="J147" i="1" l="1"/>
  <c r="H147" i="1"/>
  <c r="O146" i="1"/>
  <c r="AV146" i="1"/>
  <c r="AC146" i="1"/>
  <c r="AV147" i="1" l="1"/>
  <c r="H148" i="1"/>
  <c r="J148" i="1"/>
  <c r="O147" i="1"/>
  <c r="AC147" i="1"/>
  <c r="O148" i="1" l="1"/>
  <c r="J149" i="1"/>
  <c r="H149" i="1"/>
  <c r="AV148" i="1"/>
  <c r="AC148" i="1"/>
  <c r="AA103" i="3"/>
  <c r="AA100" i="3"/>
  <c r="H150" i="1" l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H153" i="1"/>
  <c r="O152" i="1"/>
  <c r="AV152" i="1"/>
  <c r="AC152" i="1"/>
  <c r="AA105" i="3"/>
  <c r="AA106" i="3"/>
  <c r="AA104" i="3"/>
  <c r="O153" i="1" l="1"/>
  <c r="AV153" i="1"/>
  <c r="AC153" i="1"/>
  <c r="I32" i="3"/>
  <c r="AF21" i="2"/>
  <c r="I28" i="3" l="1"/>
  <c r="L32" i="3"/>
  <c r="L34" i="3"/>
  <c r="L35" i="3"/>
  <c r="I36" i="3"/>
  <c r="AA108" i="3" l="1"/>
  <c r="W109" i="3"/>
  <c r="AA109" i="3" s="1"/>
  <c r="AA107" i="3"/>
  <c r="L36" i="3"/>
  <c r="Y109" i="3" s="1"/>
  <c r="Y12" i="3" l="1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<sst xmlns="http://schemas.openxmlformats.org/spreadsheetml/2006/main" count="291" uniqueCount="166">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</sst>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4" fontId="0" fillId="0" borderId="0" xfId="1" applyNumberFormat="1" applyFont="1" applyFill="1"/>
    <xf numFmtId="174" fontId="0" fillId="0" borderId="0" xfId="1" applyNumberFormat="1" applyFont="1" applyFill="1"/>
    <xf numFmtId="174" fontId="0" fillId="0" borderId="0" xfId="0" applyNumberFormat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2" applyNumberFormat="1" applyFont="1" applyFill="1"/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Table'!$BK$40:$BK$145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/>
              <a:t>USA Weekly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5875" cap="rnd">
                <a:solidFill>
                  <a:schemeClr val="accent5">
                    <a:shade val="58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val>
            <c:numRef>
              <c:f>('Main Table'!$N$131,'Main Table'!$N$138,'Main Table'!$N$145,'Main Table'!$N$152)</c:f>
              <c:numCache>
                <c:formatCode>_(* #,##0_);_(* \(#,##0\);_(* "-"??_);_(@_)</c:formatCode>
                <c:ptCount val="4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3005-4E9E-906F-4DD984BA504F}"/>
            </c:ext>
          </c:extLst>
        </c:ser>
        <c:ser>
          <c:idx val="1"/>
          <c:order val="1"/>
          <c:tx>
            <c:v>26-Jul</c:v>
          </c:tx>
          <c:spPr>
            <a:solidFill>
              <a:schemeClr val="accent5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2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3005-4E9E-906F-4DD984BA504F}"/>
            </c:ext>
          </c:extLst>
        </c:ser>
        <c:ser>
          <c:idx val="2"/>
          <c:order val="2"/>
          <c:tx>
            <c:v>2-Aug</c:v>
          </c:tx>
          <c:spPr>
            <a:solidFill>
              <a:schemeClr val="accent5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2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3005-4E9E-906F-4DD984BA504F}"/>
            </c:ext>
          </c:extLst>
        </c:ser>
        <c:ser>
          <c:idx val="3"/>
          <c:order val="3"/>
          <c:tx>
            <c:v>9-Aug</c:v>
          </c:tx>
          <c:spPr>
            <a:solidFill>
              <a:schemeClr val="accent5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2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6-3005-4E9E-906F-4DD984BA50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917994928"/>
        <c:axId val="235245392"/>
      </c:barChart>
      <c:catAx>
        <c:axId val="91799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Week Endings: July 19 through August 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245392"/>
        <c:crosses val="autoZero"/>
        <c:auto val="0"/>
        <c:lblAlgn val="ctr"/>
        <c:lblOffset val="100"/>
        <c:noMultiLvlLbl val="0"/>
      </c:catAx>
      <c:valAx>
        <c:axId val="23524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Cases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99492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163</xdr:row>
      <xdr:rowOff>0</xdr:rowOff>
    </xdr:from>
    <xdr:to>
      <xdr:col>54</xdr:col>
      <xdr:colOff>160020</xdr:colOff>
      <xdr:row>163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164</xdr:row>
      <xdr:rowOff>0</xdr:rowOff>
    </xdr:from>
    <xdr:to>
      <xdr:col>54</xdr:col>
      <xdr:colOff>160020</xdr:colOff>
      <xdr:row>164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173</xdr:row>
      <xdr:rowOff>99060</xdr:rowOff>
    </xdr:from>
    <xdr:to>
      <xdr:col>22</xdr:col>
      <xdr:colOff>312420</xdr:colOff>
      <xdr:row>174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173</xdr:row>
      <xdr:rowOff>129540</xdr:rowOff>
    </xdr:from>
    <xdr:to>
      <xdr:col>23</xdr:col>
      <xdr:colOff>68580</xdr:colOff>
      <xdr:row>174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84</xdr:col>
      <xdr:colOff>175260</xdr:colOff>
      <xdr:row>4</xdr:row>
      <xdr:rowOff>129540</xdr:rowOff>
    </xdr:from>
    <xdr:to>
      <xdr:col>92</xdr:col>
      <xdr:colOff>144780</xdr:colOff>
      <xdr:row>22</xdr:row>
      <xdr:rowOff>68580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160020</xdr:colOff>
      <xdr:row>181</xdr:row>
      <xdr:rowOff>140970</xdr:rowOff>
    </xdr:from>
    <xdr:to>
      <xdr:col>28</xdr:col>
      <xdr:colOff>243840</xdr:colOff>
      <xdr:row>196</xdr:row>
      <xdr:rowOff>118110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B2FC70-91A0-4EBB-A20B-0DA4B47EFB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15240</xdr:colOff>
      <xdr:row>27</xdr:row>
      <xdr:rowOff>15240</xdr:rowOff>
    </xdr:from>
    <xdr:to>
      <xdr:col>12</xdr:col>
      <xdr:colOff>129540</xdr:colOff>
      <xdr:row>27</xdr:row>
      <xdr:rowOff>160020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55820" y="521208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15240</xdr:colOff>
      <xdr:row>32</xdr:row>
      <xdr:rowOff>15240</xdr:rowOff>
    </xdr:from>
    <xdr:to>
      <xdr:col>34</xdr:col>
      <xdr:colOff>121920</xdr:colOff>
      <xdr:row>32</xdr:row>
      <xdr:rowOff>144780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180820" y="618744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38"/>
  <sheetViews>
    <sheetView tabSelected="1" zoomScaleNormal="100" workbookViewId="0">
      <selection activeCell="BW164" sqref="BW164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4" width="1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93" t="s">
        <v>5</v>
      </c>
      <c r="C1" s="593"/>
      <c r="D1" s="593"/>
    </row>
    <row r="2" spans="2:90" ht="15.6" x14ac:dyDescent="0.3">
      <c r="B2" s="593" t="s">
        <v>6</v>
      </c>
      <c r="C2" s="593"/>
      <c r="D2" s="593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596" t="s">
        <v>13</v>
      </c>
      <c r="C3" s="596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594" t="s">
        <v>11</v>
      </c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5"/>
      <c r="AB4" s="595"/>
      <c r="AC4" s="595"/>
      <c r="AD4" s="11"/>
      <c r="AE4" s="325"/>
      <c r="AF4" s="447"/>
      <c r="AG4" s="447"/>
      <c r="AH4" s="447"/>
      <c r="AI4" s="447"/>
      <c r="AJ4" s="12"/>
      <c r="AL4" s="576" t="s">
        <v>14</v>
      </c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577"/>
      <c r="BC4" s="577"/>
      <c r="BD4" s="577"/>
      <c r="BE4" s="577"/>
      <c r="BF4" s="577"/>
      <c r="BG4" s="577"/>
      <c r="BH4" s="577"/>
      <c r="BI4" s="577"/>
      <c r="BJ4" s="577"/>
      <c r="BK4" s="577"/>
      <c r="BL4" s="577"/>
      <c r="BM4" s="577"/>
      <c r="BN4" s="577"/>
      <c r="BO4" s="577"/>
      <c r="BP4" s="577"/>
      <c r="BQ4" s="577"/>
      <c r="BR4" s="577"/>
      <c r="BS4" s="577"/>
      <c r="BT4" s="577"/>
      <c r="BU4" s="578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597" t="s">
        <v>12</v>
      </c>
      <c r="G6" s="597"/>
      <c r="H6" s="597"/>
      <c r="I6" s="597"/>
      <c r="J6" s="597"/>
      <c r="K6" s="597"/>
      <c r="L6" s="597"/>
      <c r="M6" s="335"/>
      <c r="N6" s="545"/>
      <c r="O6" s="335"/>
      <c r="P6" s="336"/>
      <c r="Q6" s="603" t="s">
        <v>124</v>
      </c>
      <c r="R6" s="597"/>
      <c r="S6" s="597"/>
      <c r="T6" s="597"/>
      <c r="U6" s="604"/>
      <c r="V6" s="3"/>
      <c r="W6" s="8" t="s">
        <v>7</v>
      </c>
      <c r="X6" s="30"/>
      <c r="Y6" s="598">
        <v>1.2500000000000001E-2</v>
      </c>
      <c r="Z6" s="598"/>
      <c r="AA6" s="598"/>
      <c r="AB6" s="598"/>
      <c r="AC6" s="598"/>
      <c r="AD6" s="598"/>
      <c r="AE6" s="598"/>
      <c r="AF6" s="598"/>
      <c r="AG6" s="598"/>
      <c r="AH6" s="598"/>
      <c r="AI6" s="598"/>
      <c r="AJ6" s="599"/>
      <c r="AK6" s="3"/>
      <c r="AL6" s="585" t="s">
        <v>27</v>
      </c>
      <c r="AM6" s="586"/>
      <c r="AN6" s="586"/>
      <c r="AO6" s="586"/>
      <c r="AP6" s="586"/>
      <c r="AQ6" s="586"/>
      <c r="AR6" s="586"/>
      <c r="AS6" s="586"/>
      <c r="AT6" s="586"/>
      <c r="AU6" s="586"/>
      <c r="AV6" s="586"/>
      <c r="AW6" s="586"/>
      <c r="AX6" s="586"/>
      <c r="AY6" s="587"/>
      <c r="AZ6" s="3"/>
      <c r="BA6" s="588" t="s">
        <v>7</v>
      </c>
      <c r="BB6" s="580"/>
      <c r="BC6" s="580"/>
      <c r="BD6" s="97"/>
      <c r="BE6" s="579" t="s">
        <v>26</v>
      </c>
      <c r="BF6" s="579"/>
      <c r="BG6" s="579"/>
      <c r="BH6" s="579"/>
      <c r="BI6" s="579"/>
      <c r="BJ6" s="579"/>
      <c r="BK6" s="579"/>
      <c r="BL6" s="579"/>
      <c r="BM6" s="579"/>
      <c r="BN6" s="579"/>
      <c r="BO6" s="579"/>
      <c r="BP6" s="579"/>
      <c r="BQ6" s="579"/>
      <c r="BR6" s="580"/>
      <c r="BS6" s="580"/>
      <c r="BT6" s="580"/>
      <c r="BU6" s="581"/>
      <c r="BV6" s="3"/>
    </row>
    <row r="7" spans="2:90" ht="16.2" x14ac:dyDescent="0.3">
      <c r="D7" s="582" t="s">
        <v>20</v>
      </c>
      <c r="E7" s="583"/>
      <c r="F7" s="583"/>
      <c r="G7" s="583"/>
      <c r="H7" s="583"/>
      <c r="I7" s="583"/>
      <c r="J7" s="583"/>
      <c r="K7" s="465"/>
      <c r="L7" s="465"/>
      <c r="M7" s="465"/>
      <c r="N7" s="544"/>
      <c r="O7" s="465"/>
      <c r="P7" s="466"/>
      <c r="Q7" s="448"/>
      <c r="R7" s="449"/>
      <c r="S7" s="449"/>
      <c r="T7" s="449"/>
      <c r="U7" s="337"/>
      <c r="V7" s="3"/>
      <c r="W7" s="600" t="s">
        <v>35</v>
      </c>
      <c r="X7" s="601"/>
      <c r="Y7" s="601"/>
      <c r="Z7" s="601"/>
      <c r="AA7" s="601"/>
      <c r="AB7" s="601"/>
      <c r="AC7" s="601"/>
      <c r="AD7" s="601"/>
      <c r="AE7" s="601"/>
      <c r="AF7" s="601"/>
      <c r="AG7" s="601"/>
      <c r="AH7" s="601"/>
      <c r="AI7" s="601"/>
      <c r="AJ7" s="602"/>
      <c r="AK7" s="3"/>
      <c r="AL7" s="582" t="s">
        <v>76</v>
      </c>
      <c r="AM7" s="583"/>
      <c r="AN7" s="583"/>
      <c r="AO7" s="583"/>
      <c r="AP7" s="583"/>
      <c r="AQ7" s="583"/>
      <c r="AR7" s="583"/>
      <c r="AS7" s="583"/>
      <c r="AT7" s="583"/>
      <c r="AU7" s="583"/>
      <c r="AV7" s="583"/>
      <c r="AW7" s="583"/>
      <c r="AX7" s="583"/>
      <c r="AY7" s="584"/>
      <c r="BA7" s="582" t="s">
        <v>25</v>
      </c>
      <c r="BB7" s="583"/>
      <c r="BC7" s="583"/>
      <c r="BD7" s="583"/>
      <c r="BE7" s="583"/>
      <c r="BF7" s="583"/>
      <c r="BG7" s="583"/>
      <c r="BH7" s="583"/>
      <c r="BI7" s="583"/>
      <c r="BJ7" s="583"/>
      <c r="BK7" s="583"/>
      <c r="BL7" s="583"/>
      <c r="BM7" s="583"/>
      <c r="BN7" s="583"/>
      <c r="BO7" s="583"/>
      <c r="BP7" s="583"/>
      <c r="BQ7" s="583"/>
      <c r="BR7" s="583"/>
      <c r="BS7" s="583"/>
      <c r="BT7" s="583"/>
      <c r="BU7" s="584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4" t="s">
        <v>1</v>
      </c>
      <c r="BB8" s="575"/>
      <c r="BC8" s="575"/>
      <c r="BD8" s="64"/>
      <c r="BE8" s="575" t="s">
        <v>24</v>
      </c>
      <c r="BF8" s="575"/>
      <c r="BG8" s="575"/>
      <c r="BH8" s="575"/>
      <c r="BI8" s="589"/>
      <c r="BJ8" s="590" t="s">
        <v>124</v>
      </c>
      <c r="BK8" s="591"/>
      <c r="BL8" s="591"/>
      <c r="BM8" s="592"/>
      <c r="BN8" s="574" t="s">
        <v>24</v>
      </c>
      <c r="BO8" s="575"/>
      <c r="BP8" s="575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58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58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/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/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27095.876190476192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</f>
        <v>132099</v>
      </c>
      <c r="AB114" s="33"/>
      <c r="AC114" s="46">
        <f t="shared" si="73"/>
        <v>4.6430892488647894E-2</v>
      </c>
      <c r="AD114" s="33"/>
      <c r="AE114" s="33">
        <f t="shared" si="74"/>
        <v>1258.0857142857142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0.41657331795701119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5" t="s">
        <v>150</v>
      </c>
      <c r="J115" s="38">
        <f t="shared" si="70"/>
        <v>2.0418148324802193E-2</v>
      </c>
      <c r="K115" s="16"/>
      <c r="L115" s="16"/>
      <c r="M115" s="16"/>
      <c r="N115" s="16"/>
      <c r="O115" s="16">
        <f t="shared" si="71"/>
        <v>27388.283018867925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132715</v>
      </c>
      <c r="AB115" s="33"/>
      <c r="AC115" s="46">
        <f t="shared" si="73"/>
        <v>4.5714012120594193E-2</v>
      </c>
      <c r="AD115" s="33"/>
      <c r="AE115" s="33">
        <f t="shared" si="74"/>
        <v>1252.0283018867924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0.42556691712955341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2952661</v>
      </c>
      <c r="I116" s="505" t="s">
        <v>150</v>
      </c>
      <c r="J116" s="38">
        <f t="shared" si="70"/>
        <v>1.6045974762655013E-2</v>
      </c>
      <c r="K116" s="16"/>
      <c r="L116" s="16"/>
      <c r="M116" s="16"/>
      <c r="N116" s="16"/>
      <c r="O116" s="16">
        <f t="shared" si="71"/>
        <v>27594.962616822431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132969</v>
      </c>
      <c r="AB116" s="33"/>
      <c r="AC116" s="46">
        <f t="shared" si="73"/>
        <v>4.5033615440445075E-2</v>
      </c>
      <c r="AD116" s="33"/>
      <c r="AE116" s="33">
        <f t="shared" si="74"/>
        <v>1242.7009345794393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0.42687088019925079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2997191</v>
      </c>
      <c r="I117" s="16"/>
      <c r="J117" s="38">
        <f t="shared" si="70"/>
        <v>1.5081311400123481E-2</v>
      </c>
      <c r="K117" s="16"/>
      <c r="L117" s="16"/>
      <c r="M117" s="16"/>
      <c r="N117" s="16">
        <f>SUM(D111:D117)</f>
        <v>350953</v>
      </c>
      <c r="O117" s="16">
        <f t="shared" si="71"/>
        <v>27751.768518518518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133220</v>
      </c>
      <c r="AB117" s="33"/>
      <c r="AC117" s="46">
        <f t="shared" si="73"/>
        <v>4.4448285077594324E-2</v>
      </c>
      <c r="AD117" s="33"/>
      <c r="AE117" s="33">
        <f t="shared" si="74"/>
        <v>1233.5185185185185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0.42892127995846779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 t="shared" ref="BK117:BK124" si="88">SUM(BA111:BA117)</f>
        <v>4994441</v>
      </c>
      <c r="BL117" s="67"/>
      <c r="BM117" s="156">
        <f t="shared" ref="BM117:BM124" si="89"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3050803</v>
      </c>
      <c r="I118" s="16"/>
      <c r="J118" s="38">
        <f t="shared" si="70"/>
        <v>1.7887415249812241E-2</v>
      </c>
      <c r="K118" s="16"/>
      <c r="L118" s="16"/>
      <c r="M118" s="16"/>
      <c r="N118" s="16"/>
      <c r="O118" s="16">
        <f t="shared" si="71"/>
        <v>27989.018348623853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133598</v>
      </c>
      <c r="AB118" s="33"/>
      <c r="AC118" s="46">
        <f t="shared" si="73"/>
        <v>4.3791093689104145E-2</v>
      </c>
      <c r="AD118" s="33"/>
      <c r="AE118" s="33">
        <f t="shared" si="74"/>
        <v>1225.6697247706422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0.43429451196947166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3106245</v>
      </c>
      <c r="I119" s="16"/>
      <c r="J119" s="38">
        <f t="shared" si="70"/>
        <v>1.8172920375389694E-2</v>
      </c>
      <c r="K119" s="16"/>
      <c r="L119" s="16"/>
      <c r="M119" s="16"/>
      <c r="N119" s="16"/>
      <c r="O119" s="16">
        <f t="shared" si="71"/>
        <v>28238.590909090908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134591</v>
      </c>
      <c r="AB119" s="33"/>
      <c r="AC119" s="46">
        <f t="shared" si="73"/>
        <v>4.3329164312538131E-2</v>
      </c>
      <c r="AD119" s="33"/>
      <c r="AE119" s="33">
        <f t="shared" si="74"/>
        <v>1223.5545454545454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0.43617390128595779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3168093</v>
      </c>
      <c r="I120" s="16"/>
      <c r="J120" s="38">
        <f t="shared" si="70"/>
        <v>1.9910856999367402E-2</v>
      </c>
      <c r="K120" s="16"/>
      <c r="L120" s="16"/>
      <c r="M120" s="16"/>
      <c r="N120" s="16"/>
      <c r="O120" s="16">
        <f t="shared" si="71"/>
        <v>28541.37837837838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135481</v>
      </c>
      <c r="AB120" s="33"/>
      <c r="AC120" s="46">
        <f t="shared" si="73"/>
        <v>4.2764211782924305E-2</v>
      </c>
      <c r="AD120" s="33"/>
      <c r="AE120" s="33">
        <f t="shared" si="74"/>
        <v>1220.5495495495495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0.43959536541383099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3229160</v>
      </c>
      <c r="I121" s="16"/>
      <c r="J121" s="38">
        <f t="shared" si="70"/>
        <v>1.9275633638280189E-2</v>
      </c>
      <c r="K121" s="16"/>
      <c r="L121" s="16"/>
      <c r="M121" s="16"/>
      <c r="N121" s="16"/>
      <c r="O121" s="16">
        <f t="shared" si="71"/>
        <v>28831.785714285714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136441</v>
      </c>
      <c r="AB121" s="33"/>
      <c r="AC121" s="46">
        <f t="shared" si="73"/>
        <v>4.2252784005747626E-2</v>
      </c>
      <c r="AD121" s="33"/>
      <c r="AE121" s="33">
        <f t="shared" si="74"/>
        <v>1218.2232142857142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0.44173345390132418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3300947</v>
      </c>
      <c r="I122" s="16"/>
      <c r="J122" s="38">
        <f t="shared" si="70"/>
        <v>2.2230858799192361E-2</v>
      </c>
      <c r="K122" s="16"/>
      <c r="L122" s="16"/>
      <c r="M122" s="16"/>
      <c r="N122" s="16"/>
      <c r="O122" s="16">
        <f t="shared" si="71"/>
        <v>29211.920353982299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137290</v>
      </c>
      <c r="AB122" s="33"/>
      <c r="AC122" s="46">
        <f t="shared" si="73"/>
        <v>4.1591094919124723E-2</v>
      </c>
      <c r="AD122" s="33"/>
      <c r="AE122" s="33">
        <f t="shared" si="74"/>
        <v>1214.9557522123894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0.44244727346425133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3362666</v>
      </c>
      <c r="I123" s="16"/>
      <c r="J123" s="38">
        <f t="shared" si="70"/>
        <v>1.8697361696507094E-2</v>
      </c>
      <c r="K123" s="16"/>
      <c r="L123" s="16"/>
      <c r="M123" s="16"/>
      <c r="N123" s="16"/>
      <c r="O123" s="16">
        <f t="shared" si="71"/>
        <v>29497.070175438595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138021</v>
      </c>
      <c r="AB123" s="33"/>
      <c r="AC123" s="46">
        <f t="shared" si="73"/>
        <v>4.1045111230196517E-2</v>
      </c>
      <c r="AD123" s="33"/>
      <c r="AE123" s="33">
        <f t="shared" si="74"/>
        <v>1210.7105263157894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0.44323343442375779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53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3421015</v>
      </c>
      <c r="I124" s="16"/>
      <c r="J124" s="38">
        <f t="shared" si="70"/>
        <v>1.7352005819192273E-2</v>
      </c>
      <c r="K124" s="16"/>
      <c r="L124" s="16"/>
      <c r="M124" s="16"/>
      <c r="N124" s="16">
        <f>SUM(D118:D124)</f>
        <v>423824</v>
      </c>
      <c r="O124" s="16">
        <f t="shared" si="71"/>
        <v>29747.956521739132</v>
      </c>
      <c r="P124" s="41"/>
      <c r="Q124" s="17">
        <f t="shared" si="87"/>
        <v>423824</v>
      </c>
      <c r="R124" s="16"/>
      <c r="S124" s="60">
        <f t="shared" ref="S124:S129" si="90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138401</v>
      </c>
      <c r="AB124" s="33"/>
      <c r="AC124" s="46">
        <f t="shared" si="73"/>
        <v>4.0456121940418269E-2</v>
      </c>
      <c r="AD124" s="33"/>
      <c r="AE124" s="33">
        <f t="shared" si="74"/>
        <v>1203.4869565217391</v>
      </c>
      <c r="AF124" s="50"/>
      <c r="AG124" s="33">
        <f t="shared" ref="AG124" si="91">SUM(W118:W124)</f>
        <v>5181</v>
      </c>
      <c r="AH124" s="33">
        <f>SUM(D95:D125)</f>
        <v>1356158</v>
      </c>
      <c r="AI124" s="231">
        <f t="shared" ref="AI124" si="92"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0.44346020113913559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 t="shared" si="88"/>
        <v>4882798</v>
      </c>
      <c r="BL124" s="67"/>
      <c r="BM124" s="156">
        <f t="shared" si="89"/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3486503</v>
      </c>
      <c r="I125" s="16"/>
      <c r="J125" s="38">
        <f t="shared" si="70"/>
        <v>1.9142856725270132E-2</v>
      </c>
      <c r="K125" s="16"/>
      <c r="L125" s="16"/>
      <c r="M125" s="16"/>
      <c r="N125" s="16"/>
      <c r="O125" s="16">
        <f t="shared" si="71"/>
        <v>30056.060344827587</v>
      </c>
      <c r="P125" s="41"/>
      <c r="Q125" s="17">
        <f t="shared" si="87"/>
        <v>435700</v>
      </c>
      <c r="R125" s="16"/>
      <c r="S125" s="60">
        <f t="shared" si="90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138866</v>
      </c>
      <c r="AB125" s="33"/>
      <c r="AC125" s="46">
        <f t="shared" si="73"/>
        <v>3.9829594295487485E-2</v>
      </c>
      <c r="AD125" s="33"/>
      <c r="AE125" s="33">
        <f t="shared" si="74"/>
        <v>1197.1206896551723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0.44441923612284284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3552551</v>
      </c>
      <c r="I126" s="16"/>
      <c r="J126" s="38">
        <f t="shared" si="70"/>
        <v>1.8943910273417231E-2</v>
      </c>
      <c r="K126" s="16"/>
      <c r="L126" s="16"/>
      <c r="M126" s="16"/>
      <c r="N126" s="16"/>
      <c r="O126" s="16">
        <f t="shared" si="71"/>
        <v>30363.683760683762</v>
      </c>
      <c r="P126" s="41"/>
      <c r="Q126" s="17">
        <f t="shared" si="87"/>
        <v>446306</v>
      </c>
      <c r="R126" s="16"/>
      <c r="S126" s="60">
        <f t="shared" si="90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139802</v>
      </c>
      <c r="AB126" s="33"/>
      <c r="AC126" s="46">
        <f t="shared" si="73"/>
        <v>3.935256664858576E-2</v>
      </c>
      <c r="AD126" s="33"/>
      <c r="AE126" s="33">
        <f t="shared" si="74"/>
        <v>1194.8888888888889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0.45043547580316229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" si="93">+H126+D127</f>
        <v>3624556</v>
      </c>
      <c r="I127" s="16"/>
      <c r="J127" s="38">
        <f t="shared" ref="J127" si="94">+D127/H126</f>
        <v>2.0268533794447988E-2</v>
      </c>
      <c r="K127" s="16"/>
      <c r="L127" s="16"/>
      <c r="M127" s="16"/>
      <c r="N127" s="16"/>
      <c r="O127" s="16">
        <f t="shared" ref="O127" si="95">+H127/BW127</f>
        <v>30716.576271186441</v>
      </c>
      <c r="P127" s="41"/>
      <c r="Q127" s="17">
        <f t="shared" ref="Q127" si="96">SUM(D121:D127)</f>
        <v>456463</v>
      </c>
      <c r="R127" s="16"/>
      <c r="S127" s="60">
        <f t="shared" si="90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" si="97">+AA126+W127</f>
        <v>140804</v>
      </c>
      <c r="AB127" s="33"/>
      <c r="AC127" s="46">
        <f t="shared" ref="AC127" si="98">+AA127/H127</f>
        <v>3.8847240875847969E-2</v>
      </c>
      <c r="AD127" s="33"/>
      <c r="AE127" s="33">
        <f t="shared" ref="AE127" si="99">+AA127/BW127</f>
        <v>1193.2542372881355</v>
      </c>
      <c r="AF127" s="50"/>
      <c r="AG127" s="33"/>
      <c r="AH127" s="33"/>
      <c r="AI127" s="231"/>
      <c r="AJ127" s="50"/>
      <c r="AK127" s="10"/>
      <c r="AL127" s="23">
        <f t="shared" ref="AL127" si="100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" si="101">+AL127/AP126</f>
        <v>2.8600889266620629E-2</v>
      </c>
      <c r="AS127" s="25"/>
      <c r="AT127" s="25"/>
      <c r="AU127" s="24"/>
      <c r="AV127" s="341">
        <f t="shared" ref="AV127" si="102">+AP127/H127</f>
        <v>0.45411410390679574</v>
      </c>
      <c r="AW127" s="341"/>
      <c r="AX127" s="24">
        <f t="shared" ref="AX127" si="103">+AP127/BW127</f>
        <v>13948.830508474577</v>
      </c>
      <c r="AY127" s="351"/>
      <c r="AZ127" s="10"/>
      <c r="BA127" s="66">
        <f t="shared" ref="BA127" si="104">+BC127-BC126</f>
        <v>815289</v>
      </c>
      <c r="BB127" s="67"/>
      <c r="BC127" s="67">
        <v>44846166</v>
      </c>
      <c r="BD127" s="67"/>
      <c r="BE127" s="67">
        <f t="shared" ref="BE127" si="105">+D127</f>
        <v>72005</v>
      </c>
      <c r="BF127" s="67"/>
      <c r="BG127" s="156">
        <f t="shared" ref="BG127" si="106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" si="107">+BC127/BW127</f>
        <v>380052.25423728814</v>
      </c>
      <c r="BO127" s="67"/>
      <c r="BP127" s="67">
        <f t="shared" ref="BP127" si="108">+BP126+BE127</f>
        <v>3342017</v>
      </c>
      <c r="BQ127" s="67"/>
      <c r="BR127" s="478">
        <f t="shared" ref="BR127" si="109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ref="H128" si="110">+H127+D128</f>
        <v>3697944</v>
      </c>
      <c r="I128" s="16"/>
      <c r="J128" s="38">
        <f t="shared" ref="J128" si="111">+D128/H127</f>
        <v>2.0247445480218819E-2</v>
      </c>
      <c r="K128" s="16"/>
      <c r="L128" s="16"/>
      <c r="M128" s="16"/>
      <c r="N128" s="16"/>
      <c r="O128" s="16">
        <f t="shared" ref="O128" si="112">+H128/BW128</f>
        <v>31075.159663865546</v>
      </c>
      <c r="P128" s="41"/>
      <c r="Q128" s="17">
        <f t="shared" ref="Q128" si="113">SUM(D122:D128)</f>
        <v>468784</v>
      </c>
      <c r="R128" s="16"/>
      <c r="S128" s="60">
        <f t="shared" si="90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ref="AA128" si="114">+AA127+W128</f>
        <v>141767</v>
      </c>
      <c r="AB128" s="33"/>
      <c r="AC128" s="46">
        <f t="shared" ref="AC128" si="115">+AA128/H128</f>
        <v>3.8336708181627412E-2</v>
      </c>
      <c r="AD128" s="33"/>
      <c r="AE128" s="33">
        <f t="shared" ref="AE128" si="116">+AA128/BW128</f>
        <v>1191.3193277310925</v>
      </c>
      <c r="AF128" s="50"/>
      <c r="AG128" s="33"/>
      <c r="AH128" s="33"/>
      <c r="AI128" s="231"/>
      <c r="AJ128" s="50"/>
      <c r="AK128" s="10"/>
      <c r="AL128" s="23">
        <f t="shared" ref="AL128" si="117">+AP128-AP127</f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ref="AR128" si="118">+AL128/AP127</f>
        <v>2.0456729863751411E-2</v>
      </c>
      <c r="AS128" s="25"/>
      <c r="AT128" s="25"/>
      <c r="AU128" s="24"/>
      <c r="AV128" s="341">
        <f t="shared" ref="AV128" si="119">+AP128/H128</f>
        <v>0.454207256789178</v>
      </c>
      <c r="AW128" s="341"/>
      <c r="AX128" s="24">
        <f t="shared" ref="AX128" si="120">+AP128/BW128</f>
        <v>14114.563025210084</v>
      </c>
      <c r="AY128" s="351"/>
      <c r="AZ128" s="10"/>
      <c r="BA128" s="66">
        <f t="shared" ref="BA128" si="121">+BC128-BC127</f>
        <v>850863</v>
      </c>
      <c r="BB128" s="67"/>
      <c r="BC128" s="67">
        <v>45697029</v>
      </c>
      <c r="BD128" s="67"/>
      <c r="BE128" s="67">
        <f t="shared" ref="BE128" si="122">+D128</f>
        <v>73388</v>
      </c>
      <c r="BF128" s="67"/>
      <c r="BG128" s="156">
        <f t="shared" ref="BG128" si="123">+BE128/BA128</f>
        <v>8.6251253139459583E-2</v>
      </c>
      <c r="BH128" s="67"/>
      <c r="BI128" s="183"/>
      <c r="BJ128" s="67"/>
      <c r="BK128" s="67"/>
      <c r="BL128" s="67"/>
      <c r="BM128" s="156"/>
      <c r="BN128" s="66">
        <f t="shared" ref="BN128" si="124">+BC128/BW128</f>
        <v>384008.64705882355</v>
      </c>
      <c r="BO128" s="67"/>
      <c r="BP128" s="67">
        <f t="shared" ref="BP128" si="125">+BP127+BE128</f>
        <v>3415405</v>
      </c>
      <c r="BQ128" s="67"/>
      <c r="BR128" s="478">
        <f t="shared" ref="BR128" si="126">+BP128/BC128</f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ref="H129" si="127">+H128+D129</f>
        <v>3772931</v>
      </c>
      <c r="I129" s="16"/>
      <c r="J129" s="38">
        <f t="shared" ref="J129" si="128">+D129/H128</f>
        <v>2.0278024761867675E-2</v>
      </c>
      <c r="K129" s="16"/>
      <c r="L129" s="16"/>
      <c r="M129" s="16"/>
      <c r="N129" s="16"/>
      <c r="O129" s="16">
        <f t="shared" ref="O129" si="129">+H129/BW129</f>
        <v>31441.091666666667</v>
      </c>
      <c r="P129" s="41"/>
      <c r="Q129" s="17">
        <f t="shared" ref="Q129" si="130">SUM(D123:D129)</f>
        <v>471984</v>
      </c>
      <c r="R129" s="16"/>
      <c r="S129" s="60">
        <f t="shared" si="90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ref="AA129" si="131">+AA128+W129</f>
        <v>142713</v>
      </c>
      <c r="AB129" s="33"/>
      <c r="AC129" s="46">
        <f t="shared" ref="AC129" si="132">+AA129/H129</f>
        <v>3.7825499591696746E-2</v>
      </c>
      <c r="AD129" s="33"/>
      <c r="AE129" s="33">
        <f t="shared" ref="AE129" si="133">+AA129/BW129</f>
        <v>1189.2750000000001</v>
      </c>
      <c r="AF129" s="50"/>
      <c r="AG129" s="33"/>
      <c r="AH129" s="33"/>
      <c r="AI129" s="231"/>
      <c r="AJ129" s="50"/>
      <c r="AK129" s="10"/>
      <c r="AL129" s="23">
        <f t="shared" ref="AL129" si="134">+AP129-AP128</f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ref="AR129" si="135">+AL129/AP128</f>
        <v>3.6674678337470151E-2</v>
      </c>
      <c r="AS129" s="25"/>
      <c r="AT129" s="25"/>
      <c r="AU129" s="24"/>
      <c r="AV129" s="341">
        <f t="shared" ref="AV129" si="136">+AP129/H129</f>
        <v>0.4615067171914885</v>
      </c>
      <c r="AW129" s="341"/>
      <c r="AX129" s="24">
        <f t="shared" ref="AX129" si="137">+AP129/BW129</f>
        <v>14510.275</v>
      </c>
      <c r="AY129" s="351"/>
      <c r="AZ129" s="10"/>
      <c r="BA129" s="66">
        <f t="shared" ref="BA129" si="138">+BC129-BC128</f>
        <v>911678</v>
      </c>
      <c r="BB129" s="67"/>
      <c r="BC129" s="67">
        <v>46608707</v>
      </c>
      <c r="BD129" s="67"/>
      <c r="BE129" s="67">
        <f t="shared" ref="BE129" si="139">+D129</f>
        <v>74987</v>
      </c>
      <c r="BF129" s="67"/>
      <c r="BG129" s="156">
        <f t="shared" ref="BG129" si="140">+BE129/BA129</f>
        <v>8.2251628316137929E-2</v>
      </c>
      <c r="BH129" s="67"/>
      <c r="BI129" s="183"/>
      <c r="BJ129" s="67"/>
      <c r="BK129" s="67"/>
      <c r="BL129" s="67"/>
      <c r="BM129" s="156"/>
      <c r="BN129" s="66">
        <f t="shared" ref="BN129" si="141">+BC129/BW129</f>
        <v>388405.89166666666</v>
      </c>
      <c r="BO129" s="67"/>
      <c r="BP129" s="67">
        <f t="shared" ref="BP129" si="142">+BP128+BE129</f>
        <v>3490392</v>
      </c>
      <c r="BQ129" s="67"/>
      <c r="BR129" s="478">
        <f t="shared" ref="BR129" si="143">+BP129/BC129</f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ref="H130" si="144">+H129+D130</f>
        <v>3836190</v>
      </c>
      <c r="I130" s="16"/>
      <c r="J130" s="479">
        <f t="shared" ref="J130" si="145">+D130/H129</f>
        <v>1.6766540389951474E-2</v>
      </c>
      <c r="K130" s="16"/>
      <c r="L130" s="16"/>
      <c r="M130" s="16"/>
      <c r="N130" s="16"/>
      <c r="O130" s="16">
        <f t="shared" ref="O130" si="146">+H130/BW130</f>
        <v>31704.049586776859</v>
      </c>
      <c r="P130" s="41"/>
      <c r="Q130" s="17">
        <f t="shared" ref="Q130" si="147">SUM(D124:D130)</f>
        <v>473524</v>
      </c>
      <c r="R130" s="16"/>
      <c r="S130" s="60">
        <f t="shared" ref="S130" si="148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ref="AA130" si="149">+AA129+W130</f>
        <v>143526</v>
      </c>
      <c r="AB130" s="33"/>
      <c r="AC130" s="46">
        <f t="shared" ref="AC130" si="150">+AA130/H130</f>
        <v>3.7413683889484101E-2</v>
      </c>
      <c r="AD130" s="33"/>
      <c r="AE130" s="33">
        <f t="shared" ref="AE130" si="151">+AA130/BW130</f>
        <v>1186.1652892561983</v>
      </c>
      <c r="AF130" s="50"/>
      <c r="AG130" s="33"/>
      <c r="AH130" s="33"/>
      <c r="AI130" s="231"/>
      <c r="AJ130" s="50"/>
      <c r="AK130" s="10"/>
      <c r="AL130" s="23">
        <f t="shared" ref="AL130" si="152">+AP130-AP129</f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ref="AR130" si="153">+AL130/AP129</f>
        <v>1.9446564589575319E-2</v>
      </c>
      <c r="AS130" s="25"/>
      <c r="AT130" s="25"/>
      <c r="AU130" s="24"/>
      <c r="AV130" s="341">
        <f t="shared" ref="AV130" si="154">+AP130/H130</f>
        <v>0.4627231706458752</v>
      </c>
      <c r="AW130" s="341"/>
      <c r="AX130" s="24">
        <f t="shared" ref="AX130" si="155">+AP130/BW130</f>
        <v>14670.198347107438</v>
      </c>
      <c r="AY130" s="351"/>
      <c r="AZ130" s="10"/>
      <c r="BA130" s="66">
        <f t="shared" ref="BA130" si="156">+BC130-BC129</f>
        <v>989570</v>
      </c>
      <c r="BB130" s="67"/>
      <c r="BC130" s="67">
        <v>47598277</v>
      </c>
      <c r="BD130" s="67"/>
      <c r="BE130" s="67">
        <f t="shared" ref="BE130" si="157">+D130</f>
        <v>63259</v>
      </c>
      <c r="BF130" s="67"/>
      <c r="BG130" s="156">
        <f t="shared" ref="BG130" si="158">+BE130/BA130</f>
        <v>6.3925745525834451E-2</v>
      </c>
      <c r="BH130" s="67"/>
      <c r="BI130" s="183"/>
      <c r="BJ130" s="67"/>
      <c r="BK130" s="67"/>
      <c r="BL130" s="67"/>
      <c r="BM130" s="156"/>
      <c r="BN130" s="66">
        <f t="shared" ref="BN130" si="159">+BC130/BW130</f>
        <v>393374.19008264464</v>
      </c>
      <c r="BO130" s="67"/>
      <c r="BP130" s="67">
        <f t="shared" ref="BP130" si="160">+BP129+BE130</f>
        <v>3553651</v>
      </c>
      <c r="BQ130" s="67"/>
      <c r="BR130" s="478">
        <f t="shared" ref="BR130" si="161">+BP130/BC130</f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ref="H131" si="162">+H130+D131</f>
        <v>3901469</v>
      </c>
      <c r="I131" s="16"/>
      <c r="J131" s="479">
        <f t="shared" ref="J131" si="163">+D131/H130</f>
        <v>1.7016623264228311E-2</v>
      </c>
      <c r="K131" s="16"/>
      <c r="L131" s="16"/>
      <c r="M131" s="16"/>
      <c r="N131" s="16">
        <f>SUM(D125:D131)</f>
        <v>480454</v>
      </c>
      <c r="O131" s="16">
        <f t="shared" ref="O131" si="164">+H131/BW131</f>
        <v>31979.254098360656</v>
      </c>
      <c r="P131" s="41"/>
      <c r="Q131" s="17">
        <f t="shared" ref="Q131" si="165">SUM(D125:D131)</f>
        <v>480454</v>
      </c>
      <c r="R131" s="16"/>
      <c r="S131" s="60">
        <f t="shared" ref="S131" si="166">+(Q131-Q124)/Q124</f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ref="AA131" si="167">+AA130+W131</f>
        <v>143938</v>
      </c>
      <c r="AB131" s="33"/>
      <c r="AC131" s="46">
        <f t="shared" ref="AC131" si="168">+AA131/H131</f>
        <v>3.6893283017242991E-2</v>
      </c>
      <c r="AD131" s="33"/>
      <c r="AE131" s="33">
        <f t="shared" ref="AE131" si="169">+AA131/BW131</f>
        <v>1179.8196721311476</v>
      </c>
      <c r="AF131" s="50"/>
      <c r="AG131" s="33">
        <f t="shared" ref="AG131" si="170">SUM(W125:W131)</f>
        <v>5537</v>
      </c>
      <c r="AH131" s="33">
        <f>SUM(D102:D159)</f>
        <v>2992690</v>
      </c>
      <c r="AI131" s="231">
        <f t="shared" ref="AI131" si="171">+(AG131-AG124)/AG124</f>
        <v>6.8712603744450873E-2</v>
      </c>
      <c r="AJ131" s="50"/>
      <c r="AK131" s="391"/>
      <c r="AL131" s="23">
        <f t="shared" ref="AL131" si="172">+AP131-AP130</f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ref="AR131" si="173">+AL131/AP130</f>
        <v>1.5347919603130877E-2</v>
      </c>
      <c r="AS131" s="25"/>
      <c r="AT131" s="25"/>
      <c r="AU131" s="24"/>
      <c r="AV131" s="341">
        <f t="shared" ref="AV131" si="174">+AP131/H131</f>
        <v>0.46196394229968252</v>
      </c>
      <c r="AW131" s="341"/>
      <c r="AX131" s="24">
        <f t="shared" ref="AX131" si="175">+AP131/BW131</f>
        <v>14773.262295081968</v>
      </c>
      <c r="AY131" s="351"/>
      <c r="AZ131" s="391"/>
      <c r="BA131" s="66">
        <f t="shared" ref="BA131" si="176">+BC131-BC130</f>
        <v>743458</v>
      </c>
      <c r="BB131" s="67"/>
      <c r="BC131" s="67">
        <v>48341735</v>
      </c>
      <c r="BD131" s="67"/>
      <c r="BE131" s="67">
        <f t="shared" ref="BE131" si="177">+D131</f>
        <v>65279</v>
      </c>
      <c r="BF131" s="67"/>
      <c r="BG131" s="156">
        <f t="shared" ref="BG131" si="178">+BE131/BA131</f>
        <v>8.7804556545225149E-2</v>
      </c>
      <c r="BH131" s="67"/>
      <c r="BI131" s="183"/>
      <c r="BJ131" s="67"/>
      <c r="BK131" s="67">
        <f t="shared" ref="BK131" si="179">SUM(BA125:BA131)</f>
        <v>5872128</v>
      </c>
      <c r="BL131" s="67"/>
      <c r="BM131" s="156">
        <f t="shared" ref="BM131" si="180">+Q131/BK131</f>
        <v>8.1819401756909937E-2</v>
      </c>
      <c r="BN131" s="66">
        <f t="shared" ref="BN131" si="181">+BC131/BW131</f>
        <v>396243.7295081967</v>
      </c>
      <c r="BO131" s="67"/>
      <c r="BP131" s="67">
        <f t="shared" ref="BP131" si="182">+BP130+BE131</f>
        <v>3618930</v>
      </c>
      <c r="BQ131" s="67"/>
      <c r="BR131" s="478">
        <f t="shared" ref="BR131" si="183">+BP131/BC131</f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ref="H132" si="184">+H131+D132</f>
        <v>3964348</v>
      </c>
      <c r="I132" s="16"/>
      <c r="J132" s="479">
        <f t="shared" ref="J132" si="185">+D132/H131</f>
        <v>1.6116749870369339E-2</v>
      </c>
      <c r="K132" s="16"/>
      <c r="L132" s="16"/>
      <c r="M132" s="16"/>
      <c r="N132" s="16"/>
      <c r="O132" s="16">
        <f t="shared" ref="O132" si="186">+H132/BW132</f>
        <v>32230.471544715449</v>
      </c>
      <c r="P132" s="41"/>
      <c r="Q132" s="17">
        <f t="shared" ref="Q132" si="187">SUM(D126:D132)</f>
        <v>477845</v>
      </c>
      <c r="R132" s="16"/>
      <c r="S132" s="60">
        <f t="shared" ref="S132" si="188">+(Q132-Q125)/Q125</f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ref="AA132" si="189">+AA131+W132</f>
        <v>144483</v>
      </c>
      <c r="AB132" s="33"/>
      <c r="AC132" s="46">
        <f t="shared" ref="AC132" si="190">+AA132/H132</f>
        <v>3.6445589539566156E-2</v>
      </c>
      <c r="AD132" s="33"/>
      <c r="AE132" s="33">
        <f t="shared" ref="AE132" si="191">+AA132/BW132</f>
        <v>1174.6585365853659</v>
      </c>
      <c r="AF132" s="50"/>
      <c r="AG132" s="33"/>
      <c r="AH132" s="33"/>
      <c r="AI132" s="231"/>
      <c r="AJ132" s="50"/>
      <c r="AK132" s="10"/>
      <c r="AL132" s="23">
        <f t="shared" ref="AL132" si="192">+AP132-AP131</f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ref="AR132" si="193">+AL132/AP131</f>
        <v>2.6438437185477972E-2</v>
      </c>
      <c r="AS132" s="25"/>
      <c r="AT132" s="25"/>
      <c r="AU132" s="24"/>
      <c r="AV132" s="341">
        <f t="shared" ref="AV132" si="194">+AP132/H132</f>
        <v>0.46665655991855409</v>
      </c>
      <c r="AW132" s="341"/>
      <c r="AX132" s="24">
        <f t="shared" ref="AX132" si="195">+AP132/BW132</f>
        <v>15040.560975609756</v>
      </c>
      <c r="AY132" s="351"/>
      <c r="AZ132" s="10"/>
      <c r="BA132" s="66">
        <f t="shared" ref="BA132" si="196">+BC132-BC131</f>
        <v>820172</v>
      </c>
      <c r="BB132" s="67"/>
      <c r="BC132" s="67">
        <v>49161907</v>
      </c>
      <c r="BD132" s="67"/>
      <c r="BE132" s="67">
        <f t="shared" ref="BE132" si="197">+D132</f>
        <v>62879</v>
      </c>
      <c r="BF132" s="67"/>
      <c r="BG132" s="156">
        <f t="shared" ref="BG132" si="198">+BE132/BA132</f>
        <v>7.6665626234497158E-2</v>
      </c>
      <c r="BH132" s="67"/>
      <c r="BI132" s="183"/>
      <c r="BJ132" s="67"/>
      <c r="BK132" s="67"/>
      <c r="BL132" s="67"/>
      <c r="BM132" s="156"/>
      <c r="BN132" s="66">
        <f t="shared" ref="BN132" si="199">+BC132/BW132</f>
        <v>399690.30081300816</v>
      </c>
      <c r="BO132" s="67"/>
      <c r="BP132" s="67">
        <f t="shared" ref="BP132" si="200">+BP131+BE132</f>
        <v>3681809</v>
      </c>
      <c r="BQ132" s="67"/>
      <c r="BR132" s="478">
        <f t="shared" ref="BR132" si="201">+BP132/BC132</f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ref="H133" si="202">+H132+D133</f>
        <v>4031827</v>
      </c>
      <c r="I133" s="16"/>
      <c r="J133" s="479">
        <f t="shared" ref="J133" si="203">+D133/H132</f>
        <v>1.7021462293421264E-2</v>
      </c>
      <c r="K133" s="16"/>
      <c r="L133" s="16"/>
      <c r="M133" s="16"/>
      <c r="N133" s="16"/>
      <c r="O133" s="16">
        <f t="shared" ref="O133" si="204">+H133/BW133</f>
        <v>32514.733870967742</v>
      </c>
      <c r="P133" s="41"/>
      <c r="Q133" s="17">
        <f t="shared" ref="Q133" si="205">SUM(D127:D133)</f>
        <v>479276</v>
      </c>
      <c r="R133" s="16"/>
      <c r="S133" s="60">
        <f t="shared" ref="S133" si="206">+(Q133-Q126)/Q126</f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ref="AA133" si="207">+AA132+W133</f>
        <v>145648</v>
      </c>
      <c r="AB133" s="33"/>
      <c r="AC133" s="46">
        <f t="shared" ref="AC133" si="208">+AA133/H133</f>
        <v>3.6124565860588757E-2</v>
      </c>
      <c r="AD133" s="33"/>
      <c r="AE133" s="33">
        <f t="shared" ref="AE133" si="209">+AA133/BW133</f>
        <v>1174.5806451612902</v>
      </c>
      <c r="AF133" s="50"/>
      <c r="AG133" s="33"/>
      <c r="AH133" s="33"/>
      <c r="AI133" s="231"/>
      <c r="AJ133" s="50"/>
      <c r="AK133" s="10"/>
      <c r="AL133" s="23">
        <f t="shared" ref="AL133" si="210">+AP133-AP132</f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ref="AR133" si="211">+AL133/AP132</f>
        <v>1.9780658155264707E-2</v>
      </c>
      <c r="AS133" s="25"/>
      <c r="AT133" s="25"/>
      <c r="AU133" s="24"/>
      <c r="AV133" s="341">
        <f t="shared" ref="AV133" si="212">+AP133/H133</f>
        <v>0.46792260679835718</v>
      </c>
      <c r="AW133" s="341"/>
      <c r="AX133" s="24">
        <f t="shared" ref="AX133" si="213">+AP133/BW133</f>
        <v>15214.379032258064</v>
      </c>
      <c r="AY133" s="351"/>
      <c r="AZ133" s="10"/>
      <c r="BA133" s="66">
        <f t="shared" ref="BA133" si="214">+BC133-BC132</f>
        <v>751646</v>
      </c>
      <c r="BB133" s="67"/>
      <c r="BC133" s="67">
        <v>49913553</v>
      </c>
      <c r="BD133" s="67"/>
      <c r="BE133" s="67">
        <f t="shared" ref="BE133" si="215">+D133</f>
        <v>67479</v>
      </c>
      <c r="BF133" s="67"/>
      <c r="BG133" s="156">
        <f t="shared" ref="BG133" si="216">+BE133/BA133</f>
        <v>8.9774973857374346E-2</v>
      </c>
      <c r="BH133" s="67"/>
      <c r="BI133" s="183"/>
      <c r="BJ133" s="67"/>
      <c r="BK133" s="67"/>
      <c r="BL133" s="67"/>
      <c r="BM133" s="156"/>
      <c r="BN133" s="66">
        <f t="shared" ref="BN133" si="217">+BC133/BW133</f>
        <v>402528.65322580643</v>
      </c>
      <c r="BO133" s="67"/>
      <c r="BP133" s="67">
        <f t="shared" ref="BP133" si="218">+BP132+BE133</f>
        <v>3749288</v>
      </c>
      <c r="BQ133" s="67"/>
      <c r="BR133" s="478">
        <f t="shared" ref="BR133" si="219">+BP133/BC133</f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ref="H134" si="220">+H133+D134</f>
        <v>4103794</v>
      </c>
      <c r="I134" s="16"/>
      <c r="J134" s="479">
        <f t="shared" ref="J134" si="221">+D134/H133</f>
        <v>1.7849724206916617E-2</v>
      </c>
      <c r="K134" s="16"/>
      <c r="L134" s="16"/>
      <c r="M134" s="16"/>
      <c r="N134" s="16"/>
      <c r="O134" s="16">
        <f t="shared" ref="O134" si="222">+H134/BW134</f>
        <v>32830.351999999999</v>
      </c>
      <c r="P134" s="41"/>
      <c r="Q134" s="17">
        <f t="shared" ref="Q134" si="223">SUM(D128:D134)</f>
        <v>479238</v>
      </c>
      <c r="R134" s="16"/>
      <c r="S134" s="60">
        <f t="shared" ref="S134" si="224">+(Q134-Q127)/Q127</f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ref="AA134" si="225">+AA133+W134</f>
        <v>146853</v>
      </c>
      <c r="AB134" s="33"/>
      <c r="AC134" s="46">
        <f t="shared" ref="AC134" si="226">+AA134/H134</f>
        <v>3.5784690946962738E-2</v>
      </c>
      <c r="AD134" s="33"/>
      <c r="AE134" s="33">
        <f t="shared" ref="AE134" si="227">+AA134/BW134</f>
        <v>1174.8240000000001</v>
      </c>
      <c r="AF134" s="50"/>
      <c r="AG134" s="33"/>
      <c r="AH134" s="33"/>
      <c r="AI134" s="231"/>
      <c r="AJ134" s="50"/>
      <c r="AK134" s="10"/>
      <c r="AL134" s="23">
        <f t="shared" ref="AL134" si="228">+AP134-AP133</f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ref="AR134" si="229">+AL134/AP133</f>
        <v>2.971191832005271E-2</v>
      </c>
      <c r="AS134" s="25"/>
      <c r="AT134" s="25"/>
      <c r="AU134" s="24"/>
      <c r="AV134" s="341">
        <f t="shared" ref="AV134" si="230">+AP134/H134</f>
        <v>0.47337585658539388</v>
      </c>
      <c r="AW134" s="341"/>
      <c r="AX134" s="24">
        <f t="shared" ref="AX134" si="231">+AP134/BW134</f>
        <v>15541.096</v>
      </c>
      <c r="AY134" s="351"/>
      <c r="AZ134" s="10"/>
      <c r="BA134" s="66">
        <f t="shared" ref="BA134" si="232">+BC134-BC133</f>
        <v>819317</v>
      </c>
      <c r="BB134" s="67"/>
      <c r="BC134" s="67">
        <v>50732870</v>
      </c>
      <c r="BD134" s="67"/>
      <c r="BE134" s="67">
        <f t="shared" ref="BE134" si="233">+D134</f>
        <v>71967</v>
      </c>
      <c r="BF134" s="67"/>
      <c r="BG134" s="156">
        <f t="shared" ref="BG134" si="234">+BE134/BA134</f>
        <v>8.7837796603756541E-2</v>
      </c>
      <c r="BH134" s="67"/>
      <c r="BI134" s="183"/>
      <c r="BJ134" s="67"/>
      <c r="BK134" s="67"/>
      <c r="BL134" s="67"/>
      <c r="BM134" s="156"/>
      <c r="BN134" s="66">
        <f t="shared" ref="BN134" si="235">+BC134/BW134</f>
        <v>405862.96</v>
      </c>
      <c r="BO134" s="67"/>
      <c r="BP134" s="67">
        <f t="shared" ref="BP134" si="236">+BP133+BE134</f>
        <v>3821255</v>
      </c>
      <c r="BQ134" s="67"/>
      <c r="BR134" s="478">
        <f t="shared" ref="BR134" si="237">+BP134/BC134</f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ref="H135" si="238">+H134+D135</f>
        <v>4173237</v>
      </c>
      <c r="I135" s="16"/>
      <c r="J135" s="479">
        <f t="shared" ref="J135" si="239">+D135/H134</f>
        <v>1.6921658348347895E-2</v>
      </c>
      <c r="K135" s="16"/>
      <c r="L135" s="16"/>
      <c r="M135" s="16"/>
      <c r="N135" s="16"/>
      <c r="O135" s="16">
        <f t="shared" ref="O135" si="240">+H135/BW135</f>
        <v>33120.928571428572</v>
      </c>
      <c r="P135" s="41"/>
      <c r="Q135" s="17">
        <f t="shared" ref="Q135" si="241">SUM(D129:D135)</f>
        <v>475293</v>
      </c>
      <c r="R135" s="16"/>
      <c r="S135" s="60">
        <f t="shared" ref="S135" si="242">+(Q135-Q128)/Q128</f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ref="AA135" si="243">+AA134+W135</f>
        <v>148019</v>
      </c>
      <c r="AB135" s="33"/>
      <c r="AC135" s="46">
        <f t="shared" ref="AC135" si="244">+AA135/H135</f>
        <v>3.5468630226368647E-2</v>
      </c>
      <c r="AD135" s="33"/>
      <c r="AE135" s="33">
        <f t="shared" ref="AE135" si="245">+AA135/BW135</f>
        <v>1174.7539682539682</v>
      </c>
      <c r="AF135" s="50"/>
      <c r="AG135" s="33"/>
      <c r="AH135" s="33"/>
      <c r="AI135" s="231"/>
      <c r="AJ135" s="50"/>
      <c r="AK135" s="10"/>
      <c r="AL135" s="23">
        <f t="shared" ref="AL135" si="246">+AP135-AP134</f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ref="AR135" si="247">+AL135/AP134</f>
        <v>1.9035980473963997E-2</v>
      </c>
      <c r="AS135" s="25"/>
      <c r="AT135" s="25"/>
      <c r="AU135" s="24"/>
      <c r="AV135" s="341">
        <f t="shared" ref="AV135" si="248">+AP135/H135</f>
        <v>0.47436007109109785</v>
      </c>
      <c r="AW135" s="341"/>
      <c r="AX135" s="24">
        <f t="shared" ref="AX135" si="249">+AP135/BW135</f>
        <v>15711.246031746032</v>
      </c>
      <c r="AY135" s="351"/>
      <c r="AZ135" s="10"/>
      <c r="BA135" s="66">
        <f t="shared" ref="BA135" si="250">+BC135-BC134</f>
        <v>819305</v>
      </c>
      <c r="BB135" s="67"/>
      <c r="BC135" s="67">
        <v>51552175</v>
      </c>
      <c r="BD135" s="67"/>
      <c r="BE135" s="67">
        <f t="shared" ref="BE135" si="251">+D135</f>
        <v>69443</v>
      </c>
      <c r="BF135" s="67"/>
      <c r="BG135" s="156">
        <f t="shared" ref="BG135" si="252">+BE135/BA135</f>
        <v>8.475842329779508E-2</v>
      </c>
      <c r="BH135" s="67"/>
      <c r="BI135" s="183"/>
      <c r="BJ135" s="67"/>
      <c r="BK135" s="67"/>
      <c r="BL135" s="67"/>
      <c r="BM135" s="156"/>
      <c r="BN135" s="66">
        <f t="shared" ref="BN135" si="253">+BC135/BW135</f>
        <v>409144.24603174604</v>
      </c>
      <c r="BO135" s="67"/>
      <c r="BP135" s="67">
        <f t="shared" ref="BP135" si="254">+BP134+BE135</f>
        <v>3890698</v>
      </c>
      <c r="BQ135" s="67"/>
      <c r="BR135" s="478">
        <f t="shared" ref="BR135" si="255">+BP135/BC135</f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ref="H136" si="256">+H135+D136</f>
        <v>4251215</v>
      </c>
      <c r="I136" s="16"/>
      <c r="J136" s="479">
        <f t="shared" ref="J136" si="257">+D136/H135</f>
        <v>1.8685255594158682E-2</v>
      </c>
      <c r="K136" s="16"/>
      <c r="L136" s="16"/>
      <c r="M136" s="16"/>
      <c r="N136" s="16"/>
      <c r="O136" s="16">
        <f t="shared" ref="O136" si="258">+H136/BW136</f>
        <v>33474.13385826772</v>
      </c>
      <c r="P136" s="41"/>
      <c r="Q136" s="17">
        <f t="shared" ref="Q136" si="259">SUM(D130:D136)</f>
        <v>478284</v>
      </c>
      <c r="R136" s="16"/>
      <c r="S136" s="60">
        <f t="shared" ref="S136" si="260">+(Q136-Q129)/Q129</f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ref="AA136" si="261">+AA135+W136</f>
        <v>149160</v>
      </c>
      <c r="AB136" s="33"/>
      <c r="AC136" s="46">
        <f t="shared" ref="AC136" si="262">+AA136/H136</f>
        <v>3.5086439994213417E-2</v>
      </c>
      <c r="AD136" s="33"/>
      <c r="AE136" s="33">
        <f t="shared" ref="AE136" si="263">+AA136/BW136</f>
        <v>1174.4881889763778</v>
      </c>
      <c r="AF136" s="50"/>
      <c r="AG136" s="33"/>
      <c r="AH136" s="33"/>
      <c r="AI136" s="231"/>
      <c r="AJ136" s="50"/>
      <c r="AK136" s="10"/>
      <c r="AL136" s="23">
        <f t="shared" ref="AL136" si="264">+AP136-AP135</f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ref="AR136" si="265">+AL136/AP135</f>
        <v>2.4386030227059072E-2</v>
      </c>
      <c r="AS136" s="25"/>
      <c r="AT136" s="25"/>
      <c r="AU136" s="24"/>
      <c r="AV136" s="341">
        <f t="shared" ref="AV136" si="266">+AP136/H136</f>
        <v>0.47701468874192438</v>
      </c>
      <c r="AW136" s="341"/>
      <c r="AX136" s="24">
        <f t="shared" ref="AX136" si="267">+AP136/BW136</f>
        <v>15967.653543307086</v>
      </c>
      <c r="AY136" s="351"/>
      <c r="AZ136" s="10"/>
      <c r="BA136" s="66">
        <f t="shared" ref="BA136" si="268">+BC136-BC135</f>
        <v>968251</v>
      </c>
      <c r="BB136" s="67"/>
      <c r="BC136" s="67">
        <v>52520426</v>
      </c>
      <c r="BD136" s="67"/>
      <c r="BE136" s="67">
        <f t="shared" ref="BE136" si="269">+D136</f>
        <v>77978</v>
      </c>
      <c r="BF136" s="67"/>
      <c r="BG136" s="156">
        <f t="shared" ref="BG136" si="270">+BE136/BA136</f>
        <v>8.0534902623390012E-2</v>
      </c>
      <c r="BH136" s="67"/>
      <c r="BI136" s="183"/>
      <c r="BJ136" s="67"/>
      <c r="BK136" s="67"/>
      <c r="BL136" s="67"/>
      <c r="BM136" s="156"/>
      <c r="BN136" s="66">
        <f t="shared" ref="BN136" si="271">+BC136/BW136</f>
        <v>413546.66141732282</v>
      </c>
      <c r="BO136" s="67"/>
      <c r="BP136" s="67">
        <f t="shared" ref="BP136" si="272">+BP135+BE136</f>
        <v>3968676</v>
      </c>
      <c r="BQ136" s="67"/>
      <c r="BR136" s="478">
        <f t="shared" ref="BR136" si="273">+BP136/BC136</f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ref="H137" si="274">+H136+D137</f>
        <v>4318628</v>
      </c>
      <c r="I137" s="16"/>
      <c r="J137" s="479">
        <f t="shared" ref="J137" si="275">+D137/H136</f>
        <v>1.5857349016692876E-2</v>
      </c>
      <c r="K137" s="16"/>
      <c r="L137" s="16"/>
      <c r="M137" s="16"/>
      <c r="N137" s="16"/>
      <c r="O137" s="16">
        <f t="shared" ref="O137" si="276">+H137/BW137</f>
        <v>33739.28125</v>
      </c>
      <c r="P137" s="41"/>
      <c r="Q137" s="17">
        <f t="shared" ref="Q137" si="277">SUM(D131:D137)</f>
        <v>482438</v>
      </c>
      <c r="R137" s="16"/>
      <c r="S137" s="60">
        <f t="shared" ref="S137" si="278">+(Q137-Q130)/Q130</f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ref="AA137" si="279">+AA136+W137</f>
        <v>150068</v>
      </c>
      <c r="AB137" s="33"/>
      <c r="AC137" s="46">
        <f t="shared" ref="AC137" si="280">+AA137/H137</f>
        <v>3.4748998987641444E-2</v>
      </c>
      <c r="AD137" s="33"/>
      <c r="AE137" s="33">
        <f t="shared" ref="AE137" si="281">+AA137/BW137</f>
        <v>1172.40625</v>
      </c>
      <c r="AF137" s="50"/>
      <c r="AG137" s="33"/>
      <c r="AH137" s="33"/>
      <c r="AI137" s="231"/>
      <c r="AJ137" s="50"/>
      <c r="AK137" s="10"/>
      <c r="AL137" s="23">
        <f t="shared" ref="AL137" si="282">+AP137-AP136</f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ref="AR137" si="283">+AL137/AP136</f>
        <v>1.6667554287900933E-2</v>
      </c>
      <c r="AS137" s="25"/>
      <c r="AT137" s="25"/>
      <c r="AU137" s="24"/>
      <c r="AV137" s="341">
        <f t="shared" ref="AV137" si="284">+AP137/H137</f>
        <v>0.47739513567734937</v>
      </c>
      <c r="AW137" s="341"/>
      <c r="AX137" s="24">
        <f t="shared" ref="AX137" si="285">+AP137/BW137</f>
        <v>16106.96875</v>
      </c>
      <c r="AY137" s="351"/>
      <c r="AZ137" s="10"/>
      <c r="BA137" s="66">
        <f t="shared" ref="BA137" si="286">+BC137-BC136</f>
        <v>831824</v>
      </c>
      <c r="BB137" s="67"/>
      <c r="BC137" s="67">
        <v>53352250</v>
      </c>
      <c r="BD137" s="67"/>
      <c r="BE137" s="67">
        <f t="shared" ref="BE137" si="287">+D137</f>
        <v>67413</v>
      </c>
      <c r="BF137" s="67"/>
      <c r="BG137" s="156">
        <f t="shared" ref="BG137" si="288">+BE137/BA137</f>
        <v>8.1042383965838932E-2</v>
      </c>
      <c r="BH137" s="67"/>
      <c r="BI137" s="183"/>
      <c r="BJ137" s="67"/>
      <c r="BK137" s="67"/>
      <c r="BL137" s="67"/>
      <c r="BM137" s="156"/>
      <c r="BN137" s="66">
        <f t="shared" ref="BN137" si="289">+BC137/BW137</f>
        <v>416814.453125</v>
      </c>
      <c r="BO137" s="67"/>
      <c r="BP137" s="67">
        <f t="shared" ref="BP137" si="290">+BP136+BE137</f>
        <v>4036089</v>
      </c>
      <c r="BQ137" s="67"/>
      <c r="BR137" s="478">
        <f t="shared" ref="BR137" si="291">+BP137/BC137</f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ref="H138" si="292">+H137+D138</f>
        <v>4374758</v>
      </c>
      <c r="I138" s="16"/>
      <c r="J138" s="479">
        <f t="shared" ref="J138" si="293">+D138/H137</f>
        <v>1.2997183364716757E-2</v>
      </c>
      <c r="K138" s="16"/>
      <c r="L138" s="16"/>
      <c r="M138" s="16"/>
      <c r="N138" s="16">
        <f>SUM(D132:D138)</f>
        <v>473289</v>
      </c>
      <c r="O138" s="16">
        <f t="shared" ref="O138" si="294">+H138/BW138</f>
        <v>33912.852713178298</v>
      </c>
      <c r="P138" s="41"/>
      <c r="Q138" s="17">
        <f t="shared" ref="Q138" si="295">SUM(D132:D138)</f>
        <v>473289</v>
      </c>
      <c r="R138" s="16"/>
      <c r="S138" s="60">
        <f t="shared" ref="S138" si="296">+(Q138-Q131)/Q131</f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ref="AA138" si="297">+AA137+W138</f>
        <v>150518</v>
      </c>
      <c r="AB138" s="33"/>
      <c r="AC138" s="46">
        <f t="shared" ref="AC138" si="298">+AA138/H138</f>
        <v>3.4406017429992698E-2</v>
      </c>
      <c r="AD138" s="33"/>
      <c r="AE138" s="33">
        <f t="shared" ref="AE138" si="299">+AA138/BW138</f>
        <v>1166.8062015503876</v>
      </c>
      <c r="AF138" s="50"/>
      <c r="AG138" s="33">
        <f t="shared" ref="AG138" si="300">SUM(W132:W138)</f>
        <v>6580</v>
      </c>
      <c r="AH138" s="33">
        <f t="shared" ref="AH138:AH145" si="301">SUM(D109:D166)</f>
        <v>2789574</v>
      </c>
      <c r="AI138" s="231">
        <f t="shared" ref="AI138" si="302">+(AG138-AG131)/AG131</f>
        <v>0.18836915297092288</v>
      </c>
      <c r="AJ138" s="50"/>
      <c r="AK138" s="391"/>
      <c r="AL138" s="23">
        <f t="shared" ref="AL138" si="303">+AP138-AP137</f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ref="AR138" si="304">+AL138/AP137</f>
        <v>1.3793039891506587E-2</v>
      </c>
      <c r="AS138" s="25"/>
      <c r="AT138" s="25"/>
      <c r="AU138" s="24"/>
      <c r="AV138" s="341">
        <f t="shared" ref="AV138" si="305">+AP138/H138</f>
        <v>0.4777701989458617</v>
      </c>
      <c r="AW138" s="341"/>
      <c r="AX138" s="24">
        <f t="shared" ref="AX138" si="306">+AP138/BW138</f>
        <v>16202.550387596899</v>
      </c>
      <c r="AY138" s="351"/>
      <c r="AZ138" s="391"/>
      <c r="BA138" s="66">
        <f t="shared" ref="BA138" si="307">+BC138-BC137</f>
        <v>867325</v>
      </c>
      <c r="BB138" s="67"/>
      <c r="BC138" s="67">
        <v>54219575</v>
      </c>
      <c r="BD138" s="67"/>
      <c r="BE138" s="67">
        <f t="shared" ref="BE138" si="308">+D138</f>
        <v>56130</v>
      </c>
      <c r="BF138" s="67"/>
      <c r="BG138" s="156">
        <f t="shared" ref="BG138" si="309">+BE138/BA138</f>
        <v>6.4716225175107375E-2</v>
      </c>
      <c r="BH138" s="67"/>
      <c r="BI138" s="183"/>
      <c r="BJ138" s="67"/>
      <c r="BK138" s="67">
        <f t="shared" ref="BK138" si="310">SUM(BA132:BA138)</f>
        <v>5877840</v>
      </c>
      <c r="BL138" s="67"/>
      <c r="BM138" s="156">
        <f t="shared" ref="BM138" si="311">+Q138/BK138</f>
        <v>8.0520905638806095E-2</v>
      </c>
      <c r="BN138" s="66">
        <f t="shared" ref="BN138" si="312">+BC138/BW138</f>
        <v>420306.78294573643</v>
      </c>
      <c r="BO138" s="67"/>
      <c r="BP138" s="67">
        <f t="shared" ref="BP138" si="313">+BP137+BE138</f>
        <v>4092219</v>
      </c>
      <c r="BQ138" s="67"/>
      <c r="BR138" s="478">
        <f t="shared" ref="BR138" si="314">+BP138/BC138</f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54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ref="H139" si="315">+H138+D139</f>
        <v>4436329</v>
      </c>
      <c r="I139" s="16"/>
      <c r="J139" s="479">
        <f t="shared" ref="J139" si="316">+D139/H138</f>
        <v>1.4074149930121849E-2</v>
      </c>
      <c r="K139" s="16"/>
      <c r="L139" s="16"/>
      <c r="M139" s="16"/>
      <c r="N139" s="16"/>
      <c r="O139" s="16">
        <f t="shared" ref="O139" si="317">+H139/BW139</f>
        <v>34125.607692307691</v>
      </c>
      <c r="P139" s="41"/>
      <c r="Q139" s="17">
        <f t="shared" ref="Q139" si="318">SUM(D133:D139)</f>
        <v>471981</v>
      </c>
      <c r="R139" s="16"/>
      <c r="S139" s="60">
        <f t="shared" ref="S139" si="319">+(Q139-Q132)/Q132</f>
        <v>-1.2271761763751844E-2</v>
      </c>
      <c r="T139" s="16"/>
      <c r="U139" s="41"/>
      <c r="V139" s="10">
        <f t="shared" ref="V139" si="320">+V138+1</f>
        <v>31</v>
      </c>
      <c r="W139" s="34">
        <v>596</v>
      </c>
      <c r="X139" s="33"/>
      <c r="Y139" s="33"/>
      <c r="Z139" s="33"/>
      <c r="AA139" s="33">
        <f t="shared" ref="AA139" si="321">+AA138+W139</f>
        <v>151114</v>
      </c>
      <c r="AB139" s="33"/>
      <c r="AC139" s="46">
        <f t="shared" ref="AC139" si="322">+AA139/H139</f>
        <v>3.4062847908710107E-2</v>
      </c>
      <c r="AD139" s="33"/>
      <c r="AE139" s="33">
        <f t="shared" ref="AE139" si="323">+AA139/BW139</f>
        <v>1162.4153846153847</v>
      </c>
      <c r="AF139" s="50"/>
      <c r="AG139" s="33"/>
      <c r="AH139" s="33"/>
      <c r="AI139" s="231"/>
      <c r="AJ139" s="50"/>
      <c r="AK139" s="10"/>
      <c r="AL139" s="23">
        <f t="shared" ref="AL139" si="324">+AP139-AP138</f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ref="AR139" si="325">+AL139/AP138</f>
        <v>2.2234991237382956E-2</v>
      </c>
      <c r="AS139" s="25"/>
      <c r="AT139" s="25"/>
      <c r="AU139" s="24"/>
      <c r="AV139" s="341">
        <f t="shared" ref="AV139" si="326">+AP139/H139</f>
        <v>0.48161509211782988</v>
      </c>
      <c r="AW139" s="341"/>
      <c r="AX139" s="24">
        <f t="shared" ref="AX139" si="327">+AP139/BW139</f>
        <v>16435.407692307694</v>
      </c>
      <c r="AY139" s="351"/>
      <c r="AZ139" s="10"/>
      <c r="BA139" s="66">
        <f t="shared" ref="BA139" si="328">+BC139-BC138</f>
        <v>798661</v>
      </c>
      <c r="BB139" s="67"/>
      <c r="BC139" s="67">
        <v>55018236</v>
      </c>
      <c r="BD139" s="67"/>
      <c r="BE139" s="67">
        <f t="shared" ref="BE139" si="329">+D139</f>
        <v>61571</v>
      </c>
      <c r="BF139" s="67"/>
      <c r="BG139" s="156">
        <f t="shared" ref="BG139" si="330">+BE139/BA139</f>
        <v>7.7092784047299162E-2</v>
      </c>
      <c r="BH139" s="67"/>
      <c r="BI139" s="183"/>
      <c r="BJ139" s="67"/>
      <c r="BK139" s="67">
        <f t="shared" ref="BK139" si="331">SUM(BA133:BA139)</f>
        <v>5856329</v>
      </c>
      <c r="BL139" s="67"/>
      <c r="BM139" s="156">
        <f t="shared" ref="BM139" si="332">+Q139/BK139</f>
        <v>8.059332049138633E-2</v>
      </c>
      <c r="BN139" s="66">
        <f t="shared" ref="BN139" si="333">+BC139/BW139</f>
        <v>423217.2</v>
      </c>
      <c r="BO139" s="67"/>
      <c r="BP139" s="67">
        <f t="shared" ref="BP139" si="334">+BP138+BE139</f>
        <v>4153790</v>
      </c>
      <c r="BQ139" s="67"/>
      <c r="BR139" s="478">
        <f t="shared" ref="BR139" si="335">+BP139/BC139</f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ref="H140" si="336">+H139+D140</f>
        <v>4501058</v>
      </c>
      <c r="I140" s="16"/>
      <c r="J140" s="479">
        <f t="shared" ref="J140" si="337">+D140/H139</f>
        <v>1.4590667193528703E-2</v>
      </c>
      <c r="K140" s="16"/>
      <c r="L140" s="16"/>
      <c r="M140" s="16"/>
      <c r="N140" s="16"/>
      <c r="O140" s="16">
        <f t="shared" ref="O140" si="338">+H140/BW140</f>
        <v>34359.221374045803</v>
      </c>
      <c r="P140" s="41"/>
      <c r="Q140" s="17">
        <f t="shared" ref="Q140" si="339">SUM(D134:D140)</f>
        <v>469231</v>
      </c>
      <c r="R140" s="16"/>
      <c r="S140" s="60">
        <f t="shared" ref="S140" si="340">+(Q140-Q133)/Q133</f>
        <v>-2.0958696033183385E-2</v>
      </c>
      <c r="T140" s="16"/>
      <c r="U140" s="41"/>
      <c r="V140" s="10">
        <f t="shared" ref="V140:V154" si="341">+V139+1</f>
        <v>32</v>
      </c>
      <c r="W140" s="34">
        <v>1245</v>
      </c>
      <c r="X140" s="33"/>
      <c r="Y140" s="33"/>
      <c r="Z140" s="33"/>
      <c r="AA140" s="33">
        <f t="shared" ref="AA140" si="342">+AA139+W140</f>
        <v>152359</v>
      </c>
      <c r="AB140" s="33"/>
      <c r="AC140" s="46">
        <f t="shared" ref="AC140" si="343">+AA140/H140</f>
        <v>3.3849597139161504E-2</v>
      </c>
      <c r="AD140" s="33"/>
      <c r="AE140" s="33">
        <f t="shared" ref="AE140" si="344">+AA140/BW140</f>
        <v>1163.0458015267175</v>
      </c>
      <c r="AF140" s="50"/>
      <c r="AG140" s="33"/>
      <c r="AH140" s="33"/>
      <c r="AI140" s="231"/>
      <c r="AJ140" s="50"/>
      <c r="AK140" s="10"/>
      <c r="AL140" s="23">
        <f t="shared" ref="AL140" si="345">+AP140-AP139</f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ref="AR140" si="346">+AL140/AP139</f>
        <v>2.3069798179633744E-2</v>
      </c>
      <c r="AS140" s="25"/>
      <c r="AT140" s="25"/>
      <c r="AU140" s="24"/>
      <c r="AV140" s="341">
        <f t="shared" ref="AV140" si="347">+AP140/H140</f>
        <v>0.48564004285214718</v>
      </c>
      <c r="AW140" s="341"/>
      <c r="AX140" s="24">
        <f t="shared" ref="AX140" si="348">+AP140/BW140</f>
        <v>16686.213740458013</v>
      </c>
      <c r="AY140" s="351"/>
      <c r="AZ140" s="10"/>
      <c r="BA140" s="66">
        <f t="shared" ref="BA140" si="349">+BC140-BC139</f>
        <v>787180</v>
      </c>
      <c r="BB140" s="67"/>
      <c r="BC140" s="67">
        <v>55805416</v>
      </c>
      <c r="BD140" s="67"/>
      <c r="BE140" s="67">
        <f t="shared" ref="BE140" si="350">+D140</f>
        <v>64729</v>
      </c>
      <c r="BF140" s="67"/>
      <c r="BG140" s="156">
        <f t="shared" ref="BG140" si="351">+BE140/BA140</f>
        <v>8.2228969231941867E-2</v>
      </c>
      <c r="BH140" s="67"/>
      <c r="BI140" s="183"/>
      <c r="BJ140" s="67"/>
      <c r="BK140" s="67">
        <f t="shared" ref="BK140" si="352">SUM(BA134:BA140)</f>
        <v>5891863</v>
      </c>
      <c r="BL140" s="67"/>
      <c r="BM140" s="156">
        <f t="shared" ref="BM140" si="353">+Q140/BK140</f>
        <v>7.9640514383990266E-2</v>
      </c>
      <c r="BN140" s="66">
        <f t="shared" ref="BN140" si="354">+BC140/BW140</f>
        <v>425995.54198473284</v>
      </c>
      <c r="BO140" s="67"/>
      <c r="BP140" s="67">
        <f t="shared" ref="BP140" si="355">+BP139+BE140</f>
        <v>4218519</v>
      </c>
      <c r="BQ140" s="67"/>
      <c r="BR140" s="478">
        <f t="shared" ref="BR140" si="356">+BP140/BC140</f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ref="H141" si="357">+H140+D141</f>
        <v>4567979</v>
      </c>
      <c r="I141" s="16"/>
      <c r="J141" s="479">
        <f t="shared" ref="J141" si="358">+D141/H140</f>
        <v>1.4867837739482585E-2</v>
      </c>
      <c r="K141" s="16"/>
      <c r="L141" s="16"/>
      <c r="M141" s="16"/>
      <c r="N141" s="16"/>
      <c r="O141" s="16">
        <f t="shared" ref="O141" si="359">+H141/BW141</f>
        <v>34605.901515151512</v>
      </c>
      <c r="P141" s="41"/>
      <c r="Q141" s="17">
        <f t="shared" ref="Q141" si="360">SUM(D135:D141)</f>
        <v>464185</v>
      </c>
      <c r="R141" s="16"/>
      <c r="S141" s="60">
        <f t="shared" ref="S141" si="361">+(Q141-Q134)/Q134</f>
        <v>-3.1410280486939682E-2</v>
      </c>
      <c r="T141" s="16"/>
      <c r="U141" s="41"/>
      <c r="V141" s="10">
        <f t="shared" si="341"/>
        <v>33</v>
      </c>
      <c r="W141" s="34">
        <v>1485</v>
      </c>
      <c r="X141" s="33"/>
      <c r="Y141" s="33"/>
      <c r="Z141" s="33"/>
      <c r="AA141" s="33">
        <f t="shared" ref="AA141" si="362">+AA140+W141</f>
        <v>153844</v>
      </c>
      <c r="AB141" s="33"/>
      <c r="AC141" s="46">
        <f t="shared" ref="AC141" si="363">+AA141/H141</f>
        <v>3.3678788803538723E-2</v>
      </c>
      <c r="AD141" s="33"/>
      <c r="AE141" s="33">
        <f t="shared" ref="AE141" si="364">+AA141/BW141</f>
        <v>1165.4848484848485</v>
      </c>
      <c r="AF141" s="50"/>
      <c r="AG141" s="33"/>
      <c r="AH141" s="33"/>
      <c r="AI141" s="231"/>
      <c r="AJ141" s="50"/>
      <c r="AK141" s="10"/>
      <c r="AL141" s="23">
        <f t="shared" ref="AL141" si="365">+AP141-AP140</f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ref="AR141" si="366">+AL141/AP140</f>
        <v>2.7059866580904656E-2</v>
      </c>
      <c r="AS141" s="25"/>
      <c r="AT141" s="25"/>
      <c r="AU141" s="24"/>
      <c r="AV141" s="341">
        <f t="shared" ref="AV141" si="367">+AP141/H141</f>
        <v>0.49147423838857401</v>
      </c>
      <c r="AW141" s="341"/>
      <c r="AX141" s="24">
        <f t="shared" ref="AX141" si="368">+AP141/BW141</f>
        <v>17007.909090909092</v>
      </c>
      <c r="AY141" s="351"/>
      <c r="AZ141" s="10"/>
      <c r="BA141" s="66">
        <f t="shared" ref="BA141" si="369">+BC141-BC140</f>
        <v>878963</v>
      </c>
      <c r="BB141" s="67"/>
      <c r="BC141" s="67">
        <v>56684379</v>
      </c>
      <c r="BD141" s="67"/>
      <c r="BE141" s="67">
        <f t="shared" ref="BE141" si="370">+D141</f>
        <v>66921</v>
      </c>
      <c r="BF141" s="67"/>
      <c r="BG141" s="156">
        <f t="shared" ref="BG141" si="371">+BE141/BA141</f>
        <v>7.6136310629685205E-2</v>
      </c>
      <c r="BH141" s="67"/>
      <c r="BI141" s="183"/>
      <c r="BJ141" s="67"/>
      <c r="BK141" s="67">
        <f t="shared" ref="BK141" si="372">SUM(BA135:BA141)</f>
        <v>5951509</v>
      </c>
      <c r="BL141" s="67"/>
      <c r="BM141" s="156">
        <f t="shared" ref="BM141" si="373">+Q141/BK141</f>
        <v>7.7994505259086397E-2</v>
      </c>
      <c r="BN141" s="66">
        <f t="shared" ref="BN141" si="374">+BC141/BW141</f>
        <v>429427.11363636365</v>
      </c>
      <c r="BO141" s="67"/>
      <c r="BP141" s="67">
        <f t="shared" ref="BP141" si="375">+BP140+BE141</f>
        <v>4285440</v>
      </c>
      <c r="BQ141" s="67"/>
      <c r="BR141" s="478">
        <f t="shared" ref="BR141" si="376">+BP141/BC141</f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ref="H142" si="377">+H141+D142</f>
        <v>4636548</v>
      </c>
      <c r="I142" s="16"/>
      <c r="J142" s="479">
        <f t="shared" ref="J142" si="378">+D142/H141</f>
        <v>1.5010795802695241E-2</v>
      </c>
      <c r="K142" s="16"/>
      <c r="L142" s="16"/>
      <c r="M142" s="16"/>
      <c r="N142" s="16"/>
      <c r="O142" s="16">
        <f t="shared" ref="O142" si="379">+H142/BW142</f>
        <v>34861.26315789474</v>
      </c>
      <c r="P142" s="41"/>
      <c r="Q142" s="17">
        <f t="shared" ref="Q142" si="380">SUM(D136:D142)</f>
        <v>463311</v>
      </c>
      <c r="R142" s="16"/>
      <c r="S142" s="60">
        <f t="shared" ref="S142" si="381">+(Q142-Q135)/Q135</f>
        <v>-2.5209712745611654E-2</v>
      </c>
      <c r="T142" s="16"/>
      <c r="U142" s="41"/>
      <c r="V142" s="10">
        <f t="shared" si="341"/>
        <v>34</v>
      </c>
      <c r="W142" s="34">
        <v>1465</v>
      </c>
      <c r="X142" s="33"/>
      <c r="Y142" s="33"/>
      <c r="Z142" s="33"/>
      <c r="AA142" s="33">
        <f t="shared" ref="AA142" si="382">+AA141+W142</f>
        <v>155309</v>
      </c>
      <c r="AB142" s="33"/>
      <c r="AC142" s="46">
        <f t="shared" ref="AC142" si="383">+AA142/H142</f>
        <v>3.3496687621911818E-2</v>
      </c>
      <c r="AD142" s="33"/>
      <c r="AE142" s="33">
        <f t="shared" ref="AE142" si="384">+AA142/BW142</f>
        <v>1167.7368421052631</v>
      </c>
      <c r="AF142" s="50"/>
      <c r="AG142" s="33"/>
      <c r="AH142" s="33"/>
      <c r="AI142" s="231"/>
      <c r="AJ142" s="50"/>
      <c r="AK142" s="10"/>
      <c r="AL142" s="23">
        <f t="shared" ref="AL142" si="385">+AP142-AP141</f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ref="AR142" si="386">+AL142/AP141</f>
        <v>1.7781834119954886E-2</v>
      </c>
      <c r="AS142" s="25"/>
      <c r="AT142" s="25"/>
      <c r="AU142" s="24"/>
      <c r="AV142" s="341">
        <f t="shared" ref="AV142" si="387">+AP142/H142</f>
        <v>0.49281599155233591</v>
      </c>
      <c r="AW142" s="341"/>
      <c r="AX142" s="24">
        <f t="shared" ref="AX142" si="388">+AP142/BW142</f>
        <v>17180.187969924813</v>
      </c>
      <c r="AY142" s="351"/>
      <c r="AZ142" s="10"/>
      <c r="BA142" s="66">
        <f t="shared" ref="BA142" si="389">+BC142-BC141</f>
        <v>836765</v>
      </c>
      <c r="BB142" s="67"/>
      <c r="BC142" s="67">
        <v>57521144</v>
      </c>
      <c r="BD142" s="67"/>
      <c r="BE142" s="67">
        <f t="shared" ref="BE142" si="390">+D142</f>
        <v>68569</v>
      </c>
      <c r="BF142" s="67"/>
      <c r="BG142" s="156">
        <f t="shared" ref="BG142" si="391">+BE142/BA142</f>
        <v>8.1945349052601382E-2</v>
      </c>
      <c r="BH142" s="67"/>
      <c r="BI142" s="183"/>
      <c r="BJ142" s="67"/>
      <c r="BK142" s="67">
        <f t="shared" ref="BK142" si="392">SUM(BA136:BA142)</f>
        <v>5968969</v>
      </c>
      <c r="BL142" s="67"/>
      <c r="BM142" s="156">
        <f t="shared" ref="BM142" si="393">+Q142/BK142</f>
        <v>7.7619937379470386E-2</v>
      </c>
      <c r="BN142" s="66">
        <f t="shared" ref="BN142" si="394">+BC142/BW142</f>
        <v>432489.80451127817</v>
      </c>
      <c r="BO142" s="67"/>
      <c r="BP142" s="67">
        <f t="shared" ref="BP142" si="395">+BP141+BE142</f>
        <v>4354009</v>
      </c>
      <c r="BQ142" s="67"/>
      <c r="BR142" s="478">
        <f t="shared" ref="BR142" si="396">+BP142/BC142</f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ref="H143" si="397">+H142+D143</f>
        <v>4707631</v>
      </c>
      <c r="I143" s="16"/>
      <c r="J143" s="479">
        <f t="shared" ref="J143" si="398">+D143/H142</f>
        <v>1.5331017817566E-2</v>
      </c>
      <c r="K143" s="16"/>
      <c r="L143" s="16"/>
      <c r="M143" s="16"/>
      <c r="N143" s="16"/>
      <c r="O143" s="16">
        <f t="shared" ref="O143" si="399">+H143/BW143</f>
        <v>35131.574626865673</v>
      </c>
      <c r="P143" s="41"/>
      <c r="Q143" s="17">
        <f t="shared" ref="Q143" si="400">SUM(D137:D143)</f>
        <v>456416</v>
      </c>
      <c r="R143" s="16"/>
      <c r="S143" s="60">
        <f t="shared" ref="S143" si="401">+(Q143-Q136)/Q136</f>
        <v>-4.5721788728036061E-2</v>
      </c>
      <c r="T143" s="16"/>
      <c r="U143" s="41"/>
      <c r="V143" s="10">
        <f t="shared" si="341"/>
        <v>35</v>
      </c>
      <c r="W143" s="34">
        <v>1462</v>
      </c>
      <c r="X143" s="33"/>
      <c r="Y143" s="33"/>
      <c r="Z143" s="33"/>
      <c r="AA143" s="33">
        <f t="shared" ref="AA143" si="402">+AA142+W143</f>
        <v>156771</v>
      </c>
      <c r="AB143" s="33"/>
      <c r="AC143" s="46">
        <f t="shared" ref="AC143" si="403">+AA143/H143</f>
        <v>3.3301463092583083E-2</v>
      </c>
      <c r="AD143" s="33"/>
      <c r="AE143" s="33">
        <f t="shared" ref="AE143" si="404">+AA143/BW143</f>
        <v>1169.9328358208954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ref="AL143" si="405">+AP143-AP142</f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ref="AR143" si="406">+AL143/AP142</f>
        <v>1.8646675113185542E-2</v>
      </c>
      <c r="AS143" s="25"/>
      <c r="AT143" s="25"/>
      <c r="AU143" s="24"/>
      <c r="AV143" s="341">
        <f t="shared" ref="AV143" si="407">+AP143/H143</f>
        <v>0.49442532772853265</v>
      </c>
      <c r="AW143" s="341"/>
      <c r="AX143" s="24">
        <f t="shared" ref="AX143" si="408">+AP143/BW143</f>
        <v>17369.940298507463</v>
      </c>
      <c r="AY143" s="351"/>
      <c r="AZ143" s="10"/>
      <c r="BA143" s="66">
        <f t="shared" ref="BA143" si="409">+BC143-BC142</f>
        <v>972569</v>
      </c>
      <c r="BB143" s="67"/>
      <c r="BC143" s="67">
        <v>58493713</v>
      </c>
      <c r="BD143" s="67"/>
      <c r="BE143" s="67">
        <f t="shared" ref="BE143" si="410">+D143</f>
        <v>71083</v>
      </c>
      <c r="BF143" s="67"/>
      <c r="BG143" s="156">
        <f t="shared" ref="BG143" si="411">+BE143/BA143</f>
        <v>7.3087873456793295E-2</v>
      </c>
      <c r="BH143" s="67"/>
      <c r="BI143" s="183"/>
      <c r="BJ143" s="67"/>
      <c r="BK143" s="67">
        <f t="shared" ref="BK143" si="412">SUM(BA137:BA143)</f>
        <v>5973287</v>
      </c>
      <c r="BL143" s="67"/>
      <c r="BM143" s="156">
        <f t="shared" ref="BM143" si="413">+Q143/BK143</f>
        <v>7.6409521256889212E-2</v>
      </c>
      <c r="BN143" s="66">
        <f t="shared" ref="BN143" si="414">+BC143/BW143</f>
        <v>436520.24626865675</v>
      </c>
      <c r="BO143" s="67"/>
      <c r="BP143" s="67">
        <f t="shared" ref="BP143" si="415">+BP142+BE143</f>
        <v>4425092</v>
      </c>
      <c r="BQ143" s="67"/>
      <c r="BR143" s="478">
        <f t="shared" ref="BR143" si="416">+BP143/BC143</f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ref="H144" si="417">+H143+D144</f>
        <v>4766172</v>
      </c>
      <c r="I144" s="16"/>
      <c r="J144" s="479">
        <f t="shared" ref="J144" si="418">+D144/H143</f>
        <v>1.2435341682472564E-2</v>
      </c>
      <c r="K144" s="16"/>
      <c r="L144" s="16"/>
      <c r="M144" s="16"/>
      <c r="N144" s="16"/>
      <c r="O144" s="16">
        <f t="shared" ref="O144" si="419">+H144/BW144</f>
        <v>35304.977777777778</v>
      </c>
      <c r="P144" s="41"/>
      <c r="Q144" s="17">
        <f t="shared" ref="Q144" si="420">SUM(D138:D144)</f>
        <v>447544</v>
      </c>
      <c r="R144" s="16"/>
      <c r="S144" s="60">
        <f t="shared" ref="S144" si="421">+(Q144-Q137)/Q137</f>
        <v>-7.2328465004829631E-2</v>
      </c>
      <c r="T144" s="16"/>
      <c r="U144" s="41"/>
      <c r="V144" s="10">
        <f t="shared" si="341"/>
        <v>36</v>
      </c>
      <c r="W144" s="34">
        <v>1123</v>
      </c>
      <c r="X144" s="33"/>
      <c r="Y144" s="33"/>
      <c r="Z144" s="33"/>
      <c r="AA144" s="33">
        <f t="shared" ref="AA144" si="422">+AA143+W144</f>
        <v>157894</v>
      </c>
      <c r="AB144" s="33"/>
      <c r="AC144" s="46">
        <f t="shared" ref="AC144" si="423">+AA144/H144</f>
        <v>3.3128053288886766E-2</v>
      </c>
      <c r="AD144" s="33"/>
      <c r="AE144" s="33">
        <f t="shared" ref="AE144" si="424">+AA144/BW144</f>
        <v>1169.5851851851851</v>
      </c>
      <c r="AF144" s="50"/>
      <c r="AG144" s="33"/>
      <c r="AH144" s="33"/>
      <c r="AI144" s="231"/>
      <c r="AJ144" s="50"/>
      <c r="AK144" s="10"/>
      <c r="AL144" s="23">
        <f t="shared" ref="AL144" si="425">+AP144-AP143</f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ref="AR144" si="426">+AL144/AP143</f>
        <v>1.5179337094620488E-2</v>
      </c>
      <c r="AS144" s="25"/>
      <c r="AT144" s="25"/>
      <c r="AU144" s="24"/>
      <c r="AV144" s="341">
        <f t="shared" ref="AV144" si="427">+AP144/H144</f>
        <v>0.49576536474134797</v>
      </c>
      <c r="AW144" s="341"/>
      <c r="AX144" s="24">
        <f t="shared" ref="AX144" si="428">+AP144/BW144</f>
        <v>17502.985185185185</v>
      </c>
      <c r="AY144" s="351"/>
      <c r="AZ144" s="10"/>
      <c r="BA144" s="66">
        <f t="shared" ref="BA144" si="429">+BC144-BC143</f>
        <v>733196</v>
      </c>
      <c r="BB144" s="67"/>
      <c r="BC144" s="67">
        <v>59226909</v>
      </c>
      <c r="BD144" s="67"/>
      <c r="BE144" s="67">
        <f t="shared" ref="BE144" si="430">+D144</f>
        <v>58541</v>
      </c>
      <c r="BF144" s="67"/>
      <c r="BG144" s="156">
        <f t="shared" ref="BG144" si="431">+BE144/BA144</f>
        <v>7.984358889028309E-2</v>
      </c>
      <c r="BH144" s="67"/>
      <c r="BI144" s="183"/>
      <c r="BJ144" s="67"/>
      <c r="BK144" s="67">
        <f t="shared" ref="BK144" si="432">SUM(BA138:BA144)</f>
        <v>5874659</v>
      </c>
      <c r="BL144" s="67"/>
      <c r="BM144" s="156">
        <f t="shared" ref="BM144" si="433">+Q144/BK144</f>
        <v>7.6182123932640178E-2</v>
      </c>
      <c r="BN144" s="66">
        <f t="shared" ref="BN144" si="434">+BC144/BW144</f>
        <v>438717.84444444446</v>
      </c>
      <c r="BO144" s="67"/>
      <c r="BP144" s="67">
        <f t="shared" ref="BP144" si="435">+BP143+BE144</f>
        <v>4483633</v>
      </c>
      <c r="BQ144" s="67"/>
      <c r="BR144" s="478">
        <f t="shared" ref="BR144" si="436">+BP144/BC144</f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8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ref="H145" si="437">+H144+D145</f>
        <v>4815210</v>
      </c>
      <c r="I145" s="16"/>
      <c r="J145" s="479">
        <f t="shared" ref="J145" si="438">+D145/H144</f>
        <v>1.0288760036356221E-2</v>
      </c>
      <c r="K145" s="16"/>
      <c r="L145" s="16"/>
      <c r="M145" s="16"/>
      <c r="N145" s="16">
        <f>SUM(D139:D145)</f>
        <v>440452</v>
      </c>
      <c r="O145" s="16">
        <f t="shared" ref="O145" si="439">+H145/BW145</f>
        <v>35405.955882352944</v>
      </c>
      <c r="P145" s="41"/>
      <c r="Q145" s="17">
        <f t="shared" ref="Q145" si="440">SUM(D139:D145)</f>
        <v>440452</v>
      </c>
      <c r="R145" s="16"/>
      <c r="S145" s="60">
        <f t="shared" ref="S145" si="441">+(Q145-Q138)/Q138</f>
        <v>-6.9380441970973344E-2</v>
      </c>
      <c r="T145" s="16"/>
      <c r="U145" s="41"/>
      <c r="V145" s="391">
        <f t="shared" si="341"/>
        <v>37</v>
      </c>
      <c r="W145" s="34">
        <v>467</v>
      </c>
      <c r="X145" s="33"/>
      <c r="Y145" s="33"/>
      <c r="Z145" s="33"/>
      <c r="AA145" s="33">
        <f t="shared" ref="AA145" si="442">+AA144+W145</f>
        <v>158361</v>
      </c>
      <c r="AB145" s="33"/>
      <c r="AC145" s="46">
        <f t="shared" ref="AC145" si="443">+AA145/H145</f>
        <v>3.28876622203393E-2</v>
      </c>
      <c r="AD145" s="33"/>
      <c r="AE145" s="33">
        <f t="shared" ref="AE145" si="444">+AA145/BW145</f>
        <v>1164.4191176470588</v>
      </c>
      <c r="AF145" s="50"/>
      <c r="AG145" s="33">
        <f t="shared" ref="AG145" si="445">SUM(W139:W145)</f>
        <v>7843</v>
      </c>
      <c r="AH145" s="33">
        <f t="shared" si="301"/>
        <v>3450514</v>
      </c>
      <c r="AI145" s="231">
        <f t="shared" ref="AI145" si="446">+(AG145-AG138)/AG138</f>
        <v>0.1919452887537994</v>
      </c>
      <c r="AJ145" s="50"/>
      <c r="AK145" s="10"/>
      <c r="AL145" s="23">
        <f t="shared" ref="AL145" si="447">+AP145-AP144</f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ref="AR145" si="448">+AL145/AP144</f>
        <v>7.327427321392372E-3</v>
      </c>
      <c r="AS145" s="25"/>
      <c r="AT145" s="25"/>
      <c r="AU145" s="24"/>
      <c r="AV145" s="341">
        <f t="shared" ref="AV145" si="449">+AP145/H145</f>
        <v>0.49431218991487391</v>
      </c>
      <c r="AW145" s="341"/>
      <c r="AX145" s="24">
        <f t="shared" ref="AX145" si="450">+AP145/BW145</f>
        <v>17501.595588235294</v>
      </c>
      <c r="AY145" s="351"/>
      <c r="AZ145" s="10"/>
      <c r="BA145" s="66">
        <f t="shared" ref="BA145" si="451">+BC145-BC144</f>
        <v>698375</v>
      </c>
      <c r="BB145" s="67"/>
      <c r="BC145" s="67">
        <v>59925284</v>
      </c>
      <c r="BD145" s="67"/>
      <c r="BE145" s="67">
        <f t="shared" ref="BE145" si="452">+D145</f>
        <v>49038</v>
      </c>
      <c r="BF145" s="67"/>
      <c r="BG145" s="156">
        <f t="shared" ref="BG145" si="453">+BE145/BA145</f>
        <v>7.0217290137819938E-2</v>
      </c>
      <c r="BH145" s="67"/>
      <c r="BI145" s="183"/>
      <c r="BJ145" s="67"/>
      <c r="BK145" s="67">
        <f t="shared" ref="BK145" si="454">SUM(BA139:BA145)</f>
        <v>5705709</v>
      </c>
      <c r="BL145" s="67"/>
      <c r="BM145" s="156">
        <f t="shared" ref="BM145" si="455">+Q145/BK145</f>
        <v>7.7194963851118237E-2</v>
      </c>
      <c r="BN145" s="66">
        <f t="shared" ref="BN145" si="456">+BC145/BW145</f>
        <v>440627.0882352941</v>
      </c>
      <c r="BO145" s="67"/>
      <c r="BP145" s="67">
        <f t="shared" ref="BP145" si="457">+BP144+BE145</f>
        <v>4532671</v>
      </c>
      <c r="BQ145" s="67"/>
      <c r="BR145" s="478">
        <f t="shared" ref="BR145" si="458">+BP145/BC145</f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85" x14ac:dyDescent="0.3">
      <c r="A146" s="554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ref="H146" si="459">+H145+D146</f>
        <v>4863856</v>
      </c>
      <c r="I146" s="16"/>
      <c r="J146" s="479">
        <f t="shared" ref="J146" si="460">+D146/H145</f>
        <v>1.0102570812072578E-2</v>
      </c>
      <c r="K146" s="16"/>
      <c r="L146" s="16"/>
      <c r="M146" s="16"/>
      <c r="N146" s="16"/>
      <c r="O146" s="16">
        <f t="shared" ref="O146" si="461">+H146/BW146</f>
        <v>35502.598540145984</v>
      </c>
      <c r="P146" s="41"/>
      <c r="Q146" s="17">
        <f t="shared" ref="Q146" si="462">SUM(D140:D146)</f>
        <v>427527</v>
      </c>
      <c r="R146" s="16"/>
      <c r="S146" s="60">
        <f t="shared" ref="S146" si="463">+(Q146-Q139)/Q139</f>
        <v>-9.4185994775213402E-2</v>
      </c>
      <c r="T146" s="16"/>
      <c r="U146" s="41"/>
      <c r="V146" s="10">
        <f t="shared" si="341"/>
        <v>38</v>
      </c>
      <c r="W146" s="34">
        <v>562</v>
      </c>
      <c r="X146" s="33"/>
      <c r="Y146" s="33"/>
      <c r="Z146" s="33"/>
      <c r="AA146" s="33">
        <f t="shared" ref="AA146" si="464">+AA145+W146</f>
        <v>158923</v>
      </c>
      <c r="AB146" s="33"/>
      <c r="AC146" s="46">
        <f t="shared" ref="AC146" si="465">+AA146/H146</f>
        <v>3.2674281475438417E-2</v>
      </c>
      <c r="AD146" s="33"/>
      <c r="AE146" s="33">
        <f t="shared" ref="AE146" si="466">+AA146/BW146</f>
        <v>1160.0218978102189</v>
      </c>
      <c r="AF146" s="50"/>
      <c r="AG146" s="33"/>
      <c r="AH146" s="33"/>
      <c r="AI146" s="231"/>
      <c r="AJ146" s="50"/>
      <c r="AK146" s="10"/>
      <c r="AL146" s="23">
        <f t="shared" ref="AL146" si="467">+AP146-AP145</f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ref="AR146" si="468">+AL146/AP145</f>
        <v>2.7972659635655067E-2</v>
      </c>
      <c r="AS146" s="25"/>
      <c r="AT146" s="25"/>
      <c r="AU146" s="24"/>
      <c r="AV146" s="341">
        <f t="shared" ref="AV146" si="469">+AP146/H146</f>
        <v>0.5030572451158094</v>
      </c>
      <c r="AW146" s="341"/>
      <c r="AX146" s="24">
        <f t="shared" ref="AX146" si="470">+AP146/BW146</f>
        <v>17859.839416058396</v>
      </c>
      <c r="AY146" s="351"/>
      <c r="AZ146" s="10"/>
      <c r="BA146" s="66">
        <f t="shared" ref="BA146" si="471">+BC146-BC145</f>
        <v>1012257</v>
      </c>
      <c r="BB146" s="67"/>
      <c r="BC146" s="67">
        <v>60937541</v>
      </c>
      <c r="BD146" s="67"/>
      <c r="BE146" s="67">
        <f t="shared" ref="BE146" si="472">+D146</f>
        <v>48646</v>
      </c>
      <c r="BF146" s="67"/>
      <c r="BG146" s="156">
        <f t="shared" ref="BG146" si="473">+BE146/BA146</f>
        <v>4.8056965770550367E-2</v>
      </c>
      <c r="BH146" s="67"/>
      <c r="BI146" s="183"/>
      <c r="BJ146" s="67"/>
      <c r="BK146" s="67">
        <f t="shared" ref="BK146" si="474">SUM(BA140:BA146)</f>
        <v>5919305</v>
      </c>
      <c r="BL146" s="67"/>
      <c r="BM146" s="156">
        <f t="shared" ref="BM146" si="475">+Q146/BK146</f>
        <v>7.2225877869107946E-2</v>
      </c>
      <c r="BN146" s="66">
        <f t="shared" ref="BN146" si="476">+BC146/BW146</f>
        <v>444799.56934306567</v>
      </c>
      <c r="BO146" s="67"/>
      <c r="BP146" s="67">
        <f t="shared" ref="BP146" si="477">+BP145+BE146</f>
        <v>4581317</v>
      </c>
      <c r="BQ146" s="67"/>
      <c r="BR146" s="478">
        <f t="shared" ref="BR146" si="478">+BP146/BC146</f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8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ref="H147" si="479">+H146+D147</f>
        <v>4918420</v>
      </c>
      <c r="I147" s="16"/>
      <c r="J147" s="479">
        <f t="shared" ref="J147" si="480">+D147/H146</f>
        <v>1.1218259751111053E-2</v>
      </c>
      <c r="K147" s="16"/>
      <c r="L147" s="16"/>
      <c r="M147" s="16"/>
      <c r="N147" s="16"/>
      <c r="O147" s="16">
        <f t="shared" ref="O147" si="481">+H147/BW147</f>
        <v>35640.72463768116</v>
      </c>
      <c r="P147" s="41"/>
      <c r="Q147" s="17">
        <f t="shared" ref="Q147" si="482">SUM(D141:D147)</f>
        <v>417362</v>
      </c>
      <c r="R147" s="16"/>
      <c r="S147" s="60">
        <f t="shared" ref="S147" si="483">+(Q147-Q140)/Q140</f>
        <v>-0.11054043743912913</v>
      </c>
      <c r="T147" s="16"/>
      <c r="U147" s="41"/>
      <c r="V147" s="10">
        <f t="shared" si="341"/>
        <v>39</v>
      </c>
      <c r="W147" s="34">
        <v>1359</v>
      </c>
      <c r="X147" s="33"/>
      <c r="Y147" s="33"/>
      <c r="Z147" s="33"/>
      <c r="AA147" s="33">
        <f t="shared" ref="AA147" si="484">+AA146+W147</f>
        <v>160282</v>
      </c>
      <c r="AB147" s="33"/>
      <c r="AC147" s="46">
        <f t="shared" ref="AC147" si="485">+AA147/H147</f>
        <v>3.2588107562997876E-2</v>
      </c>
      <c r="AD147" s="33"/>
      <c r="AE147" s="33">
        <f t="shared" ref="AE147" si="486">+AA147/BW147</f>
        <v>1161.463768115942</v>
      </c>
      <c r="AF147" s="50"/>
      <c r="AG147" s="33"/>
      <c r="AH147" s="33"/>
      <c r="AI147" s="231"/>
      <c r="AJ147" s="50"/>
      <c r="AK147" s="10"/>
      <c r="AL147" s="23">
        <f t="shared" ref="AL147" si="487">+AP147-AP146</f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ref="AR147" si="488">+AL147/AP146</f>
        <v>1.425618297873384E-2</v>
      </c>
      <c r="AS147" s="25"/>
      <c r="AT147" s="25"/>
      <c r="AU147" s="24"/>
      <c r="AV147" s="341">
        <f t="shared" ref="AV147" si="489">+AP147/H147</f>
        <v>0.50456854030359344</v>
      </c>
      <c r="AW147" s="341"/>
      <c r="AX147" s="24">
        <f t="shared" ref="AX147" si="490">+AP147/BW147</f>
        <v>17983.1884057971</v>
      </c>
      <c r="AY147" s="351"/>
      <c r="AZ147" s="10"/>
      <c r="BA147" s="66">
        <f t="shared" ref="BA147" si="491">+BC147-BC146</f>
        <v>681496</v>
      </c>
      <c r="BB147" s="67"/>
      <c r="BC147" s="67">
        <v>61619037</v>
      </c>
      <c r="BD147" s="67"/>
      <c r="BE147" s="67">
        <f t="shared" ref="BE147" si="492">+D147</f>
        <v>54564</v>
      </c>
      <c r="BF147" s="67"/>
      <c r="BG147" s="156">
        <f t="shared" ref="BG147" si="493">+BE147/BA147</f>
        <v>8.0065033397114585E-2</v>
      </c>
      <c r="BH147" s="67"/>
      <c r="BI147" s="183"/>
      <c r="BJ147" s="67"/>
      <c r="BK147" s="67">
        <f t="shared" ref="BK147" si="494">SUM(BA141:BA147)</f>
        <v>5813621</v>
      </c>
      <c r="BL147" s="67"/>
      <c r="BM147" s="156">
        <f t="shared" ref="BM147" si="495">+Q147/BK147</f>
        <v>7.1790369547653693E-2</v>
      </c>
      <c r="BN147" s="66">
        <f t="shared" ref="BN147" si="496">+BC147/BW147</f>
        <v>446514.76086956525</v>
      </c>
      <c r="BO147" s="67"/>
      <c r="BP147" s="67">
        <f t="shared" ref="BP147" si="497">+BP146+BE147</f>
        <v>4635881</v>
      </c>
      <c r="BQ147" s="67"/>
      <c r="BR147" s="478">
        <f t="shared" ref="BR147" si="498">+BP147/BC147</f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8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ref="H148" si="499">+H147+D148</f>
        <v>4973568</v>
      </c>
      <c r="I148" s="16"/>
      <c r="J148" s="479">
        <f t="shared" ref="J148" si="500">+D148/H147</f>
        <v>1.1212543865712974E-2</v>
      </c>
      <c r="K148" s="16"/>
      <c r="L148" s="16"/>
      <c r="M148" s="16"/>
      <c r="N148" s="16"/>
      <c r="O148" s="16">
        <f t="shared" ref="O148" si="501">+H148/BW148</f>
        <v>35781.064748201439</v>
      </c>
      <c r="P148" s="41"/>
      <c r="Q148" s="17">
        <f t="shared" ref="Q148" si="502">SUM(D142:D148)</f>
        <v>405589</v>
      </c>
      <c r="R148" s="16"/>
      <c r="S148" s="60">
        <f t="shared" ref="S148" si="503">+(Q148-Q141)/Q141</f>
        <v>-0.12623415233150576</v>
      </c>
      <c r="T148" s="16"/>
      <c r="U148" s="41"/>
      <c r="V148" s="10">
        <f t="shared" si="341"/>
        <v>40</v>
      </c>
      <c r="W148" s="34">
        <v>1319</v>
      </c>
      <c r="X148" s="33"/>
      <c r="Y148" s="33"/>
      <c r="Z148" s="33"/>
      <c r="AA148" s="33">
        <f t="shared" ref="AA148" si="504">+AA147+W148</f>
        <v>161601</v>
      </c>
      <c r="AB148" s="33"/>
      <c r="AC148" s="46">
        <f t="shared" ref="AC148" si="505">+AA148/H148</f>
        <v>3.2491965526559606E-2</v>
      </c>
      <c r="AD148" s="33"/>
      <c r="AE148" s="33">
        <f t="shared" ref="AE148" si="506">+AA148/BW148</f>
        <v>1162.5971223021584</v>
      </c>
      <c r="AF148" s="50"/>
      <c r="AG148" s="33"/>
      <c r="AH148" s="33"/>
      <c r="AI148" s="231"/>
      <c r="AJ148" s="50"/>
      <c r="AK148" s="10"/>
      <c r="AL148" s="23">
        <f t="shared" ref="AL148" si="507">+AP148-AP147</f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ref="AR148" si="508">+AL148/AP147</f>
        <v>2.3555414074336738E-2</v>
      </c>
      <c r="AS148" s="25"/>
      <c r="AT148" s="25"/>
      <c r="AU148" s="24"/>
      <c r="AV148" s="341">
        <f t="shared" ref="AV148" si="509">+AP148/H148</f>
        <v>0.51072730884548079</v>
      </c>
      <c r="AW148" s="341"/>
      <c r="AX148" s="24">
        <f t="shared" ref="AX148" si="510">+AP148/BW148</f>
        <v>18274.366906474821</v>
      </c>
      <c r="AY148" s="351"/>
      <c r="AZ148" s="10"/>
      <c r="BA148" s="66">
        <f t="shared" ref="BA148" si="511">+BC148-BC147</f>
        <v>762258</v>
      </c>
      <c r="BB148" s="67"/>
      <c r="BC148" s="67">
        <v>62381295</v>
      </c>
      <c r="BD148" s="67"/>
      <c r="BE148" s="67">
        <f t="shared" ref="BE148" si="512">+D148</f>
        <v>55148</v>
      </c>
      <c r="BF148" s="67"/>
      <c r="BG148" s="156">
        <f t="shared" ref="BG148" si="513">+BE148/BA148</f>
        <v>7.2348207562268937E-2</v>
      </c>
      <c r="BH148" s="67"/>
      <c r="BI148" s="183"/>
      <c r="BJ148" s="67"/>
      <c r="BK148" s="67">
        <f t="shared" ref="BK148" si="514">SUM(BA142:BA148)</f>
        <v>5696916</v>
      </c>
      <c r="BL148" s="67"/>
      <c r="BM148" s="156">
        <f t="shared" ref="BM148" si="515">+Q148/BK148</f>
        <v>7.1194484875676589E-2</v>
      </c>
      <c r="BN148" s="66">
        <f t="shared" ref="BN148" si="516">+BC148/BW148</f>
        <v>448786.29496402876</v>
      </c>
      <c r="BO148" s="67"/>
      <c r="BP148" s="67">
        <f t="shared" ref="BP148" si="517">+BP147+BE148</f>
        <v>4691029</v>
      </c>
      <c r="BQ148" s="67"/>
      <c r="BR148" s="478">
        <f t="shared" ref="BR148" si="518">+BP148/BC148</f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8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ref="H149" si="519">+H148+D149</f>
        <v>5032278</v>
      </c>
      <c r="I149" s="16"/>
      <c r="J149" s="479">
        <f t="shared" ref="J149" si="520">+D149/H148</f>
        <v>1.1804402794935146E-2</v>
      </c>
      <c r="K149" s="16"/>
      <c r="L149" s="16"/>
      <c r="M149" s="16"/>
      <c r="N149" s="16"/>
      <c r="O149" s="16">
        <f t="shared" ref="O149" si="521">+H149/BW149</f>
        <v>35944.842857142859</v>
      </c>
      <c r="P149" s="41"/>
      <c r="Q149" s="17">
        <f t="shared" ref="Q149" si="522">SUM(D143:D149)</f>
        <v>395730</v>
      </c>
      <c r="R149" s="16"/>
      <c r="S149" s="60">
        <f t="shared" ref="S149" si="523">+(Q149-Q142)/Q142</f>
        <v>-0.14586530429884031</v>
      </c>
      <c r="T149" s="16"/>
      <c r="U149" s="41"/>
      <c r="V149" s="10">
        <f t="shared" si="341"/>
        <v>41</v>
      </c>
      <c r="W149" s="34">
        <v>1203</v>
      </c>
      <c r="X149" s="33"/>
      <c r="Y149" s="33"/>
      <c r="Z149" s="33"/>
      <c r="AA149" s="33">
        <f t="shared" ref="AA149" si="524">+AA148+W149</f>
        <v>162804</v>
      </c>
      <c r="AB149" s="33"/>
      <c r="AC149" s="46">
        <f t="shared" ref="AC149" si="525">+AA149/H149</f>
        <v>3.2351948759587607E-2</v>
      </c>
      <c r="AD149" s="33"/>
      <c r="AE149" s="33">
        <f t="shared" ref="AE149" si="526">+AA149/BW149</f>
        <v>1162.8857142857144</v>
      </c>
      <c r="AF149" s="50"/>
      <c r="AG149" s="33"/>
      <c r="AH149" s="33"/>
      <c r="AI149" s="231"/>
      <c r="AJ149" s="50"/>
      <c r="AK149" s="10"/>
      <c r="AL149" s="23">
        <f t="shared" ref="AL149" si="527">+AP149-AP148</f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ref="AR149" si="528">+AL149/AP148</f>
        <v>1.0154964082645936E-2</v>
      </c>
      <c r="AS149" s="25"/>
      <c r="AT149" s="25"/>
      <c r="AU149" s="24"/>
      <c r="AV149" s="341">
        <f t="shared" ref="AV149" si="529">+AP149/H149</f>
        <v>0.50989472362218458</v>
      </c>
      <c r="AW149" s="341"/>
      <c r="AX149" s="24">
        <f t="shared" ref="AX149" si="530">+AP149/BW149</f>
        <v>18328.085714285713</v>
      </c>
      <c r="AY149" s="351"/>
      <c r="AZ149" s="10"/>
      <c r="BA149" s="66">
        <f t="shared" ref="BA149" si="531">+BC149-BC148</f>
        <v>764126</v>
      </c>
      <c r="BB149" s="67"/>
      <c r="BC149" s="67">
        <f>63896457-751036</f>
        <v>63145421</v>
      </c>
      <c r="BD149" s="67"/>
      <c r="BE149" s="67">
        <f t="shared" ref="BE149" si="532">+D149</f>
        <v>58710</v>
      </c>
      <c r="BF149" s="67"/>
      <c r="BG149" s="156">
        <f t="shared" ref="BG149" si="533">+BE149/BA149</f>
        <v>7.6832878347288275E-2</v>
      </c>
      <c r="BH149" s="67"/>
      <c r="BI149" s="183"/>
      <c r="BJ149" s="67"/>
      <c r="BK149" s="67">
        <f t="shared" ref="BK149" si="534">SUM(BA143:BA149)</f>
        <v>5624277</v>
      </c>
      <c r="BL149" s="67"/>
      <c r="BM149" s="156">
        <f t="shared" ref="BM149" si="535">+Q149/BK149</f>
        <v>7.0361043739488649E-2</v>
      </c>
      <c r="BN149" s="66">
        <f t="shared" ref="BN149" si="536">+BC149/BW149</f>
        <v>451038.72142857144</v>
      </c>
      <c r="BO149" s="67"/>
      <c r="BP149" s="67">
        <f t="shared" ref="BP149" si="537">+BP148+BE149</f>
        <v>4749739</v>
      </c>
      <c r="BQ149" s="67"/>
      <c r="BR149" s="478">
        <f t="shared" ref="BR149" si="538">+BP149/BC149</f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8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ref="H150" si="539">+H149+D150</f>
        <v>5095524</v>
      </c>
      <c r="I150" s="16"/>
      <c r="J150" s="479">
        <f t="shared" ref="J150" si="540">+D150/H149</f>
        <v>1.2568065595740139E-2</v>
      </c>
      <c r="K150" s="16"/>
      <c r="L150" s="16"/>
      <c r="M150" s="16"/>
      <c r="N150" s="16"/>
      <c r="O150" s="16">
        <f t="shared" ref="O150" si="541">+H150/BW150</f>
        <v>36138.468085106382</v>
      </c>
      <c r="P150" s="41"/>
      <c r="Q150" s="17">
        <f t="shared" ref="Q150" si="542">SUM(D144:D150)</f>
        <v>387893</v>
      </c>
      <c r="R150" s="16"/>
      <c r="S150" s="60">
        <f t="shared" ref="S150" si="543">+(Q150-Q143)/Q143</f>
        <v>-0.15013277361003996</v>
      </c>
      <c r="T150" s="16"/>
      <c r="U150" s="41"/>
      <c r="V150" s="10">
        <f t="shared" si="341"/>
        <v>42</v>
      </c>
      <c r="W150" s="34">
        <v>1290</v>
      </c>
      <c r="X150" s="33"/>
      <c r="Y150" s="33"/>
      <c r="Z150" s="33"/>
      <c r="AA150" s="33">
        <f t="shared" ref="AA150" si="544">+AA149+W150</f>
        <v>164094</v>
      </c>
      <c r="AB150" s="33"/>
      <c r="AC150" s="46">
        <f t="shared" ref="AC150" si="545">+AA150/H150</f>
        <v>3.2203557475148775E-2</v>
      </c>
      <c r="AD150" s="33"/>
      <c r="AE150" s="33">
        <f t="shared" ref="AE150" si="546">+AA150/BW150</f>
        <v>1163.7872340425531</v>
      </c>
      <c r="AF150" s="50"/>
      <c r="AG150" s="33"/>
      <c r="AH150" s="33"/>
      <c r="AI150" s="231"/>
      <c r="AJ150" s="50"/>
      <c r="AK150" s="10"/>
      <c r="AL150" s="23">
        <f t="shared" ref="AL150" si="547">+AP150-AP149</f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ref="AR150" si="548">+AL150/AP149</f>
        <v>1.9889459268601039E-2</v>
      </c>
      <c r="AS150" s="25"/>
      <c r="AT150" s="25"/>
      <c r="AU150" s="24"/>
      <c r="AV150" s="341">
        <f t="shared" ref="AV150" si="549">+AP150/H150</f>
        <v>0.51358152763091691</v>
      </c>
      <c r="AW150" s="341"/>
      <c r="AX150" s="24">
        <f t="shared" ref="AX150" si="550">+AP150/BW150</f>
        <v>18560.049645390071</v>
      </c>
      <c r="AY150" s="351"/>
      <c r="AZ150" s="10"/>
      <c r="BA150" s="66">
        <f t="shared" ref="BA150" si="551">+BC150-BC149</f>
        <v>751036</v>
      </c>
      <c r="BB150" s="67"/>
      <c r="BC150" s="67">
        <v>63896457</v>
      </c>
      <c r="BD150" s="67"/>
      <c r="BE150" s="67">
        <f t="shared" ref="BE150" si="552">+D150</f>
        <v>63246</v>
      </c>
      <c r="BF150" s="67"/>
      <c r="BG150" s="156">
        <f t="shared" ref="BG150" si="553">+BE150/BA150</f>
        <v>8.4211675605430372E-2</v>
      </c>
      <c r="BH150" s="67"/>
      <c r="BI150" s="183"/>
      <c r="BJ150" s="67"/>
      <c r="BK150" s="67">
        <f t="shared" ref="BK150" si="554">SUM(BA144:BA150)</f>
        <v>5402744</v>
      </c>
      <c r="BL150" s="67"/>
      <c r="BM150" s="156">
        <f t="shared" ref="BM150" si="555">+Q150/BK150</f>
        <v>7.1795554259095007E-2</v>
      </c>
      <c r="BN150" s="66">
        <f t="shared" ref="BN150" si="556">+BC150/BW150</f>
        <v>453166.36170212767</v>
      </c>
      <c r="BO150" s="67"/>
      <c r="BP150" s="67">
        <f t="shared" ref="BP150" si="557">+BP149+BE150</f>
        <v>4812985</v>
      </c>
      <c r="BQ150" s="67"/>
      <c r="BR150" s="478">
        <f t="shared" ref="BR150" si="558">+BP150/BC150</f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8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ref="H151" si="559">+H150+D151</f>
        <v>5149723</v>
      </c>
      <c r="I151" s="16"/>
      <c r="J151" s="479">
        <f t="shared" ref="J151" si="560">+D151/H150</f>
        <v>1.0636590073955102E-2</v>
      </c>
      <c r="K151" s="16"/>
      <c r="L151" s="16"/>
      <c r="M151" s="16"/>
      <c r="N151" s="16"/>
      <c r="O151" s="16">
        <f>+H151/BW151</f>
        <v>36265.654929577468</v>
      </c>
      <c r="P151" s="41"/>
      <c r="Q151" s="17">
        <f t="shared" ref="Q151" si="561">SUM(D145:D151)</f>
        <v>383551</v>
      </c>
      <c r="R151" s="16"/>
      <c r="S151" s="60">
        <f t="shared" ref="S151" si="562">+(Q151-Q144)/Q144</f>
        <v>-0.14298705825572458</v>
      </c>
      <c r="T151" s="16"/>
      <c r="U151" s="41"/>
      <c r="V151" s="10">
        <f t="shared" si="341"/>
        <v>43</v>
      </c>
      <c r="W151" s="34">
        <v>976</v>
      </c>
      <c r="X151" s="33"/>
      <c r="Y151" s="33"/>
      <c r="Z151" s="33"/>
      <c r="AA151" s="33">
        <f t="shared" ref="AA151" si="563">+AA150+W151</f>
        <v>165070</v>
      </c>
      <c r="AB151" s="33"/>
      <c r="AC151" s="46">
        <f t="shared" ref="AC151" si="564">+AA151/H151</f>
        <v>3.2054151262116429E-2</v>
      </c>
      <c r="AD151" s="33"/>
      <c r="AE151" s="33">
        <f t="shared" ref="AE151" si="565">+AA151/BW151</f>
        <v>1162.4647887323943</v>
      </c>
      <c r="AF151" s="50"/>
      <c r="AG151" s="33"/>
      <c r="AH151" s="33"/>
      <c r="AI151" s="231"/>
      <c r="AJ151" s="50"/>
      <c r="AK151" s="10"/>
      <c r="AL151" s="23">
        <f t="shared" ref="AL151" si="566">+AP151-AP150</f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ref="AR151" si="567">+AL151/AP150</f>
        <v>8.2167639102824E-3</v>
      </c>
      <c r="AS151" s="25"/>
      <c r="AT151" s="25"/>
      <c r="AU151" s="24"/>
      <c r="AV151" s="341">
        <f t="shared" ref="AV151" si="568">+AP151/H151</f>
        <v>0.51235182940907698</v>
      </c>
      <c r="AW151" s="341"/>
      <c r="AX151" s="24">
        <f t="shared" ref="AX151" si="569">+AP151/BW151</f>
        <v>18580.774647887323</v>
      </c>
      <c r="AY151" s="351"/>
      <c r="AZ151" s="10"/>
      <c r="BA151" s="66">
        <f t="shared" ref="BA151" si="570">+BC151-BC150</f>
        <v>714090</v>
      </c>
      <c r="BB151" s="67"/>
      <c r="BC151" s="67">
        <v>64610547</v>
      </c>
      <c r="BD151" s="67"/>
      <c r="BE151" s="67">
        <f t="shared" ref="BE151" si="571">+D151</f>
        <v>54199</v>
      </c>
      <c r="BF151" s="67"/>
      <c r="BG151" s="156">
        <f t="shared" ref="BG151" si="572">+BE151/BA151</f>
        <v>7.5899396434623081E-2</v>
      </c>
      <c r="BH151" s="67"/>
      <c r="BI151" s="183"/>
      <c r="BJ151" s="67"/>
      <c r="BK151" s="67">
        <f t="shared" ref="BK151" si="573">SUM(BA145:BA151)</f>
        <v>5383638</v>
      </c>
      <c r="BL151" s="67"/>
      <c r="BM151" s="156">
        <f t="shared" ref="BM151" si="574">+Q151/BK151</f>
        <v>7.1243831773235872E-2</v>
      </c>
      <c r="BN151" s="66">
        <f t="shared" ref="BN151" si="575">+BC151/BW151</f>
        <v>455003.85211267608</v>
      </c>
      <c r="BO151" s="67"/>
      <c r="BP151" s="67">
        <f t="shared" ref="BP151" si="576">+BP150+BE151</f>
        <v>4867184</v>
      </c>
      <c r="BQ151" s="67"/>
      <c r="BR151" s="478">
        <f t="shared" ref="BR151" si="577">+BP151/BC151</f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8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ref="H152" si="578">+H151+D152</f>
        <v>5197572</v>
      </c>
      <c r="I152" s="16"/>
      <c r="J152" s="479">
        <f t="shared" ref="J152" si="579">+D152/H151</f>
        <v>9.2915677212152964E-3</v>
      </c>
      <c r="K152" s="16"/>
      <c r="L152" s="16"/>
      <c r="M152" s="16"/>
      <c r="N152" s="16">
        <f>SUM(D146:D152)</f>
        <v>382362</v>
      </c>
      <c r="O152" s="16">
        <f>+H152/BW152</f>
        <v>36346.657342657345</v>
      </c>
      <c r="P152" s="41"/>
      <c r="Q152" s="17">
        <f t="shared" ref="Q152" si="580">SUM(D146:D152)</f>
        <v>382362</v>
      </c>
      <c r="R152" s="16"/>
      <c r="S152" s="60">
        <f t="shared" ref="S152" si="581">+(Q152-Q145)/Q145</f>
        <v>-0.13188724310481051</v>
      </c>
      <c r="T152" s="16"/>
      <c r="U152" s="41"/>
      <c r="V152" s="391">
        <f t="shared" si="341"/>
        <v>44</v>
      </c>
      <c r="W152" s="34">
        <v>534</v>
      </c>
      <c r="X152" s="33"/>
      <c r="Y152" s="33"/>
      <c r="Z152" s="33"/>
      <c r="AA152" s="33">
        <f t="shared" ref="AA152" si="582">+AA151+W152</f>
        <v>165604</v>
      </c>
      <c r="AB152" s="33"/>
      <c r="AC152" s="46">
        <f t="shared" ref="AC152" si="583">+AA152/H152</f>
        <v>3.1861800086655845E-2</v>
      </c>
      <c r="AD152" s="33"/>
      <c r="AE152" s="33">
        <f t="shared" ref="AE152" si="584">+AA152/BW152</f>
        <v>1158.06993006993</v>
      </c>
      <c r="AF152" s="50"/>
      <c r="AG152" s="33">
        <f t="shared" ref="AG152" si="585">SUM(W146:W152)</f>
        <v>7243</v>
      </c>
      <c r="AH152" s="33">
        <f t="shared" ref="AH152" si="586">SUM(D123:D180)</f>
        <v>3087644.0049000001</v>
      </c>
      <c r="AI152" s="231">
        <f t="shared" ref="AI152" si="587">+(AG152-AG145)/AG145</f>
        <v>-7.6501338773428532E-2</v>
      </c>
      <c r="AJ152" s="50"/>
      <c r="AK152" s="10"/>
      <c r="AL152" s="23">
        <f t="shared" ref="AL152" si="588">+AP152-AP151</f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ref="AR152" si="589">+AL152/AP151</f>
        <v>9.9417465425038001E-3</v>
      </c>
      <c r="AS152" s="25"/>
      <c r="AT152" s="25"/>
      <c r="AU152" s="24"/>
      <c r="AV152" s="341">
        <f t="shared" ref="AV152" si="590">+AP152/H152</f>
        <v>0.51268188300229411</v>
      </c>
      <c r="AW152" s="341"/>
      <c r="AX152" s="24">
        <f t="shared" ref="AX152" si="591">+AP152/BW152</f>
        <v>18634.272727272728</v>
      </c>
      <c r="AY152" s="351"/>
      <c r="AZ152" s="10"/>
      <c r="BA152" s="66">
        <f t="shared" ref="BA152" si="592">+BC152-BC151</f>
        <v>822704</v>
      </c>
      <c r="BB152" s="67"/>
      <c r="BC152" s="67">
        <v>65433251</v>
      </c>
      <c r="BD152" s="67"/>
      <c r="BE152" s="67">
        <f t="shared" ref="BE152" si="593">+D152</f>
        <v>47849</v>
      </c>
      <c r="BF152" s="67"/>
      <c r="BG152" s="156">
        <f t="shared" ref="BG152" si="594">+BE152/BA152</f>
        <v>5.8160650732219606E-2</v>
      </c>
      <c r="BH152" s="67"/>
      <c r="BI152" s="183"/>
      <c r="BJ152" s="67"/>
      <c r="BK152" s="67">
        <f t="shared" ref="BK152" si="595">SUM(BA146:BA152)</f>
        <v>5507967</v>
      </c>
      <c r="BL152" s="67"/>
      <c r="BM152" s="156">
        <f t="shared" ref="BM152" si="596">+Q152/BK152</f>
        <v>6.9419805892083228E-2</v>
      </c>
      <c r="BN152" s="66">
        <f t="shared" ref="BN152" si="597">+BC152/BW152</f>
        <v>457575.18181818182</v>
      </c>
      <c r="BO152" s="67"/>
      <c r="BP152" s="67">
        <f t="shared" ref="BP152" si="598">+BP151+BE152</f>
        <v>4915033</v>
      </c>
      <c r="BQ152" s="67"/>
      <c r="BR152" s="478">
        <f t="shared" ref="BR152" si="599">+BP152/BC152</f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85" x14ac:dyDescent="0.3">
      <c r="A153" s="553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ref="H153" si="600">+H152+D153</f>
        <v>5247372</v>
      </c>
      <c r="I153" s="16"/>
      <c r="J153" s="479">
        <f t="shared" ref="J153" si="601">+D153/H152</f>
        <v>9.581396852222538E-3</v>
      </c>
      <c r="K153" s="16"/>
      <c r="L153" s="16"/>
      <c r="M153" s="16"/>
      <c r="N153" s="16">
        <f>SUM(D147:D153)</f>
        <v>383516</v>
      </c>
      <c r="O153" s="16">
        <f>+H153/BW153</f>
        <v>36440.083333333336</v>
      </c>
      <c r="P153" s="41"/>
      <c r="Q153" s="17">
        <f t="shared" ref="Q153" si="602">SUM(D147:D153)</f>
        <v>383516</v>
      </c>
      <c r="R153" s="16"/>
      <c r="S153" s="60">
        <f t="shared" ref="S153" si="603">+(Q153-Q146)/Q146</f>
        <v>-0.10294320592617542</v>
      </c>
      <c r="T153" s="16"/>
      <c r="U153" s="41"/>
      <c r="V153" s="10">
        <f t="shared" si="341"/>
        <v>45</v>
      </c>
      <c r="W153" s="34">
        <v>569</v>
      </c>
      <c r="X153" s="33"/>
      <c r="Y153" s="33"/>
      <c r="Z153" s="33"/>
      <c r="AA153" s="33">
        <f t="shared" ref="AA153" si="604">+AA152+W153</f>
        <v>166173</v>
      </c>
      <c r="AB153" s="33"/>
      <c r="AC153" s="46">
        <f t="shared" ref="AC153" si="605">+AA153/H153</f>
        <v>3.1667852021926401E-2</v>
      </c>
      <c r="AD153" s="33"/>
      <c r="AE153" s="33">
        <f t="shared" ref="AE153" si="606">+AA153/BW153</f>
        <v>1153.9791666666667</v>
      </c>
      <c r="AF153" s="50"/>
      <c r="AG153" s="33">
        <f t="shared" ref="AG153" si="607">SUM(W147:W153)</f>
        <v>7250</v>
      </c>
      <c r="AH153" s="33">
        <f t="shared" ref="AH153" si="608">SUM(D124:D181)</f>
        <v>3025925.0049000001</v>
      </c>
      <c r="AI153" s="231" t="e">
        <f t="shared" ref="AI153" si="609">+(AG153-AG146)/AG146</f>
        <v>#DIV/0!</v>
      </c>
      <c r="AJ153" s="50"/>
      <c r="AK153" s="10"/>
      <c r="AL153" s="23">
        <f t="shared" ref="AL153" si="610">+AP153-AP152</f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ref="AR153" si="611">+AL153/AP152</f>
        <v>1.9226547368729176E-2</v>
      </c>
      <c r="AS153" s="25"/>
      <c r="AT153" s="25"/>
      <c r="AU153" s="24"/>
      <c r="AV153" s="341">
        <f t="shared" ref="AV153" si="612">+AP153/H153</f>
        <v>0.51757984758846909</v>
      </c>
      <c r="AW153" s="341"/>
      <c r="AX153" s="24">
        <f t="shared" ref="AX153" si="613">+AP153/BW153</f>
        <v>18860.652777777777</v>
      </c>
      <c r="AY153" s="351"/>
      <c r="AZ153" s="10"/>
      <c r="BA153" s="66">
        <f t="shared" ref="BA153" si="614">+BC153-BC152</f>
        <v>745364</v>
      </c>
      <c r="BB153" s="67"/>
      <c r="BC153" s="67">
        <v>66178615</v>
      </c>
      <c r="BD153" s="67"/>
      <c r="BE153" s="67">
        <f t="shared" ref="BE153" si="615">+D153</f>
        <v>49800</v>
      </c>
      <c r="BF153" s="67"/>
      <c r="BG153" s="156">
        <f t="shared" ref="BG153" si="616">+BE153/BA153</f>
        <v>6.6812993383098734E-2</v>
      </c>
      <c r="BH153" s="67"/>
      <c r="BI153" s="183"/>
      <c r="BJ153" s="67"/>
      <c r="BK153" s="67">
        <f t="shared" ref="BK153" si="617">SUM(BA147:BA153)</f>
        <v>5241074</v>
      </c>
      <c r="BL153" s="67"/>
      <c r="BM153" s="156">
        <f t="shared" ref="BM153" si="618">+Q153/BK153</f>
        <v>7.3175078237781035E-2</v>
      </c>
      <c r="BN153" s="66">
        <f t="shared" ref="BN153" si="619">+BC153/BW153</f>
        <v>459573.71527777775</v>
      </c>
      <c r="BO153" s="67"/>
      <c r="BP153" s="67">
        <f t="shared" ref="BP153" si="620">+BP152+BE153</f>
        <v>4964833</v>
      </c>
      <c r="BQ153" s="67"/>
      <c r="BR153" s="478">
        <f t="shared" ref="BR153" si="621">+BP153/BC153</f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8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ref="H154" si="622">+H153+D154</f>
        <v>5301891</v>
      </c>
      <c r="I154" s="16"/>
      <c r="J154" s="479">
        <f t="shared" ref="J154" si="623">+D154/H153</f>
        <v>1.0389772251709999E-2</v>
      </c>
      <c r="K154" s="16"/>
      <c r="L154" s="16"/>
      <c r="M154" s="16"/>
      <c r="N154" s="16">
        <f>SUM(D148:D154)</f>
        <v>383471</v>
      </c>
      <c r="O154" s="16">
        <f>+H154/BW154</f>
        <v>36564.76551724138</v>
      </c>
      <c r="P154" s="41"/>
      <c r="Q154" s="17">
        <f t="shared" ref="Q154" si="624">SUM(D148:D154)</f>
        <v>383471</v>
      </c>
      <c r="R154" s="16"/>
      <c r="S154" s="60">
        <f t="shared" ref="S154" si="625">+(Q154-Q147)/Q147</f>
        <v>-8.1202888619471822E-2</v>
      </c>
      <c r="T154" s="16"/>
      <c r="U154" s="41"/>
      <c r="V154" s="10">
        <f t="shared" si="341"/>
        <v>46</v>
      </c>
      <c r="W154" s="34">
        <v>1504</v>
      </c>
      <c r="X154" s="33"/>
      <c r="Y154" s="33"/>
      <c r="Z154" s="33"/>
      <c r="AA154" s="33">
        <f t="shared" ref="AA154" si="626">+AA153+W154</f>
        <v>167677</v>
      </c>
      <c r="AB154" s="33"/>
      <c r="AC154" s="46">
        <f t="shared" ref="AC154" si="627">+AA154/H154</f>
        <v>3.1625885933905466E-2</v>
      </c>
      <c r="AD154" s="33"/>
      <c r="AE154" s="33">
        <f t="shared" ref="AE154" si="628">+AA154/BW154</f>
        <v>1156.393103448276</v>
      </c>
      <c r="AF154" s="50"/>
      <c r="AG154" s="33">
        <f t="shared" ref="AG154" si="629">SUM(W148:W154)</f>
        <v>7395</v>
      </c>
      <c r="AH154" s="33">
        <f t="shared" ref="AH154" si="630">SUM(D125:D182)</f>
        <v>2967576.0049000001</v>
      </c>
      <c r="AI154" s="231" t="e">
        <f t="shared" ref="AI154" si="631">+(AG154-AG147)/AG147</f>
        <v>#DIV/0!</v>
      </c>
      <c r="AJ154" s="50"/>
      <c r="AK154" s="10"/>
      <c r="AL154" s="23">
        <f t="shared" ref="AL154" si="632">+AP154-AP153</f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ref="AR154" si="633">+AL154/AP153</f>
        <v>1.4512134683685245E-2</v>
      </c>
      <c r="AS154" s="25"/>
      <c r="AT154" s="25"/>
      <c r="AU154" s="24"/>
      <c r="AV154" s="341">
        <f t="shared" ref="AV154" si="634">+AP154/H154</f>
        <v>0.51969155910598686</v>
      </c>
      <c r="AW154" s="341"/>
      <c r="AX154" s="24">
        <f t="shared" ref="AX154" si="635">+AP154/BW154</f>
        <v>19002.400000000001</v>
      </c>
      <c r="AY154" s="351"/>
      <c r="AZ154" s="10"/>
      <c r="BA154" s="66">
        <f t="shared" ref="BA154" si="636">+BC154-BC153</f>
        <v>763742</v>
      </c>
      <c r="BB154" s="67"/>
      <c r="BC154" s="67">
        <v>66942357</v>
      </c>
      <c r="BD154" s="67"/>
      <c r="BE154" s="67">
        <f t="shared" ref="BE154" si="637">+D154</f>
        <v>54519</v>
      </c>
      <c r="BF154" s="67"/>
      <c r="BG154" s="156">
        <f t="shared" ref="BG154" si="638">+BE154/BA154</f>
        <v>7.1384053777322709E-2</v>
      </c>
      <c r="BH154" s="67"/>
      <c r="BI154" s="183"/>
      <c r="BJ154" s="67"/>
      <c r="BK154" s="67">
        <f t="shared" ref="BK154" si="639">SUM(BA148:BA154)</f>
        <v>5323320</v>
      </c>
      <c r="BL154" s="67"/>
      <c r="BM154" s="156">
        <f t="shared" ref="BM154" si="640">+Q154/BK154</f>
        <v>7.2036060203031188E-2</v>
      </c>
      <c r="BN154" s="66">
        <f t="shared" ref="BN154" si="641">+BC154/BW154</f>
        <v>461671.42758620688</v>
      </c>
      <c r="BO154" s="67"/>
      <c r="BP154" s="67">
        <f t="shared" ref="BP154" si="642">+BP153+BE154</f>
        <v>5019352</v>
      </c>
      <c r="BQ154" s="67"/>
      <c r="BR154" s="478">
        <f t="shared" ref="BR154" si="643">+BP154/BC154</f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85" x14ac:dyDescent="0.3">
      <c r="B155" s="171">
        <f t="shared" si="52"/>
        <v>44055</v>
      </c>
      <c r="C155" s="61"/>
      <c r="D155" s="14"/>
      <c r="E155" s="16"/>
      <c r="F155" s="16"/>
      <c r="G155" s="16"/>
      <c r="H155" s="542"/>
      <c r="I155" s="16"/>
      <c r="J155" s="479"/>
      <c r="K155" s="16"/>
      <c r="L155" s="16"/>
      <c r="M155" s="16"/>
      <c r="N155" s="16"/>
      <c r="O155" s="16"/>
      <c r="P155" s="41"/>
      <c r="Q155" s="17"/>
      <c r="R155" s="16"/>
      <c r="S155" s="60"/>
      <c r="T155" s="16"/>
      <c r="U155" s="41"/>
      <c r="V155" s="10"/>
      <c r="W155" s="34"/>
      <c r="X155" s="33"/>
      <c r="Y155" s="33"/>
      <c r="Z155" s="33"/>
      <c r="AA155" s="33"/>
      <c r="AB155" s="33"/>
      <c r="AC155" s="46"/>
      <c r="AD155" s="33"/>
      <c r="AE155" s="33"/>
      <c r="AF155" s="50"/>
      <c r="AG155" s="33"/>
      <c r="AH155" s="33"/>
      <c r="AI155" s="231"/>
      <c r="AJ155" s="50"/>
      <c r="AK155" s="10"/>
      <c r="AL155" s="23"/>
      <c r="AM155" s="24"/>
      <c r="AN155" s="24"/>
      <c r="AO155" s="24"/>
      <c r="AP155" s="24"/>
      <c r="AQ155" s="24"/>
      <c r="AR155" s="504"/>
      <c r="AS155" s="25"/>
      <c r="AT155" s="25"/>
      <c r="AU155" s="24"/>
      <c r="AV155" s="341"/>
      <c r="AW155" s="341"/>
      <c r="AX155" s="24"/>
      <c r="AY155" s="351"/>
      <c r="AZ155" s="10"/>
      <c r="BA155" s="66"/>
      <c r="BB155" s="67"/>
      <c r="BC155" s="67"/>
      <c r="BD155" s="67"/>
      <c r="BE155" s="67"/>
      <c r="BF155" s="67"/>
      <c r="BG155" s="156"/>
      <c r="BH155" s="67"/>
      <c r="BI155" s="183"/>
      <c r="BJ155" s="67"/>
      <c r="BK155" s="67"/>
      <c r="BL155" s="67"/>
      <c r="BM155" s="156"/>
      <c r="BN155" s="66"/>
      <c r="BO155" s="67"/>
      <c r="BP155" s="67"/>
      <c r="BQ155" s="67"/>
      <c r="BR155" s="478"/>
      <c r="BS155" s="67"/>
      <c r="BT155" s="86"/>
      <c r="BU155" s="183"/>
      <c r="BV155" s="1"/>
      <c r="BW155" s="61">
        <f t="shared" si="53"/>
        <v>146</v>
      </c>
    </row>
    <row r="156" spans="1:85" x14ac:dyDescent="0.3">
      <c r="B156" s="171">
        <f t="shared" si="52"/>
        <v>44056</v>
      </c>
      <c r="C156" s="61"/>
      <c r="D156" s="14"/>
      <c r="E156" s="16"/>
      <c r="F156" s="16"/>
      <c r="G156" s="16"/>
      <c r="H156" s="542"/>
      <c r="I156" s="16"/>
      <c r="J156" s="479"/>
      <c r="K156" s="16"/>
      <c r="L156" s="16"/>
      <c r="M156" s="16"/>
      <c r="N156" s="16"/>
      <c r="O156" s="16"/>
      <c r="P156" s="41"/>
      <c r="Q156" s="17"/>
      <c r="R156" s="16"/>
      <c r="S156" s="60"/>
      <c r="T156" s="16"/>
      <c r="U156" s="41"/>
      <c r="V156" s="10"/>
      <c r="W156" s="34"/>
      <c r="X156" s="33"/>
      <c r="Y156" s="33"/>
      <c r="Z156" s="33"/>
      <c r="AA156" s="33"/>
      <c r="AB156" s="33"/>
      <c r="AC156" s="46"/>
      <c r="AD156" s="33"/>
      <c r="AE156" s="33"/>
      <c r="AF156" s="50"/>
      <c r="AG156" s="33"/>
      <c r="AH156" s="33"/>
      <c r="AI156" s="231"/>
      <c r="AJ156" s="50"/>
      <c r="AK156" s="10"/>
      <c r="AL156" s="23"/>
      <c r="AM156" s="24"/>
      <c r="AN156" s="24"/>
      <c r="AO156" s="24"/>
      <c r="AP156" s="24"/>
      <c r="AQ156" s="24"/>
      <c r="AR156" s="504"/>
      <c r="AS156" s="25"/>
      <c r="AT156" s="25"/>
      <c r="AU156" s="24"/>
      <c r="AV156" s="341"/>
      <c r="AW156" s="341"/>
      <c r="AX156" s="24"/>
      <c r="AY156" s="351"/>
      <c r="AZ156" s="10"/>
      <c r="BA156" s="66"/>
      <c r="BB156" s="67"/>
      <c r="BC156" s="67"/>
      <c r="BD156" s="67"/>
      <c r="BE156" s="67"/>
      <c r="BF156" s="67"/>
      <c r="BG156" s="156"/>
      <c r="BH156" s="67"/>
      <c r="BI156" s="183"/>
      <c r="BJ156" s="67"/>
      <c r="BK156" s="67"/>
      <c r="BL156" s="67"/>
      <c r="BM156" s="156"/>
      <c r="BN156" s="66"/>
      <c r="BO156" s="67"/>
      <c r="BP156" s="67"/>
      <c r="BQ156" s="67"/>
      <c r="BR156" s="478"/>
      <c r="BS156" s="67"/>
      <c r="BT156" s="86"/>
      <c r="BU156" s="183"/>
      <c r="BV156" s="1"/>
      <c r="BW156" s="61">
        <f t="shared" si="53"/>
        <v>147</v>
      </c>
    </row>
    <row r="157" spans="1:85" x14ac:dyDescent="0.3">
      <c r="B157" s="171">
        <f t="shared" si="52"/>
        <v>44057</v>
      </c>
      <c r="C157" s="61"/>
      <c r="D157" s="17"/>
      <c r="E157" s="16"/>
      <c r="F157" s="16"/>
      <c r="G157" s="16"/>
      <c r="H157" s="552"/>
      <c r="I157" s="16"/>
      <c r="J157" s="38"/>
      <c r="K157" s="16"/>
      <c r="L157" s="16"/>
      <c r="M157" s="16"/>
      <c r="N157" s="16"/>
      <c r="O157" s="16"/>
      <c r="P157" s="41"/>
      <c r="Q157" s="453"/>
      <c r="R157" s="16"/>
      <c r="S157" s="60"/>
      <c r="T157" s="16"/>
      <c r="U157" s="41"/>
      <c r="V157" s="10"/>
      <c r="W157" s="34"/>
      <c r="X157" s="33"/>
      <c r="Y157" s="33"/>
      <c r="Z157" s="33"/>
      <c r="AA157" s="541"/>
      <c r="AB157" s="33"/>
      <c r="AC157" s="46"/>
      <c r="AD157" s="33"/>
      <c r="AE157" s="33"/>
      <c r="AF157" s="50"/>
      <c r="AG157" s="541"/>
      <c r="AH157" s="33"/>
      <c r="AI157" s="231"/>
      <c r="AJ157" s="50"/>
      <c r="AK157" s="10"/>
      <c r="AL157" s="23"/>
      <c r="AM157" s="24"/>
      <c r="AN157" s="24"/>
      <c r="AO157" s="24"/>
      <c r="AP157" s="24"/>
      <c r="AQ157" s="24"/>
      <c r="AR157" s="25"/>
      <c r="AS157" s="25"/>
      <c r="AT157" s="25"/>
      <c r="AU157" s="24"/>
      <c r="AV157" s="341"/>
      <c r="AW157" s="341"/>
      <c r="AX157" s="24"/>
      <c r="AY157" s="351"/>
      <c r="AZ157" s="10"/>
      <c r="BA157" s="66"/>
      <c r="BB157" s="67"/>
      <c r="BC157" s="67"/>
      <c r="BD157" s="67"/>
      <c r="BE157" s="67"/>
      <c r="BF157" s="67"/>
      <c r="BG157" s="156"/>
      <c r="BH157" s="67"/>
      <c r="BI157" s="183"/>
      <c r="BJ157" s="67"/>
      <c r="BK157" s="67"/>
      <c r="BL157" s="67"/>
      <c r="BM157" s="156"/>
      <c r="BN157" s="66"/>
      <c r="BO157" s="67"/>
      <c r="BP157" s="67"/>
      <c r="BQ157" s="67"/>
      <c r="BR157" s="478"/>
      <c r="BS157" s="67"/>
      <c r="BT157" s="86"/>
      <c r="BU157" s="183"/>
      <c r="BV157" s="1"/>
      <c r="BW157" s="61">
        <f t="shared" si="53"/>
        <v>148</v>
      </c>
    </row>
    <row r="158" spans="1:85" x14ac:dyDescent="0.3">
      <c r="B158" s="171">
        <f t="shared" si="52"/>
        <v>44058</v>
      </c>
      <c r="D158" s="18"/>
      <c r="E158" s="19"/>
      <c r="F158" s="19"/>
      <c r="G158" s="19"/>
      <c r="H158" s="19"/>
      <c r="I158" s="19"/>
      <c r="J158" s="39"/>
      <c r="K158" s="19"/>
      <c r="L158" s="19"/>
      <c r="M158" s="19"/>
      <c r="N158" s="19"/>
      <c r="O158" s="19"/>
      <c r="P158" s="43"/>
      <c r="Q158" s="18"/>
      <c r="R158" s="19"/>
      <c r="S158" s="19"/>
      <c r="T158" s="19"/>
      <c r="U158" s="43"/>
      <c r="V158" s="1"/>
      <c r="W158" s="35"/>
      <c r="X158" s="36"/>
      <c r="Y158" s="36"/>
      <c r="Z158" s="36"/>
      <c r="AA158" s="36"/>
      <c r="AB158" s="36"/>
      <c r="AC158" s="47"/>
      <c r="AD158" s="36"/>
      <c r="AE158" s="36"/>
      <c r="AF158" s="51"/>
      <c r="AG158" s="36"/>
      <c r="AH158" s="36"/>
      <c r="AI158" s="36"/>
      <c r="AJ158" s="51"/>
      <c r="AK158" s="1"/>
      <c r="AL158" s="26"/>
      <c r="AM158" s="27"/>
      <c r="AN158" s="27"/>
      <c r="AO158" s="27"/>
      <c r="AP158" s="27"/>
      <c r="AQ158" s="27"/>
      <c r="AR158" s="27"/>
      <c r="AS158" s="27"/>
      <c r="AT158" s="27"/>
      <c r="AU158" s="27"/>
      <c r="AV158" s="343"/>
      <c r="AW158" s="343"/>
      <c r="AX158" s="27"/>
      <c r="AY158" s="350"/>
      <c r="AZ158" s="1"/>
      <c r="BA158" s="68"/>
      <c r="BB158" s="69"/>
      <c r="BC158" s="69"/>
      <c r="BD158" s="69"/>
      <c r="BE158" s="69"/>
      <c r="BF158" s="69"/>
      <c r="BG158" s="69"/>
      <c r="BH158" s="69"/>
      <c r="BI158" s="184"/>
      <c r="BJ158" s="69"/>
      <c r="BK158" s="69"/>
      <c r="BL158" s="69"/>
      <c r="BM158" s="69"/>
      <c r="BN158" s="68"/>
      <c r="BO158" s="69"/>
      <c r="BP158" s="69"/>
      <c r="BQ158" s="69"/>
      <c r="BR158" s="71"/>
      <c r="BS158" s="69"/>
      <c r="BT158" s="69"/>
      <c r="BU158" s="184"/>
      <c r="BV158" s="1"/>
      <c r="BW158" s="61">
        <f t="shared" si="53"/>
        <v>149</v>
      </c>
    </row>
    <row r="159" spans="1:85" x14ac:dyDescent="0.3">
      <c r="B159" s="56"/>
      <c r="D159" s="1"/>
      <c r="E159" s="1"/>
      <c r="F159" s="1"/>
      <c r="G159" s="1"/>
      <c r="H159" s="59"/>
      <c r="I159" s="1"/>
      <c r="J159" s="5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59"/>
      <c r="X159" s="1"/>
      <c r="Y159" s="1"/>
      <c r="Z159" s="1"/>
      <c r="AA159" s="1"/>
      <c r="AB159" s="1"/>
      <c r="AC159" s="59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59"/>
      <c r="BD159" s="1"/>
      <c r="BE159" s="59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</row>
    <row r="160" spans="1:85" x14ac:dyDescent="0.3">
      <c r="B160" s="179" t="s">
        <v>82</v>
      </c>
      <c r="D160" s="56">
        <f>+D154</f>
        <v>54519</v>
      </c>
      <c r="E160" s="56">
        <f t="shared" ref="E160:G160" si="644">+E137</f>
        <v>0</v>
      </c>
      <c r="F160" s="56">
        <f t="shared" si="644"/>
        <v>0</v>
      </c>
      <c r="G160" s="56">
        <f t="shared" si="644"/>
        <v>0</v>
      </c>
      <c r="H160" s="56">
        <f t="shared" ref="H160:BP160" si="645">+H154</f>
        <v>5301891</v>
      </c>
      <c r="I160" s="56">
        <f t="shared" si="645"/>
        <v>0</v>
      </c>
      <c r="J160" s="56">
        <f t="shared" si="645"/>
        <v>1.0389772251709999E-2</v>
      </c>
      <c r="K160" s="56">
        <f t="shared" si="645"/>
        <v>0</v>
      </c>
      <c r="L160" s="56">
        <f t="shared" si="645"/>
        <v>0</v>
      </c>
      <c r="M160" s="56">
        <f t="shared" si="645"/>
        <v>0</v>
      </c>
      <c r="N160" s="56">
        <f t="shared" si="645"/>
        <v>383471</v>
      </c>
      <c r="O160" s="56">
        <f t="shared" si="645"/>
        <v>36564.76551724138</v>
      </c>
      <c r="P160" s="56">
        <f t="shared" si="645"/>
        <v>0</v>
      </c>
      <c r="Q160" s="56">
        <f t="shared" si="645"/>
        <v>383471</v>
      </c>
      <c r="R160" s="56">
        <f t="shared" si="645"/>
        <v>0</v>
      </c>
      <c r="S160" s="56">
        <f t="shared" si="645"/>
        <v>-8.1202888619471822E-2</v>
      </c>
      <c r="T160" s="56">
        <f t="shared" si="645"/>
        <v>0</v>
      </c>
      <c r="U160" s="56">
        <f t="shared" si="645"/>
        <v>0</v>
      </c>
      <c r="V160" s="56">
        <f t="shared" si="645"/>
        <v>46</v>
      </c>
      <c r="W160" s="56">
        <f t="shared" si="645"/>
        <v>1504</v>
      </c>
      <c r="X160" s="56">
        <f t="shared" si="645"/>
        <v>0</v>
      </c>
      <c r="Y160" s="56">
        <f t="shared" si="645"/>
        <v>0</v>
      </c>
      <c r="Z160" s="56">
        <f t="shared" si="645"/>
        <v>0</v>
      </c>
      <c r="AA160" s="56">
        <f t="shared" si="645"/>
        <v>167677</v>
      </c>
      <c r="AB160" s="56">
        <f t="shared" si="645"/>
        <v>0</v>
      </c>
      <c r="AC160" s="56">
        <f t="shared" si="645"/>
        <v>3.1625885933905466E-2</v>
      </c>
      <c r="AD160" s="56">
        <f t="shared" si="645"/>
        <v>0</v>
      </c>
      <c r="AE160" s="56">
        <f t="shared" si="645"/>
        <v>1156.393103448276</v>
      </c>
      <c r="AF160" s="56">
        <f t="shared" si="645"/>
        <v>0</v>
      </c>
      <c r="AG160" s="56">
        <f t="shared" si="645"/>
        <v>7395</v>
      </c>
      <c r="AH160" s="56">
        <f t="shared" si="645"/>
        <v>2967576.0049000001</v>
      </c>
      <c r="AI160" s="56" t="e">
        <f t="shared" si="645"/>
        <v>#DIV/0!</v>
      </c>
      <c r="AJ160" s="56">
        <f t="shared" si="645"/>
        <v>0</v>
      </c>
      <c r="AK160" s="56">
        <f t="shared" si="645"/>
        <v>0</v>
      </c>
      <c r="AL160" s="56">
        <f t="shared" si="645"/>
        <v>39414</v>
      </c>
      <c r="AM160" s="56">
        <f t="shared" si="645"/>
        <v>0</v>
      </c>
      <c r="AN160" s="56">
        <f t="shared" si="645"/>
        <v>0</v>
      </c>
      <c r="AO160" s="56">
        <f t="shared" si="645"/>
        <v>178263</v>
      </c>
      <c r="AP160" s="56">
        <f t="shared" si="645"/>
        <v>2755348</v>
      </c>
      <c r="AQ160" s="56">
        <f t="shared" si="645"/>
        <v>0</v>
      </c>
      <c r="AR160" s="56">
        <f t="shared" si="645"/>
        <v>1.4512134683685245E-2</v>
      </c>
      <c r="AS160" s="56">
        <f t="shared" si="645"/>
        <v>0</v>
      </c>
      <c r="AT160" s="56">
        <f t="shared" si="645"/>
        <v>0</v>
      </c>
      <c r="AU160" s="56">
        <f t="shared" si="645"/>
        <v>0</v>
      </c>
      <c r="AV160" s="56">
        <f t="shared" si="645"/>
        <v>0.51969155910598686</v>
      </c>
      <c r="AW160" s="56">
        <f t="shared" si="645"/>
        <v>0</v>
      </c>
      <c r="AX160" s="56">
        <f t="shared" si="645"/>
        <v>19002.400000000001</v>
      </c>
      <c r="AY160" s="56">
        <f t="shared" si="645"/>
        <v>0</v>
      </c>
      <c r="AZ160" s="56">
        <f t="shared" si="645"/>
        <v>0</v>
      </c>
      <c r="BA160" s="56">
        <f t="shared" si="645"/>
        <v>763742</v>
      </c>
      <c r="BB160" s="56">
        <f t="shared" si="645"/>
        <v>0</v>
      </c>
      <c r="BC160" s="56">
        <f t="shared" si="645"/>
        <v>66942357</v>
      </c>
      <c r="BD160" s="56">
        <f t="shared" si="645"/>
        <v>0</v>
      </c>
      <c r="BE160" s="56">
        <f t="shared" si="645"/>
        <v>54519</v>
      </c>
      <c r="BF160" s="56">
        <f t="shared" si="645"/>
        <v>0</v>
      </c>
      <c r="BG160" s="56">
        <f t="shared" si="645"/>
        <v>7.1384053777322709E-2</v>
      </c>
      <c r="BH160" s="56">
        <f t="shared" si="645"/>
        <v>0</v>
      </c>
      <c r="BI160" s="56">
        <f t="shared" si="645"/>
        <v>0</v>
      </c>
      <c r="BJ160" s="56">
        <f t="shared" si="645"/>
        <v>0</v>
      </c>
      <c r="BK160" s="56">
        <f t="shared" si="645"/>
        <v>5323320</v>
      </c>
      <c r="BL160" s="56">
        <f t="shared" si="645"/>
        <v>0</v>
      </c>
      <c r="BM160" s="56">
        <f t="shared" si="645"/>
        <v>7.2036060203031188E-2</v>
      </c>
      <c r="BN160" s="56">
        <f t="shared" si="645"/>
        <v>461671.42758620688</v>
      </c>
      <c r="BO160" s="56">
        <f t="shared" si="645"/>
        <v>0</v>
      </c>
      <c r="BP160" s="56">
        <f t="shared" si="645"/>
        <v>5019352</v>
      </c>
      <c r="BQ160" s="56">
        <f t="shared" ref="BQ160" si="646">+BQ150</f>
        <v>0</v>
      </c>
      <c r="BR160" s="62"/>
      <c r="BS160" s="10"/>
      <c r="BT160" s="10"/>
      <c r="BU160" s="10"/>
      <c r="BV160" s="10"/>
      <c r="BW160" s="160"/>
      <c r="BX160" s="10"/>
      <c r="BY160" s="62"/>
      <c r="BZ160" s="10"/>
      <c r="CA160" s="160"/>
      <c r="CB160" s="61"/>
      <c r="CC160" s="61"/>
      <c r="CD160" s="61"/>
      <c r="CE160" s="61"/>
      <c r="CF160" s="61"/>
      <c r="CG160" s="157"/>
    </row>
    <row r="161" spans="2:85" x14ac:dyDescent="0.3">
      <c r="B161" t="s">
        <v>118</v>
      </c>
      <c r="D161" s="56">
        <f>+D153-D160</f>
        <v>-4719</v>
      </c>
      <c r="E161" s="56">
        <f>+E137-E160</f>
        <v>0</v>
      </c>
      <c r="F161" s="56">
        <f>+F137-F160</f>
        <v>0</v>
      </c>
      <c r="G161" s="56">
        <f>+G137-G160</f>
        <v>0</v>
      </c>
      <c r="H161" s="56">
        <f t="shared" ref="H161:BP161" si="647">+H153-H160</f>
        <v>-54519</v>
      </c>
      <c r="I161" s="56">
        <f t="shared" si="647"/>
        <v>0</v>
      </c>
      <c r="J161" s="56">
        <f t="shared" si="647"/>
        <v>-8.0837539948746054E-4</v>
      </c>
      <c r="K161" s="56">
        <f t="shared" si="647"/>
        <v>0</v>
      </c>
      <c r="L161" s="56">
        <f t="shared" si="647"/>
        <v>0</v>
      </c>
      <c r="M161" s="56">
        <f t="shared" si="647"/>
        <v>0</v>
      </c>
      <c r="N161" s="56">
        <f t="shared" si="647"/>
        <v>45</v>
      </c>
      <c r="O161" s="56">
        <f t="shared" si="647"/>
        <v>-124.68218390804395</v>
      </c>
      <c r="P161" s="56">
        <f t="shared" si="647"/>
        <v>0</v>
      </c>
      <c r="Q161" s="56">
        <f t="shared" si="647"/>
        <v>45</v>
      </c>
      <c r="R161" s="56">
        <f t="shared" si="647"/>
        <v>0</v>
      </c>
      <c r="S161" s="56">
        <f t="shared" si="647"/>
        <v>-2.1740317306703602E-2</v>
      </c>
      <c r="T161" s="56">
        <f t="shared" si="647"/>
        <v>0</v>
      </c>
      <c r="U161" s="56">
        <f t="shared" si="647"/>
        <v>0</v>
      </c>
      <c r="V161" s="56">
        <f t="shared" si="647"/>
        <v>-1</v>
      </c>
      <c r="W161" s="56">
        <f t="shared" si="647"/>
        <v>-935</v>
      </c>
      <c r="X161" s="56">
        <f t="shared" si="647"/>
        <v>0</v>
      </c>
      <c r="Y161" s="56">
        <f t="shared" si="647"/>
        <v>0</v>
      </c>
      <c r="Z161" s="56">
        <f t="shared" si="647"/>
        <v>0</v>
      </c>
      <c r="AA161" s="56">
        <f t="shared" si="647"/>
        <v>-1504</v>
      </c>
      <c r="AB161" s="56">
        <f t="shared" si="647"/>
        <v>0</v>
      </c>
      <c r="AC161" s="56">
        <f t="shared" si="647"/>
        <v>4.1966088020935211E-5</v>
      </c>
      <c r="AD161" s="56">
        <f t="shared" si="647"/>
        <v>0</v>
      </c>
      <c r="AE161" s="56">
        <f t="shared" si="647"/>
        <v>-2.413936781609209</v>
      </c>
      <c r="AF161" s="56">
        <f t="shared" si="647"/>
        <v>0</v>
      </c>
      <c r="AG161" s="56">
        <f t="shared" si="647"/>
        <v>-145</v>
      </c>
      <c r="AH161" s="56">
        <f t="shared" si="647"/>
        <v>58349</v>
      </c>
      <c r="AI161" s="56" t="e">
        <f t="shared" si="647"/>
        <v>#DIV/0!</v>
      </c>
      <c r="AJ161" s="56">
        <f t="shared" si="647"/>
        <v>0</v>
      </c>
      <c r="AK161" s="56">
        <f t="shared" si="647"/>
        <v>0</v>
      </c>
      <c r="AL161" s="56">
        <f t="shared" si="647"/>
        <v>11819</v>
      </c>
      <c r="AM161" s="56">
        <f t="shared" si="647"/>
        <v>0</v>
      </c>
      <c r="AN161" s="56">
        <f t="shared" si="647"/>
        <v>0</v>
      </c>
      <c r="AO161" s="56">
        <f t="shared" si="647"/>
        <v>0</v>
      </c>
      <c r="AP161" s="56">
        <f t="shared" si="647"/>
        <v>-39414</v>
      </c>
      <c r="AQ161" s="56">
        <f t="shared" si="647"/>
        <v>0</v>
      </c>
      <c r="AR161" s="56">
        <f t="shared" si="647"/>
        <v>4.7144126850439307E-3</v>
      </c>
      <c r="AS161" s="56">
        <f t="shared" si="647"/>
        <v>0</v>
      </c>
      <c r="AT161" s="56">
        <f t="shared" si="647"/>
        <v>0</v>
      </c>
      <c r="AU161" s="56">
        <f t="shared" si="647"/>
        <v>0</v>
      </c>
      <c r="AV161" s="56">
        <f t="shared" si="647"/>
        <v>-2.111711517517767E-3</v>
      </c>
      <c r="AW161" s="56">
        <f t="shared" si="647"/>
        <v>0</v>
      </c>
      <c r="AX161" s="56">
        <f t="shared" si="647"/>
        <v>-141.74722222222408</v>
      </c>
      <c r="AY161" s="56">
        <f t="shared" si="647"/>
        <v>0</v>
      </c>
      <c r="AZ161" s="56">
        <f t="shared" si="647"/>
        <v>0</v>
      </c>
      <c r="BA161" s="56">
        <f t="shared" si="647"/>
        <v>-18378</v>
      </c>
      <c r="BB161" s="56">
        <f t="shared" si="647"/>
        <v>0</v>
      </c>
      <c r="BC161" s="56">
        <f t="shared" si="647"/>
        <v>-763742</v>
      </c>
      <c r="BD161" s="56">
        <f t="shared" si="647"/>
        <v>0</v>
      </c>
      <c r="BE161" s="56">
        <f t="shared" si="647"/>
        <v>-4719</v>
      </c>
      <c r="BF161" s="56">
        <f t="shared" si="647"/>
        <v>0</v>
      </c>
      <c r="BG161" s="56">
        <f t="shared" si="647"/>
        <v>-4.5710603942239747E-3</v>
      </c>
      <c r="BH161" s="56">
        <f t="shared" si="647"/>
        <v>0</v>
      </c>
      <c r="BI161" s="56">
        <f t="shared" si="647"/>
        <v>0</v>
      </c>
      <c r="BJ161" s="56">
        <f t="shared" si="647"/>
        <v>0</v>
      </c>
      <c r="BK161" s="56">
        <f t="shared" si="647"/>
        <v>-82246</v>
      </c>
      <c r="BL161" s="56">
        <f t="shared" si="647"/>
        <v>0</v>
      </c>
      <c r="BM161" s="56">
        <f t="shared" si="647"/>
        <v>1.1390180347498474E-3</v>
      </c>
      <c r="BN161" s="56">
        <f t="shared" si="647"/>
        <v>-2097.7123084291234</v>
      </c>
      <c r="BO161" s="56">
        <f t="shared" si="647"/>
        <v>0</v>
      </c>
      <c r="BP161" s="56">
        <f t="shared" si="647"/>
        <v>-54519</v>
      </c>
      <c r="BQ161" s="56">
        <f t="shared" ref="BQ161" si="648">+BQ149-BQ160</f>
        <v>0</v>
      </c>
      <c r="BR161" s="10"/>
      <c r="BS161" s="10"/>
      <c r="BT161" s="10"/>
      <c r="BU161" s="10"/>
      <c r="BV161" s="10"/>
      <c r="BW161" s="62"/>
      <c r="BX161" s="10"/>
      <c r="BY161" s="10"/>
      <c r="BZ161" s="10"/>
      <c r="CA161" s="62"/>
      <c r="CB161" s="61"/>
      <c r="CC161" s="61"/>
      <c r="CD161" s="61"/>
      <c r="CE161" s="61"/>
      <c r="CF161" s="61"/>
      <c r="CG161" s="117"/>
    </row>
    <row r="162" spans="2:85" x14ac:dyDescent="0.3">
      <c r="B162" s="56"/>
      <c r="D162" s="56"/>
      <c r="H162" s="56"/>
      <c r="O162" s="59"/>
      <c r="AA162" s="56"/>
      <c r="AC162" s="59"/>
      <c r="AE162" s="273"/>
      <c r="BA162" s="59"/>
      <c r="BG162" s="59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61"/>
      <c r="CC162" s="117"/>
      <c r="CD162" s="117"/>
      <c r="CE162" s="117"/>
      <c r="CF162" s="117"/>
    </row>
    <row r="163" spans="2:85" x14ac:dyDescent="0.3">
      <c r="B163" s="56"/>
      <c r="D163" s="56"/>
      <c r="H163" s="1"/>
      <c r="J163" t="s">
        <v>157</v>
      </c>
      <c r="O163" s="59"/>
      <c r="W163" s="56"/>
      <c r="AA163" s="55"/>
      <c r="BA163" s="59"/>
      <c r="BC163" s="56"/>
      <c r="BE163" s="59"/>
      <c r="BJ163" s="61"/>
      <c r="BK163" s="62">
        <f>+BK161/BK82</f>
        <v>-2.8139349413971688E-2</v>
      </c>
      <c r="BL163" s="61"/>
      <c r="BM163" s="61"/>
      <c r="BN163" s="61"/>
      <c r="BO163" s="61"/>
      <c r="BP163" s="61"/>
      <c r="BQ163" s="61"/>
      <c r="BR163" s="61"/>
      <c r="BS163" s="10"/>
      <c r="BT163" s="10"/>
    </row>
    <row r="164" spans="2:85" x14ac:dyDescent="0.3">
      <c r="B164" s="56"/>
      <c r="D164" s="56"/>
      <c r="H164" s="56"/>
      <c r="W164" s="56"/>
      <c r="AA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BH164" s="108"/>
      <c r="BI164" s="108"/>
      <c r="BJ164" s="108"/>
      <c r="BK164" s="537">
        <f>+BK54</f>
        <v>1726276</v>
      </c>
      <c r="BL164" s="108"/>
      <c r="BM164" s="108"/>
      <c r="BN164" s="108"/>
      <c r="BO164" s="108"/>
      <c r="BP164" s="108"/>
      <c r="BQ164" s="108"/>
      <c r="BR164" s="90"/>
      <c r="BS164" s="1"/>
      <c r="BT164" s="1"/>
    </row>
    <row r="165" spans="2:85" x14ac:dyDescent="0.3">
      <c r="D165" s="1"/>
      <c r="E165" s="123" t="s">
        <v>28</v>
      </c>
      <c r="F165" s="124"/>
      <c r="H165" s="124" t="s">
        <v>67</v>
      </c>
      <c r="I165" s="116"/>
      <c r="J165" s="116"/>
      <c r="K165" s="61"/>
      <c r="L165" s="10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BH165" s="108"/>
      <c r="BI165" s="108"/>
      <c r="BJ165" s="108"/>
      <c r="BK165" s="538"/>
      <c r="BL165" s="108"/>
      <c r="BM165" s="108"/>
      <c r="BN165" s="108"/>
      <c r="BO165" s="108"/>
      <c r="BP165" s="108"/>
      <c r="BQ165" s="108"/>
      <c r="BR165" s="90"/>
      <c r="BS165" s="1"/>
      <c r="BT165" s="1"/>
    </row>
    <row r="166" spans="2:85" x14ac:dyDescent="0.3">
      <c r="B166" s="56"/>
      <c r="D166" s="1"/>
      <c r="E166" s="123" t="s">
        <v>40</v>
      </c>
      <c r="F166" s="124"/>
      <c r="H166" s="124" t="s">
        <v>42</v>
      </c>
      <c r="I166" s="10"/>
      <c r="J166" s="10"/>
      <c r="K166" s="61"/>
      <c r="L166" s="10"/>
      <c r="AD166" s="1"/>
      <c r="AE166" s="1"/>
      <c r="AF166" s="1"/>
      <c r="AG166" s="1"/>
      <c r="AH166" s="1"/>
      <c r="AI166" s="1"/>
      <c r="AJ166" s="1"/>
      <c r="AK166" s="1"/>
      <c r="AL166" s="1" t="s">
        <v>17</v>
      </c>
      <c r="AM166" s="1"/>
      <c r="AN166" s="1"/>
      <c r="AO166" s="1"/>
      <c r="BH166" s="109"/>
      <c r="BI166" s="109"/>
      <c r="BJ166" s="109"/>
      <c r="BK166" s="537">
        <f>+BK160-BK164</f>
        <v>3597044</v>
      </c>
      <c r="BL166" s="109"/>
      <c r="BM166" s="109"/>
      <c r="BN166" s="109"/>
      <c r="BO166" s="109"/>
      <c r="BP166" s="109"/>
      <c r="BQ166" s="109"/>
      <c r="BR166" s="90"/>
      <c r="BS166" s="1"/>
      <c r="BT166" s="1"/>
    </row>
    <row r="167" spans="2:85" x14ac:dyDescent="0.3">
      <c r="B167" s="273"/>
      <c r="D167" s="1"/>
      <c r="E167" s="123" t="s">
        <v>47</v>
      </c>
      <c r="F167" s="124"/>
      <c r="H167" s="124" t="s">
        <v>57</v>
      </c>
      <c r="I167" s="10"/>
      <c r="J167" s="10"/>
      <c r="K167" s="61"/>
      <c r="L167" s="10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BH167" s="109"/>
      <c r="BI167" s="109"/>
      <c r="BJ167" s="109"/>
      <c r="BK167" s="537"/>
      <c r="BL167" s="109"/>
      <c r="BM167" s="109"/>
      <c r="BN167" s="109"/>
      <c r="BO167" s="109"/>
      <c r="BP167" s="109"/>
      <c r="BQ167" s="109"/>
      <c r="BR167" s="90"/>
      <c r="BS167" s="1"/>
      <c r="BT167" s="1"/>
    </row>
    <row r="168" spans="2:85" x14ac:dyDescent="0.3">
      <c r="D168" s="1"/>
      <c r="E168" s="123" t="s">
        <v>68</v>
      </c>
      <c r="F168" s="61"/>
      <c r="H168" s="93" t="s">
        <v>149</v>
      </c>
      <c r="I168" s="61"/>
      <c r="J168" s="61"/>
      <c r="K168" s="61"/>
      <c r="L168" s="6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BH168" s="109"/>
      <c r="BI168" s="109"/>
      <c r="BJ168" s="109"/>
      <c r="BK168" s="540">
        <f>+BK166/BK164</f>
        <v>2.083701563365302</v>
      </c>
      <c r="BL168" s="109"/>
      <c r="BM168" s="109"/>
      <c r="BN168" s="109"/>
      <c r="BO168" s="109"/>
      <c r="BP168" s="109"/>
      <c r="BQ168" s="109"/>
      <c r="BR168" s="90"/>
      <c r="BS168" s="1"/>
      <c r="BT168" s="1"/>
    </row>
    <row r="169" spans="2:85" x14ac:dyDescent="0.3">
      <c r="E169" s="123" t="s">
        <v>150</v>
      </c>
      <c r="H169" s="93" t="s">
        <v>151</v>
      </c>
      <c r="AD169" s="1"/>
      <c r="AE169" s="1"/>
      <c r="AF169" s="1"/>
      <c r="AG169" s="1"/>
      <c r="AH169" s="1"/>
      <c r="AI169" s="1"/>
      <c r="BD169" s="90"/>
      <c r="BE169" s="90"/>
      <c r="BF169" s="90"/>
      <c r="BG169" s="90"/>
      <c r="BH169" s="90"/>
      <c r="BI169" s="90"/>
      <c r="BJ169" s="90"/>
      <c r="BK169" s="538">
        <f>+BM54</f>
        <v>0.11641359782560842</v>
      </c>
      <c r="BL169" s="90"/>
      <c r="BM169" s="90"/>
      <c r="BN169" s="90"/>
      <c r="BO169" s="90"/>
      <c r="BP169" s="90"/>
      <c r="BQ169" s="90"/>
      <c r="BR169" s="90"/>
      <c r="BS169" s="1"/>
      <c r="BT169" s="1"/>
    </row>
    <row r="170" spans="2:85" x14ac:dyDescent="0.3">
      <c r="AD170" s="1"/>
      <c r="AE170" s="1"/>
      <c r="AF170" s="1"/>
      <c r="AG170" s="1"/>
      <c r="AH170" s="1"/>
      <c r="AI170" s="1"/>
      <c r="BK170" s="539"/>
    </row>
    <row r="171" spans="2:85" ht="15" thickBot="1" x14ac:dyDescent="0.35">
      <c r="D171" s="56"/>
      <c r="AD171" s="1"/>
      <c r="AE171" s="1"/>
      <c r="AF171" s="1"/>
      <c r="AG171" s="1"/>
      <c r="AH171" s="1"/>
      <c r="AI171" s="528"/>
      <c r="AJ171" s="529"/>
      <c r="AK171" s="529"/>
      <c r="AL171" s="529"/>
      <c r="AM171" s="529"/>
      <c r="AN171" s="529"/>
      <c r="AO171" s="529"/>
      <c r="AP171" s="529"/>
      <c r="AQ171" s="529"/>
      <c r="AR171" s="529"/>
      <c r="AS171" s="529"/>
      <c r="AT171" s="529"/>
      <c r="AU171" s="529"/>
      <c r="AV171" s="529"/>
      <c r="AW171" s="529"/>
      <c r="AX171" s="529"/>
      <c r="AZ171" s="118"/>
      <c r="BA171" s="118"/>
      <c r="BB171" s="118"/>
      <c r="BC171" s="118"/>
      <c r="BK171" s="1">
        <f>+BK166*BK169</f>
        <v>418744.83357701782</v>
      </c>
    </row>
    <row r="172" spans="2:85" x14ac:dyDescent="0.3">
      <c r="D172" s="1">
        <v>4900</v>
      </c>
      <c r="J172" s="530">
        <f>+BR125</f>
        <v>7.4075240343216359E-2</v>
      </c>
      <c r="V172" s="118"/>
      <c r="AA172" s="56"/>
      <c r="AD172" s="1"/>
      <c r="AE172" s="1"/>
      <c r="AF172" s="1"/>
      <c r="AG172" s="1"/>
      <c r="AH172" s="1"/>
      <c r="AI172" s="528"/>
      <c r="AJ172" s="507"/>
      <c r="AK172" s="508"/>
      <c r="AL172" s="508"/>
      <c r="AM172" s="508"/>
      <c r="AN172" s="508"/>
      <c r="AO172" s="508"/>
      <c r="AP172" s="508"/>
      <c r="AQ172" s="508"/>
      <c r="AR172" s="508"/>
      <c r="AS172" s="508"/>
      <c r="AT172" s="508"/>
      <c r="AU172" s="508"/>
      <c r="AV172" s="508"/>
      <c r="AW172" s="509"/>
      <c r="AX172" s="529"/>
      <c r="AZ172" s="118"/>
      <c r="BA172" s="118"/>
      <c r="BB172" s="118"/>
      <c r="BC172" s="118"/>
    </row>
    <row r="173" spans="2:85" x14ac:dyDescent="0.3">
      <c r="D173" s="1">
        <v>1000000</v>
      </c>
      <c r="J173" s="232">
        <f>+AC125</f>
        <v>3.9829594295487485E-2</v>
      </c>
      <c r="AD173" s="1"/>
      <c r="AE173" s="1"/>
      <c r="AF173" s="1"/>
      <c r="AG173" s="1"/>
      <c r="AH173" s="1"/>
      <c r="AI173" s="528"/>
      <c r="AJ173" s="510"/>
      <c r="AK173" s="607" t="s">
        <v>156</v>
      </c>
      <c r="AL173" s="607"/>
      <c r="AM173" s="607"/>
      <c r="AN173" s="607"/>
      <c r="AO173" s="607"/>
      <c r="AP173" s="607"/>
      <c r="AQ173" s="607"/>
      <c r="AR173" s="607"/>
      <c r="AS173" s="607"/>
      <c r="AT173" s="607"/>
      <c r="AU173" s="607"/>
      <c r="AV173" s="607"/>
      <c r="AW173" s="511"/>
      <c r="AX173" s="529"/>
      <c r="AZ173" s="118"/>
      <c r="BA173" s="118"/>
      <c r="BB173" s="118"/>
      <c r="BC173" s="118"/>
    </row>
    <row r="174" spans="2:85" ht="15.6" x14ac:dyDescent="0.3">
      <c r="J174" s="57">
        <f>+J172*J173</f>
        <v>2.9503867702110349E-3</v>
      </c>
      <c r="AD174" s="1"/>
      <c r="AE174" s="1"/>
      <c r="AF174" s="1"/>
      <c r="AG174" s="1"/>
      <c r="AH174" s="1"/>
      <c r="AI174" s="528"/>
      <c r="AJ174" s="510"/>
      <c r="AK174" s="607" t="s">
        <v>155</v>
      </c>
      <c r="AL174" s="607"/>
      <c r="AM174" s="607"/>
      <c r="AN174" s="607"/>
      <c r="AO174" s="516"/>
      <c r="AP174" s="517" t="s">
        <v>20</v>
      </c>
      <c r="AQ174" s="516"/>
      <c r="AR174" s="517" t="s">
        <v>4</v>
      </c>
      <c r="AS174" s="518"/>
      <c r="AT174" s="518"/>
      <c r="AU174" s="518"/>
      <c r="AV174" s="522" t="s">
        <v>10</v>
      </c>
      <c r="AW174" s="511"/>
      <c r="AX174" s="529"/>
      <c r="AZ174" s="118"/>
      <c r="BA174" s="118"/>
      <c r="BB174" s="118"/>
      <c r="BC174" s="118"/>
    </row>
    <row r="175" spans="2:85" ht="15.6" x14ac:dyDescent="0.3">
      <c r="AD175" s="1"/>
      <c r="AE175" s="1"/>
      <c r="AF175" s="1"/>
      <c r="AG175" s="1"/>
      <c r="AH175" s="1"/>
      <c r="AI175" s="528"/>
      <c r="AJ175" s="510"/>
      <c r="AK175" s="605" t="s">
        <v>152</v>
      </c>
      <c r="AL175" s="605"/>
      <c r="AM175" s="605"/>
      <c r="AN175" s="605"/>
      <c r="AO175" s="516"/>
      <c r="AP175" s="519">
        <f>+AH50</f>
        <v>898992</v>
      </c>
      <c r="AQ175" s="520"/>
      <c r="AR175" s="519">
        <f>+AH51</f>
        <v>55687</v>
      </c>
      <c r="AS175" s="521"/>
      <c r="AT175" s="521"/>
      <c r="AU175" s="521"/>
      <c r="AV175" s="535">
        <f>+AR175/AP175</f>
        <v>6.194382152455194E-2</v>
      </c>
      <c r="AW175" s="511"/>
      <c r="AX175" s="529"/>
      <c r="AZ175" s="118"/>
      <c r="BA175" s="118"/>
      <c r="BB175" s="118"/>
      <c r="BC175" s="118"/>
    </row>
    <row r="176" spans="2:85" ht="15.6" x14ac:dyDescent="0.3">
      <c r="D176" s="277">
        <f>+D172/D173</f>
        <v>4.8999999999999998E-3</v>
      </c>
      <c r="AD176" s="1"/>
      <c r="AE176" s="1"/>
      <c r="AF176" s="1"/>
      <c r="AG176" s="1"/>
      <c r="AH176" s="1"/>
      <c r="AI176" s="528"/>
      <c r="AJ176" s="510"/>
      <c r="AK176" s="608" t="s">
        <v>153</v>
      </c>
      <c r="AL176" s="606"/>
      <c r="AM176" s="606"/>
      <c r="AN176" s="606"/>
      <c r="AO176" s="65"/>
      <c r="AP176" s="512">
        <f>+AG83</f>
        <v>742147</v>
      </c>
      <c r="AQ176" s="65"/>
      <c r="AR176" s="512">
        <f>+AG84</f>
        <v>42339</v>
      </c>
      <c r="AS176" s="65"/>
      <c r="AT176" s="65"/>
      <c r="AU176" s="65"/>
      <c r="AV176" s="533">
        <f>+AR176/AP176</f>
        <v>5.7049344671608188E-2</v>
      </c>
      <c r="AW176" s="511"/>
      <c r="AX176" s="529"/>
      <c r="AZ176" s="118"/>
      <c r="BA176" s="118"/>
      <c r="BB176" s="118"/>
      <c r="BC176" s="118"/>
    </row>
    <row r="177" spans="2:87" ht="15.6" x14ac:dyDescent="0.3">
      <c r="AD177" s="1"/>
      <c r="AE177" s="1"/>
      <c r="AF177" s="1"/>
      <c r="AG177" s="1"/>
      <c r="AH177" s="1"/>
      <c r="AI177" s="528"/>
      <c r="AJ177" s="510"/>
      <c r="AK177" s="606" t="s">
        <v>154</v>
      </c>
      <c r="AL177" s="606"/>
      <c r="AM177" s="606"/>
      <c r="AN177" s="606"/>
      <c r="AO177" s="65"/>
      <c r="AP177" s="512">
        <f>+AH113</f>
        <v>869627</v>
      </c>
      <c r="AQ177" s="65"/>
      <c r="AR177" s="512">
        <f>+AH114</f>
        <v>21252</v>
      </c>
      <c r="AS177" s="65"/>
      <c r="AT177" s="65"/>
      <c r="AU177" s="65"/>
      <c r="AV177" s="533">
        <f>+AR177/AP177</f>
        <v>2.4438063675575852E-2</v>
      </c>
      <c r="AW177" s="511"/>
      <c r="AX177" s="529"/>
      <c r="AZ177" s="118"/>
      <c r="BA177" s="118"/>
      <c r="BB177" s="118"/>
      <c r="BC177" s="118"/>
    </row>
    <row r="178" spans="2:87" ht="15.6" x14ac:dyDescent="0.3">
      <c r="D178" s="471">
        <v>32000</v>
      </c>
      <c r="AD178" s="1"/>
      <c r="AE178" s="1"/>
      <c r="AF178" s="1"/>
      <c r="AG178" s="1"/>
      <c r="AH178" s="1"/>
      <c r="AI178" s="528"/>
      <c r="AJ178" s="510"/>
      <c r="AK178" s="606" t="s">
        <v>158</v>
      </c>
      <c r="AL178" s="606"/>
      <c r="AM178" s="606"/>
      <c r="AN178" s="606"/>
      <c r="AO178" s="65"/>
      <c r="AP178" s="512">
        <f>+AG181</f>
        <v>1970617</v>
      </c>
      <c r="AQ178" s="65"/>
      <c r="AR178" s="512">
        <f>+AG183</f>
        <v>25901</v>
      </c>
      <c r="AS178" s="65"/>
      <c r="AT178" s="65"/>
      <c r="AU178" s="65"/>
      <c r="AV178" s="533">
        <f>+AR178/AP178</f>
        <v>1.3143599187462607E-2</v>
      </c>
      <c r="AW178" s="511"/>
      <c r="AX178" s="529"/>
    </row>
    <row r="179" spans="2:87" ht="15" thickBot="1" x14ac:dyDescent="0.35">
      <c r="B179" s="470"/>
      <c r="D179" s="277"/>
      <c r="AD179" s="1"/>
      <c r="AE179" s="1"/>
      <c r="AF179" s="1"/>
      <c r="AG179" s="1"/>
      <c r="AH179" s="1"/>
      <c r="AI179" s="528"/>
      <c r="AJ179" s="510"/>
      <c r="AK179" s="523"/>
      <c r="AL179" s="523"/>
      <c r="AM179" s="523"/>
      <c r="AN179" s="523"/>
      <c r="AO179" s="524"/>
      <c r="AP179" s="525"/>
      <c r="AQ179" s="524"/>
      <c r="AR179" s="525"/>
      <c r="AS179" s="524"/>
      <c r="AT179" s="524"/>
      <c r="AU179" s="524"/>
      <c r="AV179" s="526"/>
      <c r="AW179" s="511"/>
      <c r="AX179" s="529"/>
    </row>
    <row r="180" spans="2:87" ht="15.6" x14ac:dyDescent="0.3">
      <c r="B180" s="470"/>
      <c r="D180" s="277"/>
      <c r="AD180" s="1"/>
      <c r="AE180" s="1"/>
      <c r="AF180" s="1"/>
      <c r="AG180" s="1"/>
      <c r="AH180" s="1"/>
      <c r="AI180" s="528"/>
      <c r="AJ180" s="510"/>
      <c r="AK180" s="605" t="s">
        <v>152</v>
      </c>
      <c r="AL180" s="605"/>
      <c r="AM180" s="605"/>
      <c r="AN180" s="605"/>
      <c r="AO180" s="65"/>
      <c r="AP180" s="512"/>
      <c r="AQ180" s="65"/>
      <c r="AR180" s="512">
        <f>+AR175</f>
        <v>55687</v>
      </c>
      <c r="AS180" s="65"/>
      <c r="AT180" s="65"/>
      <c r="AU180" s="65"/>
      <c r="AV180" s="156"/>
      <c r="AW180" s="511"/>
      <c r="AX180" s="529"/>
    </row>
    <row r="181" spans="2:87" ht="15.6" x14ac:dyDescent="0.3">
      <c r="B181" s="470"/>
      <c r="D181" s="277"/>
      <c r="AD181" s="1"/>
      <c r="AE181" s="1"/>
      <c r="AF181" s="1"/>
      <c r="AG181" s="33">
        <f>SUM(D113:D143)</f>
        <v>1970617</v>
      </c>
      <c r="AH181" s="1"/>
      <c r="AI181" s="528"/>
      <c r="AJ181" s="510"/>
      <c r="AK181" s="606" t="s">
        <v>158</v>
      </c>
      <c r="AL181" s="606"/>
      <c r="AM181" s="606"/>
      <c r="AN181" s="64"/>
      <c r="AO181" s="65"/>
      <c r="AP181" s="512"/>
      <c r="AQ181" s="65"/>
      <c r="AR181" s="512">
        <f>+AR178</f>
        <v>25901</v>
      </c>
      <c r="AS181" s="65"/>
      <c r="AT181" s="65"/>
      <c r="AU181" s="65"/>
      <c r="AV181" s="156"/>
      <c r="AW181" s="511"/>
      <c r="AX181" s="529"/>
    </row>
    <row r="182" spans="2:87" ht="15.6" x14ac:dyDescent="0.3">
      <c r="B182" s="470"/>
      <c r="D182" s="277"/>
      <c r="O182" s="546"/>
      <c r="P182" s="546"/>
      <c r="Q182" s="546"/>
      <c r="R182" s="546"/>
      <c r="S182" s="546"/>
      <c r="T182" s="546"/>
      <c r="U182" s="546"/>
      <c r="V182" s="546"/>
      <c r="W182" s="546"/>
      <c r="X182" s="546"/>
      <c r="Y182" s="546"/>
      <c r="Z182" s="546"/>
      <c r="AA182" s="546"/>
      <c r="AB182" s="546"/>
      <c r="AC182" s="546"/>
      <c r="AD182" s="1"/>
      <c r="AE182" s="1"/>
      <c r="AF182" s="1"/>
      <c r="AG182" s="33">
        <f>SUM(W125:W138)</f>
        <v>12117</v>
      </c>
      <c r="AH182" s="1"/>
      <c r="AI182" s="528"/>
      <c r="AJ182" s="510"/>
      <c r="AK182" s="64"/>
      <c r="AL182" s="543" t="s">
        <v>3</v>
      </c>
      <c r="AM182" s="64"/>
      <c r="AN182" s="64"/>
      <c r="AO182" s="65"/>
      <c r="AP182" s="512"/>
      <c r="AQ182" s="65"/>
      <c r="AR182" s="512">
        <f>+AR180-AR181</f>
        <v>29786</v>
      </c>
      <c r="AS182" s="65"/>
      <c r="AT182" s="65"/>
      <c r="AU182" s="65"/>
      <c r="AV182" s="527">
        <f>+AR182/AR180</f>
        <v>0.53488246808052153</v>
      </c>
      <c r="AW182" s="511"/>
      <c r="AX182" s="529"/>
    </row>
    <row r="183" spans="2:87" ht="15" thickBot="1" x14ac:dyDescent="0.35">
      <c r="D183" s="470"/>
      <c r="O183" s="546"/>
      <c r="AC183" s="546"/>
      <c r="AD183" s="1"/>
      <c r="AE183" s="1"/>
      <c r="AF183" s="1"/>
      <c r="AG183" s="33">
        <f>SUM(W113:W143)</f>
        <v>25901</v>
      </c>
      <c r="AH183" s="1"/>
      <c r="AI183" s="528"/>
      <c r="AJ183" s="513"/>
      <c r="AK183" s="514"/>
      <c r="AL183" s="514"/>
      <c r="AM183" s="514"/>
      <c r="AN183" s="514"/>
      <c r="AO183" s="514"/>
      <c r="AP183" s="514"/>
      <c r="AQ183" s="514"/>
      <c r="AR183" s="514"/>
      <c r="AS183" s="514"/>
      <c r="AT183" s="514"/>
      <c r="AU183" s="514"/>
      <c r="AV183" s="514"/>
      <c r="AW183" s="515"/>
      <c r="AX183" s="529"/>
      <c r="BD183" s="90"/>
      <c r="BE183" s="90"/>
      <c r="BF183" s="90"/>
      <c r="BG183" s="90"/>
      <c r="BH183" s="90"/>
      <c r="BI183" s="90"/>
      <c r="BJ183" s="90"/>
      <c r="BK183" s="90"/>
      <c r="BL183" s="90"/>
      <c r="BM183" s="90"/>
      <c r="BN183" s="90"/>
      <c r="BO183" s="90"/>
      <c r="BP183" s="90"/>
      <c r="BQ183" s="90"/>
      <c r="BR183" s="90"/>
      <c r="BS183" s="1"/>
      <c r="BT183" s="1"/>
      <c r="BU183" s="1"/>
      <c r="BV183" s="1"/>
      <c r="BW183" s="90"/>
      <c r="BX183" s="90"/>
      <c r="BY183" s="90"/>
      <c r="BZ183" s="90"/>
      <c r="CA183" s="90"/>
      <c r="CB183" s="90"/>
      <c r="CC183" s="90"/>
      <c r="CD183" s="90"/>
      <c r="CE183" s="90"/>
      <c r="CF183" s="90"/>
      <c r="CG183" s="90"/>
      <c r="CH183" s="90"/>
      <c r="CI183" s="90"/>
    </row>
    <row r="184" spans="2:87" x14ac:dyDescent="0.3">
      <c r="O184" s="546"/>
      <c r="AC184" s="546"/>
      <c r="AD184" s="10"/>
      <c r="AE184" s="10"/>
      <c r="AF184" s="10"/>
      <c r="AG184" s="10"/>
      <c r="AH184" s="10"/>
      <c r="AI184" s="528"/>
      <c r="AJ184" s="529"/>
      <c r="AK184" s="529"/>
      <c r="AL184" s="529"/>
      <c r="AM184" s="529"/>
      <c r="AN184" s="529"/>
      <c r="AO184" s="529"/>
      <c r="AP184" s="529"/>
      <c r="AQ184" s="529"/>
      <c r="AR184" s="529"/>
      <c r="AS184" s="529"/>
      <c r="AT184" s="529"/>
      <c r="AU184" s="529"/>
      <c r="AV184" s="529"/>
      <c r="AW184" s="529"/>
      <c r="AX184" s="529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89"/>
      <c r="BX184" s="89"/>
      <c r="BY184" s="89"/>
      <c r="BZ184" s="89"/>
      <c r="CA184" s="121"/>
      <c r="CB184" s="1"/>
      <c r="CC184" s="1"/>
      <c r="CD184" s="1"/>
      <c r="CE184" s="1"/>
      <c r="CF184" s="1"/>
      <c r="CG184" s="1"/>
      <c r="CH184" s="1"/>
      <c r="CI184" s="1"/>
    </row>
    <row r="185" spans="2:87" x14ac:dyDescent="0.3">
      <c r="D185">
        <v>10</v>
      </c>
      <c r="O185" s="546"/>
      <c r="AC185" s="546"/>
      <c r="AD185" s="10"/>
      <c r="AE185" s="10"/>
      <c r="AF185" s="10"/>
      <c r="AG185" s="10"/>
      <c r="AH185" s="10"/>
      <c r="AI185" s="10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89"/>
      <c r="BX185" s="89"/>
      <c r="BY185" s="89"/>
      <c r="BZ185" s="89"/>
      <c r="CA185" s="89"/>
      <c r="CB185" s="1"/>
      <c r="CC185" s="1"/>
      <c r="CD185" s="1"/>
      <c r="CE185" s="1"/>
      <c r="CF185" s="1"/>
      <c r="CG185" s="1"/>
      <c r="CH185" s="1"/>
      <c r="CI185" s="1"/>
    </row>
    <row r="186" spans="2:87" x14ac:dyDescent="0.3">
      <c r="D186" s="1">
        <v>50000000</v>
      </c>
      <c r="O186" s="546"/>
      <c r="AC186" s="546"/>
      <c r="AD186" s="10"/>
      <c r="AE186" s="10"/>
      <c r="AF186" s="10"/>
      <c r="AG186" s="10"/>
      <c r="AH186" s="10"/>
      <c r="AI186" s="10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89"/>
      <c r="BX186" s="89"/>
      <c r="BY186" s="89"/>
      <c r="BZ186" s="89"/>
      <c r="CA186" s="89"/>
      <c r="CB186" s="1"/>
      <c r="CC186" s="1"/>
      <c r="CD186" s="1"/>
      <c r="CE186" s="1"/>
      <c r="CF186" s="1"/>
      <c r="CG186" s="1"/>
    </row>
    <row r="187" spans="2:87" x14ac:dyDescent="0.3">
      <c r="D187" s="57">
        <f>+D186/D189</f>
        <v>0.15105740181268881</v>
      </c>
      <c r="O187" s="546"/>
      <c r="AC187" s="546"/>
      <c r="AD187" s="10"/>
      <c r="AE187" s="10"/>
      <c r="AF187" s="10"/>
      <c r="AG187" s="548"/>
      <c r="AH187" s="10"/>
      <c r="AI187" s="10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89"/>
      <c r="BX187" s="89"/>
      <c r="BY187" s="89"/>
      <c r="BZ187" s="89"/>
      <c r="CA187" s="89"/>
      <c r="CB187" s="1"/>
      <c r="CC187" s="1"/>
      <c r="CD187" s="1"/>
      <c r="CE187" s="1"/>
      <c r="CF187" s="1"/>
      <c r="CG187" s="1"/>
    </row>
    <row r="188" spans="2:87" x14ac:dyDescent="0.3">
      <c r="O188" s="546"/>
      <c r="AC188" s="546"/>
      <c r="AD188" s="10"/>
      <c r="AE188" s="10"/>
      <c r="AF188" s="10"/>
      <c r="AG188" s="548"/>
      <c r="AH188" s="10"/>
      <c r="AI188" s="10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89"/>
      <c r="BX188" s="89"/>
      <c r="BY188" s="122"/>
      <c r="BZ188" s="89"/>
      <c r="CA188" s="89"/>
    </row>
    <row r="189" spans="2:87" x14ac:dyDescent="0.3">
      <c r="D189" s="1">
        <v>331000000</v>
      </c>
      <c r="O189" s="546"/>
      <c r="AC189" s="546"/>
      <c r="AD189" s="10"/>
      <c r="AE189" s="10"/>
      <c r="AF189" s="10"/>
      <c r="AG189" s="549"/>
      <c r="AH189" s="10"/>
      <c r="AI189" s="10"/>
      <c r="AJ189" s="90"/>
      <c r="AK189" s="90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90"/>
      <c r="BC189" s="90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89"/>
      <c r="BX189" s="89"/>
      <c r="BY189" s="89"/>
      <c r="BZ189" s="89"/>
      <c r="CA189" s="89"/>
    </row>
    <row r="190" spans="2:87" x14ac:dyDescent="0.3">
      <c r="O190" s="546"/>
      <c r="AC190" s="546"/>
      <c r="AD190" s="10"/>
      <c r="AE190" s="10"/>
      <c r="AF190" s="10"/>
      <c r="AG190" s="548"/>
      <c r="AH190" s="10"/>
      <c r="AI190" s="10"/>
      <c r="AJ190" s="90"/>
      <c r="AK190" s="90"/>
      <c r="AL190" s="150"/>
      <c r="AM190" s="150"/>
      <c r="AN190" s="150"/>
      <c r="AO190" s="150"/>
      <c r="AP190" s="150"/>
      <c r="AQ190" s="150"/>
      <c r="AR190" s="150"/>
      <c r="AS190" s="90"/>
      <c r="AT190" s="90"/>
      <c r="AU190" s="90"/>
      <c r="AV190" s="110"/>
      <c r="AW190" s="110"/>
      <c r="AX190" s="110"/>
      <c r="AY190" s="110"/>
      <c r="AZ190" s="90"/>
      <c r="BA190" s="90"/>
      <c r="BB190" s="110"/>
      <c r="BC190" s="90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89"/>
      <c r="BX190" s="89"/>
      <c r="BY190" s="89"/>
      <c r="BZ190" s="89"/>
      <c r="CA190" s="89"/>
    </row>
    <row r="191" spans="2:87" x14ac:dyDescent="0.3">
      <c r="D191" s="468">
        <v>7.1999999999999995E-2</v>
      </c>
      <c r="O191" s="546"/>
      <c r="AC191" s="546"/>
      <c r="AD191" s="10"/>
      <c r="AE191" s="10"/>
      <c r="AF191" s="10"/>
      <c r="AG191" s="548">
        <v>44031</v>
      </c>
      <c r="AH191" s="10"/>
      <c r="AI191" s="10"/>
      <c r="AJ191" s="90"/>
      <c r="AK191" s="90"/>
      <c r="AL191" s="150"/>
      <c r="AM191" s="150"/>
      <c r="AN191" s="150"/>
      <c r="AO191" s="150"/>
      <c r="AP191" s="150"/>
      <c r="AQ191" s="150"/>
      <c r="AR191" s="150"/>
      <c r="AS191" s="150"/>
      <c r="AT191" s="110"/>
      <c r="AU191" s="90"/>
      <c r="AV191" s="110"/>
      <c r="AW191" s="110"/>
      <c r="AX191" s="110"/>
      <c r="AY191" s="110"/>
      <c r="AZ191" s="90"/>
      <c r="BA191" s="90"/>
      <c r="BB191" s="110"/>
      <c r="BC191" s="90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89"/>
      <c r="BX191" s="89"/>
      <c r="BY191" s="89"/>
      <c r="BZ191" s="89"/>
      <c r="CA191" s="89"/>
    </row>
    <row r="192" spans="2:87" x14ac:dyDescent="0.3">
      <c r="O192" s="546"/>
      <c r="AC192" s="546"/>
      <c r="AD192" s="10"/>
      <c r="AE192" s="10"/>
      <c r="AF192" s="10"/>
      <c r="AG192" s="548">
        <v>44038</v>
      </c>
      <c r="AH192" s="10"/>
      <c r="AI192" s="10"/>
      <c r="AJ192" s="90"/>
      <c r="AK192" s="90"/>
      <c r="AL192" s="90"/>
      <c r="AM192" s="90"/>
      <c r="AN192" s="151"/>
      <c r="AO192" s="151"/>
      <c r="AP192" s="151"/>
      <c r="AQ192" s="151"/>
      <c r="AR192" s="151"/>
      <c r="AS192" s="90"/>
      <c r="AT192" s="90"/>
      <c r="AU192" s="90"/>
      <c r="AV192" s="110"/>
      <c r="AW192" s="110"/>
      <c r="AX192" s="110"/>
      <c r="AY192" s="110"/>
      <c r="AZ192" s="90"/>
      <c r="BA192" s="90"/>
      <c r="BB192" s="110"/>
      <c r="BC192" s="90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89"/>
      <c r="BX192" s="89"/>
      <c r="BY192" s="89"/>
      <c r="BZ192" s="89"/>
      <c r="CA192" s="89"/>
    </row>
    <row r="193" spans="2:79" x14ac:dyDescent="0.3">
      <c r="D193" s="277">
        <v>4.2000000000000003E-2</v>
      </c>
      <c r="O193" s="546"/>
      <c r="AC193" s="546"/>
      <c r="AD193" s="10"/>
      <c r="AE193" s="10"/>
      <c r="AF193" s="10"/>
      <c r="AG193" s="548">
        <v>44045</v>
      </c>
      <c r="AH193" s="10"/>
      <c r="AI193" s="10"/>
      <c r="AJ193" s="90"/>
      <c r="AK193" s="9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10"/>
      <c r="AW193" s="110"/>
      <c r="AX193" s="110"/>
      <c r="AY193" s="110"/>
      <c r="AZ193" s="90"/>
      <c r="BA193" s="90"/>
      <c r="BB193" s="110"/>
      <c r="BC193" s="90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2:79" x14ac:dyDescent="0.3">
      <c r="D194" s="1">
        <f>+D189*D191*D193</f>
        <v>1000944.0000000001</v>
      </c>
      <c r="O194" s="546"/>
      <c r="AC194" s="546"/>
      <c r="AD194" s="10"/>
      <c r="AE194" s="10"/>
      <c r="AF194" s="10"/>
      <c r="AG194" s="548">
        <v>44052</v>
      </c>
      <c r="AH194" s="10"/>
      <c r="AI194" s="10"/>
      <c r="AJ194" s="90"/>
      <c r="AK194" s="90"/>
      <c r="AL194" s="90"/>
      <c r="AM194" s="90"/>
      <c r="AN194" s="151"/>
      <c r="AO194" s="151"/>
      <c r="AP194" s="151"/>
      <c r="AQ194" s="151"/>
      <c r="AR194" s="151"/>
      <c r="AS194" s="151"/>
      <c r="AT194" s="151"/>
      <c r="AU194" s="90"/>
      <c r="AV194" s="110"/>
      <c r="AW194" s="110"/>
      <c r="AX194" s="110"/>
      <c r="AY194" s="110"/>
      <c r="AZ194" s="90"/>
      <c r="BA194" s="90"/>
      <c r="BB194" s="110"/>
      <c r="BC194" s="90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2:79" x14ac:dyDescent="0.3">
      <c r="O195" s="546"/>
      <c r="AC195" s="546"/>
      <c r="AD195" s="10"/>
      <c r="AE195" s="10"/>
      <c r="AF195" s="10"/>
      <c r="AG195" s="548"/>
      <c r="AH195" s="10"/>
      <c r="AI195" s="10"/>
      <c r="AJ195" s="90"/>
      <c r="AK195" s="90"/>
      <c r="AL195" s="90"/>
      <c r="AM195" s="90"/>
      <c r="AN195" s="151"/>
      <c r="AO195" s="151"/>
      <c r="AP195" s="151"/>
      <c r="AQ195" s="151"/>
      <c r="AR195" s="151"/>
      <c r="AS195" s="151"/>
      <c r="AT195" s="151"/>
      <c r="AU195" s="90"/>
      <c r="AV195" s="110"/>
      <c r="AW195" s="110"/>
      <c r="AX195" s="110"/>
      <c r="AY195" s="110"/>
      <c r="AZ195" s="90"/>
      <c r="BA195" s="90"/>
      <c r="BB195" s="110"/>
      <c r="BC195" s="90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2:79" x14ac:dyDescent="0.3">
      <c r="O196" s="546"/>
      <c r="AC196" s="546"/>
      <c r="AD196" s="10"/>
      <c r="AE196" s="10"/>
      <c r="AF196" s="10"/>
      <c r="AG196" s="548"/>
      <c r="AH196" s="10"/>
      <c r="AI196" s="10"/>
      <c r="AJ196" s="90"/>
      <c r="AK196" s="90"/>
      <c r="AL196" s="90"/>
      <c r="AM196" s="90"/>
      <c r="AN196" s="151"/>
      <c r="AO196" s="151"/>
      <c r="AP196" s="151"/>
      <c r="AQ196" s="151"/>
      <c r="AR196" s="151"/>
      <c r="AS196" s="151"/>
      <c r="AT196" s="151"/>
      <c r="AU196" s="90"/>
      <c r="AV196" s="110"/>
      <c r="AW196" s="110"/>
      <c r="AX196" s="110"/>
      <c r="AY196" s="110"/>
      <c r="AZ196" s="90"/>
      <c r="BA196" s="90"/>
      <c r="BB196" s="110"/>
      <c r="BC196" s="90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2:79" x14ac:dyDescent="0.3">
      <c r="O197" s="546"/>
      <c r="P197" s="546"/>
      <c r="Q197" s="546"/>
      <c r="R197" s="546"/>
      <c r="S197" s="546"/>
      <c r="T197" s="546"/>
      <c r="U197" s="546"/>
      <c r="V197" s="546"/>
      <c r="W197" s="546"/>
      <c r="X197" s="546"/>
      <c r="Y197" s="546"/>
      <c r="Z197" s="546"/>
      <c r="AA197" s="546"/>
      <c r="AB197" s="546"/>
      <c r="AC197" s="546"/>
      <c r="AD197" s="10"/>
      <c r="AE197" s="10"/>
      <c r="AF197" s="10"/>
      <c r="AG197" s="547"/>
      <c r="AH197" s="10"/>
      <c r="AI197" s="10"/>
      <c r="AJ197" s="90"/>
      <c r="AK197" s="90"/>
      <c r="AL197" s="90"/>
      <c r="AM197" s="90"/>
      <c r="AN197" s="151"/>
      <c r="AO197" s="151"/>
      <c r="AP197" s="151"/>
      <c r="AQ197" s="151"/>
      <c r="AR197" s="151"/>
      <c r="AS197" s="151"/>
      <c r="AT197" s="151"/>
      <c r="AU197" s="90"/>
      <c r="AV197" s="110"/>
      <c r="AW197" s="110"/>
      <c r="AX197" s="110"/>
      <c r="AY197" s="110"/>
      <c r="AZ197" s="90"/>
      <c r="BA197" s="90"/>
      <c r="BB197" s="110"/>
      <c r="BC197" s="90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2:79" x14ac:dyDescent="0.3">
      <c r="O198" s="546"/>
      <c r="P198" s="546"/>
      <c r="Q198" s="546"/>
      <c r="R198" s="546"/>
      <c r="S198" s="546"/>
      <c r="T198" s="546"/>
      <c r="U198" s="546"/>
      <c r="V198" s="546"/>
      <c r="W198" s="546"/>
      <c r="X198" s="546"/>
      <c r="Y198" s="546"/>
      <c r="Z198" s="546"/>
      <c r="AA198" s="546"/>
      <c r="AB198" s="546"/>
      <c r="AC198" s="546"/>
      <c r="AD198" s="10"/>
      <c r="AE198" s="10"/>
      <c r="AF198" s="10"/>
      <c r="AG198" s="10"/>
      <c r="AH198" s="10"/>
      <c r="AI198" s="10"/>
      <c r="AJ198" s="90"/>
      <c r="AK198" s="90"/>
      <c r="AL198" s="90"/>
      <c r="AM198" s="90"/>
      <c r="AN198" s="151"/>
      <c r="AO198" s="151"/>
      <c r="AP198" s="151"/>
      <c r="AQ198" s="151"/>
      <c r="AR198" s="151"/>
      <c r="AS198" s="151"/>
      <c r="AT198" s="151"/>
      <c r="AU198" s="90"/>
      <c r="AV198" s="110"/>
      <c r="AW198" s="110"/>
      <c r="AX198" s="110"/>
      <c r="AY198" s="110"/>
      <c r="AZ198" s="90"/>
      <c r="BA198" s="90"/>
      <c r="BB198" s="110"/>
      <c r="BC198" s="90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</row>
    <row r="199" spans="2:79" x14ac:dyDescent="0.3">
      <c r="AD199" s="10"/>
      <c r="AE199" s="10"/>
      <c r="AF199" s="10"/>
      <c r="AG199" s="10"/>
      <c r="AH199" s="10"/>
      <c r="AI199" s="10"/>
      <c r="AJ199" s="90"/>
      <c r="AK199" s="9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90"/>
      <c r="AW199" s="90"/>
      <c r="AX199" s="90"/>
      <c r="AY199" s="90"/>
      <c r="AZ199" s="90"/>
      <c r="BA199" s="110"/>
      <c r="BB199" s="110"/>
      <c r="BC199" s="90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</row>
    <row r="200" spans="2:79" x14ac:dyDescent="0.3">
      <c r="AD200" s="10"/>
      <c r="AE200" s="10"/>
      <c r="AF200" s="10"/>
      <c r="AG200" s="10"/>
      <c r="AH200" s="10"/>
      <c r="AI200" s="10"/>
      <c r="AJ200" s="90"/>
      <c r="AK200" s="9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90"/>
      <c r="AW200" s="90"/>
      <c r="AX200" s="90"/>
      <c r="AY200" s="90"/>
      <c r="AZ200" s="90"/>
      <c r="BA200" s="110"/>
      <c r="BB200" s="110"/>
      <c r="BC200" s="90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2:79" ht="15" thickBot="1" x14ac:dyDescent="0.35">
      <c r="B201" s="546"/>
      <c r="C201" s="546"/>
      <c r="D201" s="546"/>
      <c r="E201" s="546"/>
      <c r="F201" s="546"/>
      <c r="G201" s="546"/>
      <c r="H201" s="546"/>
      <c r="I201" s="546"/>
      <c r="J201" s="546"/>
      <c r="K201" s="546"/>
      <c r="L201" s="546"/>
      <c r="M201" s="546"/>
      <c r="N201" s="546"/>
      <c r="O201" s="546"/>
      <c r="P201" s="546"/>
      <c r="Q201" s="546"/>
      <c r="R201" s="546"/>
      <c r="S201" s="546"/>
      <c r="T201" s="546"/>
      <c r="U201" s="546"/>
      <c r="V201" s="546"/>
      <c r="AD201" s="10"/>
      <c r="AE201" s="10"/>
      <c r="AF201" s="10"/>
      <c r="AG201" s="10"/>
      <c r="AH201" s="10"/>
      <c r="AI201" s="10"/>
      <c r="AJ201" s="90"/>
      <c r="AK201" s="9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90"/>
      <c r="AW201" s="90"/>
      <c r="AX201" s="90"/>
      <c r="AY201" s="90"/>
      <c r="AZ201" s="90"/>
      <c r="BA201" s="110"/>
      <c r="BB201" s="110"/>
      <c r="BC201" s="90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2:79" x14ac:dyDescent="0.3">
      <c r="B202" s="546"/>
      <c r="C202" s="559"/>
      <c r="D202" s="400"/>
      <c r="E202" s="400"/>
      <c r="F202" s="400"/>
      <c r="G202" s="400"/>
      <c r="H202" s="400"/>
      <c r="I202" s="400"/>
      <c r="J202" s="400"/>
      <c r="K202" s="400"/>
      <c r="L202" s="400"/>
      <c r="M202" s="400"/>
      <c r="N202" s="400"/>
      <c r="O202" s="400"/>
      <c r="P202" s="560"/>
      <c r="V202" s="546"/>
      <c r="AD202" s="10"/>
      <c r="AE202" s="10"/>
      <c r="AF202" s="10"/>
      <c r="AG202" s="10"/>
      <c r="AH202" s="10"/>
      <c r="AI202" s="10"/>
      <c r="AJ202" s="90"/>
      <c r="AK202" s="9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90"/>
      <c r="AW202" s="90"/>
      <c r="AX202" s="90"/>
      <c r="AY202" s="90"/>
      <c r="AZ202" s="90"/>
      <c r="BA202" s="110"/>
      <c r="BB202" s="110"/>
      <c r="BC202" s="90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2:79" x14ac:dyDescent="0.3">
      <c r="B203" s="546"/>
      <c r="C203" s="561"/>
      <c r="D203" s="550" t="s">
        <v>164</v>
      </c>
      <c r="E203" s="430"/>
      <c r="F203" s="430"/>
      <c r="G203" s="430"/>
      <c r="H203" s="573" t="s">
        <v>20</v>
      </c>
      <c r="I203" s="573"/>
      <c r="J203" s="573"/>
      <c r="K203" s="430"/>
      <c r="L203" s="430"/>
      <c r="M203" s="430"/>
      <c r="N203" s="430"/>
      <c r="O203" s="430"/>
      <c r="P203" s="562"/>
      <c r="V203" s="546"/>
      <c r="AD203" s="10"/>
      <c r="AE203" s="10"/>
      <c r="AF203" s="10"/>
      <c r="AG203" s="10"/>
      <c r="AH203" s="10"/>
      <c r="AI203" s="10"/>
      <c r="AJ203" s="90"/>
      <c r="AK203" s="9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90"/>
      <c r="AW203" s="90"/>
      <c r="AX203" s="90"/>
      <c r="AY203" s="90"/>
      <c r="AZ203" s="90"/>
      <c r="BA203" s="110"/>
      <c r="BB203" s="110"/>
      <c r="BC203" s="90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2:79" x14ac:dyDescent="0.3">
      <c r="B204" s="546"/>
      <c r="C204" s="561"/>
      <c r="D204" s="563" t="s">
        <v>165</v>
      </c>
      <c r="E204" s="430"/>
      <c r="F204" s="430"/>
      <c r="G204" s="430"/>
      <c r="H204" s="564" t="s">
        <v>162</v>
      </c>
      <c r="I204" s="550"/>
      <c r="J204" s="565" t="s">
        <v>163</v>
      </c>
      <c r="K204" s="550"/>
      <c r="L204" s="550"/>
      <c r="M204" s="550"/>
      <c r="N204" s="550"/>
      <c r="O204" s="566" t="s">
        <v>3</v>
      </c>
      <c r="P204" s="562"/>
      <c r="V204" s="546"/>
      <c r="AD204" s="10"/>
      <c r="AE204" s="10"/>
      <c r="AF204" s="10"/>
      <c r="AG204" s="10"/>
      <c r="AH204" s="10"/>
      <c r="AI204" s="10"/>
      <c r="AJ204" s="90"/>
      <c r="AK204" s="9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90"/>
      <c r="AW204" s="90"/>
      <c r="AX204" s="90"/>
      <c r="AY204" s="90"/>
      <c r="AZ204" s="90"/>
      <c r="BA204" s="110"/>
      <c r="BB204" s="110"/>
      <c r="BC204" s="90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2:79" x14ac:dyDescent="0.3">
      <c r="B205" s="546"/>
      <c r="C205" s="561"/>
      <c r="D205" s="551" t="s">
        <v>161</v>
      </c>
      <c r="E205" s="15"/>
      <c r="F205" s="15"/>
      <c r="G205" s="15"/>
      <c r="H205" s="567">
        <f>SUM(D133:D139)</f>
        <v>471981</v>
      </c>
      <c r="I205" s="15"/>
      <c r="J205" s="16">
        <f>+H205/7</f>
        <v>67425.857142857145</v>
      </c>
      <c r="K205" s="15"/>
      <c r="L205" s="15"/>
      <c r="M205" s="15"/>
      <c r="N205" s="15"/>
      <c r="O205" s="15"/>
      <c r="P205" s="562"/>
      <c r="V205" s="546"/>
      <c r="AD205" s="10"/>
      <c r="AE205" s="10"/>
      <c r="AF205" s="10"/>
      <c r="AG205" s="10"/>
      <c r="AH205" s="10"/>
      <c r="AI205" s="10"/>
      <c r="AJ205" s="90"/>
      <c r="AK205" s="9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90"/>
      <c r="BA205" s="90"/>
      <c r="BB205" s="110"/>
      <c r="BC205" s="90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2:79" x14ac:dyDescent="0.3">
      <c r="B206" s="546"/>
      <c r="C206" s="561"/>
      <c r="D206" s="551" t="s">
        <v>160</v>
      </c>
      <c r="E206" s="15"/>
      <c r="F206" s="15"/>
      <c r="G206" s="15"/>
      <c r="H206" s="16">
        <f>SUM(D140:D146)</f>
        <v>427527</v>
      </c>
      <c r="I206" s="15"/>
      <c r="J206" s="16">
        <f t="shared" ref="J206:J207" si="649">+H206/7</f>
        <v>61075.285714285717</v>
      </c>
      <c r="K206" s="15"/>
      <c r="L206" s="15"/>
      <c r="M206" s="15"/>
      <c r="N206" s="15"/>
      <c r="O206" s="15"/>
      <c r="P206" s="562"/>
      <c r="V206" s="546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90"/>
      <c r="AU206" s="110"/>
      <c r="AV206" s="152"/>
      <c r="AW206" s="152"/>
      <c r="AX206" s="152"/>
      <c r="AY206" s="152"/>
      <c r="AZ206" s="110"/>
      <c r="BA206" s="110"/>
      <c r="BB206" s="110"/>
      <c r="BC206" s="110"/>
    </row>
    <row r="207" spans="2:79" x14ac:dyDescent="0.3">
      <c r="B207" s="555"/>
      <c r="C207" s="561"/>
      <c r="D207" s="551" t="s">
        <v>159</v>
      </c>
      <c r="E207" s="15"/>
      <c r="F207" s="15"/>
      <c r="G207" s="15"/>
      <c r="H207" s="16">
        <f>SUM(D147:D153)</f>
        <v>383516</v>
      </c>
      <c r="I207" s="15"/>
      <c r="J207" s="16">
        <f t="shared" si="649"/>
        <v>54788</v>
      </c>
      <c r="K207" s="15"/>
      <c r="L207" s="15"/>
      <c r="M207" s="15"/>
      <c r="N207" s="15"/>
      <c r="O207" s="567">
        <f>+H205-H207</f>
        <v>88465</v>
      </c>
      <c r="P207" s="562"/>
      <c r="V207" s="546"/>
      <c r="AA207">
        <f>+O207/7</f>
        <v>12637.857142857143</v>
      </c>
      <c r="AJ207" s="110"/>
      <c r="AK207" s="110"/>
      <c r="AL207" s="110"/>
      <c r="AM207" s="110"/>
      <c r="AN207" s="110"/>
      <c r="AO207" s="110"/>
      <c r="AP207" s="110"/>
      <c r="AQ207" s="110"/>
      <c r="AR207" s="110"/>
      <c r="AS207" s="110"/>
      <c r="AT207" s="110"/>
      <c r="AU207" s="110"/>
      <c r="AV207" s="90"/>
      <c r="AW207" s="90"/>
      <c r="AX207" s="90"/>
      <c r="AY207" s="90"/>
      <c r="AZ207" s="110"/>
      <c r="BA207" s="153"/>
      <c r="BB207" s="110"/>
      <c r="BC207" s="110"/>
    </row>
    <row r="208" spans="2:79" x14ac:dyDescent="0.3">
      <c r="B208" s="556"/>
      <c r="C208" s="561"/>
      <c r="D208" s="568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60">
        <f>+O207/H205</f>
        <v>0.18743339244588236</v>
      </c>
      <c r="P208" s="562"/>
      <c r="V208" s="546"/>
      <c r="X208" s="61"/>
      <c r="Y208" s="61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10"/>
      <c r="AQ208" s="110"/>
      <c r="AR208" s="110"/>
      <c r="AS208" s="110"/>
      <c r="AT208" s="110"/>
      <c r="AU208" s="110"/>
      <c r="AV208" s="110"/>
      <c r="AW208" s="110"/>
      <c r="AX208" s="110"/>
      <c r="AY208" s="110"/>
      <c r="AZ208" s="110"/>
      <c r="BA208" s="110"/>
      <c r="BB208" s="110"/>
      <c r="BC208" s="110"/>
    </row>
    <row r="209" spans="2:55" ht="15" thickBot="1" x14ac:dyDescent="0.35">
      <c r="B209" s="556"/>
      <c r="C209" s="569"/>
      <c r="D209" s="570"/>
      <c r="E209" s="570"/>
      <c r="F209" s="570"/>
      <c r="G209" s="570"/>
      <c r="H209" s="570"/>
      <c r="I209" s="570"/>
      <c r="J209" s="571"/>
      <c r="K209" s="570"/>
      <c r="L209" s="570"/>
      <c r="M209" s="570"/>
      <c r="N209" s="570"/>
      <c r="O209" s="570"/>
      <c r="P209" s="572"/>
      <c r="V209" s="546"/>
      <c r="X209" s="61"/>
      <c r="Y209" s="61"/>
      <c r="Z209" s="110"/>
      <c r="AA209" s="110"/>
      <c r="AB209" s="110"/>
      <c r="AC209" s="110"/>
      <c r="AD209" s="110"/>
      <c r="AE209" s="110"/>
      <c r="AF209" s="110"/>
      <c r="AG209" s="110"/>
      <c r="AH209" s="110"/>
      <c r="AI209" s="110"/>
      <c r="AJ209" s="110"/>
      <c r="AK209" s="110"/>
      <c r="AL209" s="110"/>
      <c r="AM209" s="110"/>
      <c r="AN209" s="110"/>
      <c r="AO209" s="110"/>
      <c r="AP209" s="110"/>
      <c r="AQ209" s="110"/>
      <c r="AR209" s="110"/>
      <c r="AS209" s="110"/>
      <c r="AT209" s="110"/>
      <c r="AU209" s="110"/>
      <c r="AV209" s="110"/>
      <c r="AW209" s="110"/>
      <c r="AX209" s="110"/>
      <c r="AY209" s="110"/>
      <c r="AZ209" s="110"/>
      <c r="BA209" s="110"/>
      <c r="BB209" s="110"/>
      <c r="BC209" s="110"/>
    </row>
    <row r="210" spans="2:55" x14ac:dyDescent="0.3">
      <c r="B210" s="556"/>
      <c r="C210" s="546"/>
      <c r="D210" s="557"/>
      <c r="E210" s="546"/>
      <c r="F210" s="546"/>
      <c r="G210" s="546"/>
      <c r="H210" s="558"/>
      <c r="I210" s="546"/>
      <c r="J210" s="546"/>
      <c r="K210" s="546"/>
      <c r="L210" s="546"/>
      <c r="M210" s="546"/>
      <c r="N210" s="546"/>
      <c r="O210" s="546"/>
      <c r="P210" s="546"/>
      <c r="Q210" s="546"/>
      <c r="R210" s="546"/>
      <c r="S210" s="546"/>
      <c r="T210" s="546"/>
      <c r="U210" s="546"/>
      <c r="V210" s="546"/>
      <c r="X210" s="61"/>
      <c r="Y210" s="61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</row>
    <row r="211" spans="2:55" x14ac:dyDescent="0.3">
      <c r="B211" s="1"/>
      <c r="D211" s="55"/>
      <c r="X211" s="61"/>
      <c r="Y211" s="61"/>
      <c r="Z211" s="110"/>
      <c r="AA211" s="110"/>
      <c r="AB211" s="110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10"/>
      <c r="AN211" s="110"/>
      <c r="AO211" s="110"/>
      <c r="AP211" s="110"/>
      <c r="AQ211" s="110"/>
      <c r="AR211" s="110"/>
    </row>
    <row r="212" spans="2:55" x14ac:dyDescent="0.3">
      <c r="B212" s="55"/>
      <c r="D212" s="55"/>
      <c r="J212" s="56">
        <f>+J205-J207</f>
        <v>12637.857142857145</v>
      </c>
      <c r="X212" s="61"/>
      <c r="Y212" s="61"/>
      <c r="Z212" s="110"/>
      <c r="AA212" s="110"/>
      <c r="AB212" s="110"/>
      <c r="AC212" s="110"/>
      <c r="AD212" s="110"/>
      <c r="AE212" s="110"/>
      <c r="AF212" s="110"/>
      <c r="AG212" s="110"/>
      <c r="AH212" s="110"/>
      <c r="AI212" s="110"/>
      <c r="AJ212" s="110"/>
      <c r="AK212" s="110"/>
      <c r="AL212" s="110"/>
      <c r="AM212" s="110"/>
      <c r="AN212" s="110"/>
      <c r="AO212" s="110"/>
      <c r="AP212" s="110"/>
      <c r="AQ212" s="110"/>
      <c r="AR212" s="110"/>
    </row>
    <row r="213" spans="2:55" x14ac:dyDescent="0.3">
      <c r="B213" s="57"/>
      <c r="D213" s="55"/>
      <c r="X213" s="61"/>
      <c r="Y213" s="61"/>
      <c r="Z213" s="110"/>
      <c r="AA213" s="110"/>
      <c r="AB213" s="110"/>
      <c r="AC213" s="110"/>
      <c r="AD213" s="110"/>
      <c r="AE213" s="110"/>
      <c r="AF213" s="110"/>
      <c r="AG213" s="110"/>
      <c r="AH213" s="110"/>
      <c r="AI213" s="110"/>
      <c r="AJ213" s="110"/>
      <c r="AK213" s="110"/>
      <c r="AL213" s="110"/>
      <c r="AM213" s="110"/>
      <c r="AN213" s="110"/>
      <c r="AO213" s="110"/>
      <c r="AP213" s="110"/>
      <c r="AQ213" s="110"/>
      <c r="AR213" s="110"/>
    </row>
    <row r="214" spans="2:55" x14ac:dyDescent="0.3">
      <c r="B214" s="1"/>
      <c r="D214" s="55"/>
      <c r="X214" s="61"/>
      <c r="Y214" s="61"/>
      <c r="Z214" s="110"/>
      <c r="AA214" s="110"/>
      <c r="AB214" s="110"/>
      <c r="AC214" s="110"/>
      <c r="AD214" s="110"/>
      <c r="AE214" s="110"/>
      <c r="AF214" s="110"/>
      <c r="AG214" s="110"/>
      <c r="AH214" s="110"/>
      <c r="AI214" s="110"/>
      <c r="AJ214" s="110"/>
      <c r="AK214" s="110"/>
      <c r="AL214" s="110"/>
      <c r="AM214" s="110"/>
      <c r="AN214" s="110"/>
      <c r="AO214" s="110"/>
      <c r="AP214" s="110"/>
      <c r="AQ214" s="110"/>
      <c r="AR214" s="110"/>
    </row>
    <row r="215" spans="2:55" x14ac:dyDescent="0.3">
      <c r="B215" s="1"/>
      <c r="D215" s="55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</row>
    <row r="216" spans="2:55" x14ac:dyDescent="0.3">
      <c r="B216" s="1"/>
      <c r="D216" s="55"/>
    </row>
    <row r="217" spans="2:55" x14ac:dyDescent="0.3">
      <c r="B217" s="1"/>
      <c r="D217" s="55"/>
    </row>
    <row r="218" spans="2:55" x14ac:dyDescent="0.3">
      <c r="B218" s="57" t="e">
        <f>+B217/B216</f>
        <v>#DIV/0!</v>
      </c>
      <c r="D218" s="55"/>
    </row>
    <row r="219" spans="2:55" x14ac:dyDescent="0.3">
      <c r="B219" s="1"/>
      <c r="D219" s="55"/>
    </row>
    <row r="220" spans="2:55" x14ac:dyDescent="0.3">
      <c r="B220" s="1"/>
      <c r="D220" s="55"/>
    </row>
    <row r="221" spans="2:55" x14ac:dyDescent="0.3">
      <c r="B221" s="1">
        <f>+B217*50</f>
        <v>0</v>
      </c>
      <c r="D221" s="55"/>
    </row>
    <row r="222" spans="2:55" x14ac:dyDescent="0.3">
      <c r="B222" s="1"/>
      <c r="D222" s="55"/>
    </row>
    <row r="223" spans="2:55" x14ac:dyDescent="0.3">
      <c r="B223" s="1"/>
      <c r="D223" s="55"/>
    </row>
    <row r="224" spans="2:55" x14ac:dyDescent="0.3">
      <c r="B224" s="1"/>
      <c r="D224" s="55"/>
    </row>
    <row r="225" spans="2:4" x14ac:dyDescent="0.3">
      <c r="B225" s="1"/>
      <c r="D225" s="55"/>
    </row>
    <row r="226" spans="2:4" x14ac:dyDescent="0.3">
      <c r="B226" s="1"/>
      <c r="D226" s="55"/>
    </row>
    <row r="227" spans="2:4" x14ac:dyDescent="0.3">
      <c r="B227" s="1"/>
      <c r="D227" s="55"/>
    </row>
    <row r="228" spans="2:4" x14ac:dyDescent="0.3">
      <c r="B228" s="1"/>
      <c r="D228" s="55"/>
    </row>
    <row r="229" spans="2:4" x14ac:dyDescent="0.3">
      <c r="B229" s="1"/>
      <c r="D229" s="55"/>
    </row>
    <row r="230" spans="2:4" x14ac:dyDescent="0.3">
      <c r="B230" s="1"/>
      <c r="D230" s="55"/>
    </row>
    <row r="231" spans="2:4" x14ac:dyDescent="0.3">
      <c r="B231" s="1"/>
    </row>
    <row r="232" spans="2:4" x14ac:dyDescent="0.3">
      <c r="B232" s="1"/>
    </row>
    <row r="233" spans="2:4" x14ac:dyDescent="0.3">
      <c r="B233" s="1"/>
    </row>
    <row r="234" spans="2:4" x14ac:dyDescent="0.3">
      <c r="B234" s="1"/>
    </row>
    <row r="235" spans="2:4" x14ac:dyDescent="0.3">
      <c r="B235" s="1"/>
    </row>
    <row r="236" spans="2:4" x14ac:dyDescent="0.3">
      <c r="B236" s="1"/>
    </row>
    <row r="237" spans="2:4" x14ac:dyDescent="0.3">
      <c r="B237" s="1"/>
    </row>
    <row r="238" spans="2:4" x14ac:dyDescent="0.3">
      <c r="B238" s="1"/>
    </row>
  </sheetData>
  <mergeCells count="28">
    <mergeCell ref="AK176:AN176"/>
    <mergeCell ref="AK177:AN177"/>
    <mergeCell ref="AK178:AN178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03:J203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180:AN180"/>
    <mergeCell ref="AK181:AM181"/>
    <mergeCell ref="AK174:AN174"/>
    <mergeCell ref="AK173:AV173"/>
    <mergeCell ref="AK175:AN175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75"/>
  <sheetViews>
    <sheetView topLeftCell="A118" workbookViewId="0">
      <selection activeCell="O159" sqref="O159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09" t="s">
        <v>7</v>
      </c>
      <c r="F7" s="610"/>
      <c r="G7" s="614">
        <v>0.7</v>
      </c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5"/>
    </row>
    <row r="8" spans="3:40" x14ac:dyDescent="0.3">
      <c r="E8" s="611" t="s">
        <v>123</v>
      </c>
      <c r="F8" s="612"/>
      <c r="G8" s="612"/>
      <c r="H8" s="612"/>
      <c r="I8" s="612"/>
      <c r="J8" s="612"/>
      <c r="K8" s="612"/>
      <c r="L8" s="612"/>
      <c r="M8" s="612"/>
      <c r="N8" s="612"/>
      <c r="O8" s="612"/>
      <c r="P8" s="612"/>
      <c r="Q8" s="612"/>
      <c r="R8" s="612"/>
      <c r="S8" s="612"/>
      <c r="T8" s="612"/>
      <c r="U8" s="613"/>
    </row>
    <row r="9" spans="3:40" x14ac:dyDescent="0.3">
      <c r="E9" s="629" t="s">
        <v>37</v>
      </c>
      <c r="F9" s="630"/>
      <c r="G9" s="630"/>
      <c r="H9" s="630"/>
      <c r="I9" s="630"/>
      <c r="J9" s="630"/>
      <c r="K9" s="630"/>
      <c r="L9" s="630"/>
      <c r="M9" s="630"/>
      <c r="N9" s="630"/>
      <c r="O9" s="630"/>
      <c r="P9" s="631"/>
      <c r="Q9" s="627" t="s">
        <v>116</v>
      </c>
      <c r="R9" s="5"/>
      <c r="S9" s="624" t="s">
        <v>4</v>
      </c>
      <c r="T9" s="625"/>
      <c r="U9" s="626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28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1" t="s">
        <v>48</v>
      </c>
      <c r="AE14" s="622"/>
      <c r="AF14" s="623"/>
      <c r="AG14" s="206"/>
      <c r="AH14" s="619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0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+K163</f>
        <v>658162</v>
      </c>
      <c r="AG16" s="200"/>
      <c r="AH16" s="214">
        <f>+AJ31</f>
        <v>2037.7544356808644</v>
      </c>
      <c r="AI16" s="214"/>
      <c r="AJ16" s="215">
        <f>+S163</f>
        <v>53121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121707</v>
      </c>
      <c r="AG17" s="201"/>
      <c r="AH17" s="162">
        <v>1766</v>
      </c>
      <c r="AI17" s="214"/>
      <c r="AJ17" s="161">
        <v>8751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125016</v>
      </c>
      <c r="AG18" s="201"/>
      <c r="AH18" s="162">
        <v>977</v>
      </c>
      <c r="AI18" s="214"/>
      <c r="AJ18" s="161">
        <v>7343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904885</v>
      </c>
      <c r="AG19" s="201"/>
      <c r="AH19" s="201"/>
      <c r="AI19" s="201"/>
      <c r="AJ19" s="219">
        <f>SUM(AJ16:AJ18)</f>
        <v>69215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Table'!H160</f>
        <v>0.17067212434205078</v>
      </c>
      <c r="AG21" s="201"/>
      <c r="AH21" s="201"/>
      <c r="AI21" s="201"/>
      <c r="AJ21" s="221">
        <f>+AJ19/'Main Table'!AA160</f>
        <v>0.41278768107730934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1" t="s">
        <v>133</v>
      </c>
      <c r="AB25" s="622"/>
      <c r="AC25" s="622"/>
      <c r="AD25" s="622"/>
      <c r="AE25" s="622"/>
      <c r="AF25" s="622"/>
      <c r="AG25" s="622"/>
      <c r="AH25" s="622"/>
      <c r="AI25" s="622"/>
      <c r="AJ25" s="622"/>
      <c r="AK25" s="623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+E163</f>
        <v>422003</v>
      </c>
      <c r="AE27" s="168"/>
      <c r="AF27" s="199">
        <v>2168</v>
      </c>
      <c r="AG27" s="168"/>
      <c r="AH27" s="190">
        <f>+AD27/AD$31</f>
        <v>0.54112036765149019</v>
      </c>
      <c r="AI27" s="190"/>
      <c r="AJ27" s="168">
        <f>+AF27*AH27</f>
        <v>1173.1489570684307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+G163</f>
        <v>185475</v>
      </c>
      <c r="AE28" s="168"/>
      <c r="AF28" s="199">
        <v>2088</v>
      </c>
      <c r="AG28" s="168"/>
      <c r="AH28" s="190">
        <f>+AD28/AD$31</f>
        <v>0.23782840451409146</v>
      </c>
      <c r="AI28" s="190"/>
      <c r="AJ28" s="168">
        <f>+AF28*AH28</f>
        <v>496.58570862542297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+I163</f>
        <v>50684</v>
      </c>
      <c r="AE29" s="168"/>
      <c r="AF29" s="199">
        <v>1422</v>
      </c>
      <c r="AG29" s="168"/>
      <c r="AH29" s="190">
        <f>+AD29/AD$31</f>
        <v>6.4990402234221395E-2</v>
      </c>
      <c r="AI29" s="190"/>
      <c r="AJ29" s="168">
        <f>+AF29*AH29</f>
        <v>92.416351977062817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121707</v>
      </c>
      <c r="AE30" s="280"/>
      <c r="AF30" s="168">
        <f>+AH17</f>
        <v>1766</v>
      </c>
      <c r="AG30" s="280"/>
      <c r="AH30" s="190">
        <f>+AD30/AD$31</f>
        <v>0.15606082560019696</v>
      </c>
      <c r="AI30" s="280"/>
      <c r="AJ30" s="168">
        <f>+AF30*AH30</f>
        <v>275.60341800994786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779869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2037.7544356808644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16" t="s">
        <v>31</v>
      </c>
      <c r="AB36" s="617"/>
      <c r="AC36" s="617"/>
      <c r="AD36" s="617"/>
      <c r="AE36" s="617"/>
      <c r="AF36" s="617"/>
      <c r="AG36" s="617"/>
      <c r="AH36" s="617"/>
      <c r="AI36" s="618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Table'!AA160</f>
        <v>167677</v>
      </c>
      <c r="AJ49" s="56">
        <f>+AJ19</f>
        <v>69215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69215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98462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41354.04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57107.96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0.34058314497516057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61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61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 t="shared" ref="K128" si="25">SUM(E128:I128)</f>
        <v>627330</v>
      </c>
      <c r="L128" s="6"/>
      <c r="M128" s="481">
        <f t="shared" ref="M128" si="26">+(K128-K127)/K127</f>
        <v>1.1314654312574906E-3</v>
      </c>
      <c r="N128" s="29"/>
      <c r="O128" s="29"/>
      <c r="P128" s="29"/>
      <c r="Q128" s="375">
        <f t="shared" ref="Q128" si="27">+K128-K127</f>
        <v>709</v>
      </c>
      <c r="R128" s="6"/>
      <c r="S128" s="7">
        <f>32427+15634+4380</f>
        <v>52441</v>
      </c>
      <c r="T128" s="6"/>
      <c r="U128" s="286">
        <f t="shared" ref="U128" si="28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 t="shared" ref="K129" si="29">SUM(E129:I129)</f>
        <v>629026</v>
      </c>
      <c r="L129" s="6"/>
      <c r="M129" s="481">
        <f t="shared" ref="M129" si="30">+(K129-K128)/K128</f>
        <v>2.7035212726953914E-3</v>
      </c>
      <c r="N129" s="29"/>
      <c r="O129" s="29"/>
      <c r="P129" s="29"/>
      <c r="Q129" s="375">
        <f t="shared" ref="Q129" si="31">+K129-K128</f>
        <v>1696</v>
      </c>
      <c r="R129" s="6"/>
      <c r="S129" s="7">
        <f>32446+15665+4389</f>
        <v>52500</v>
      </c>
      <c r="T129" s="6"/>
      <c r="U129" s="286">
        <f t="shared" ref="U129" si="32">+S129/K129</f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33">SUM(E130:I130)</f>
        <v>629995</v>
      </c>
      <c r="L130" s="6"/>
      <c r="M130" s="481">
        <f t="shared" ref="M130" si="34">+(K130-K129)/K129</f>
        <v>1.5404768642313673E-3</v>
      </c>
      <c r="N130" s="29"/>
      <c r="O130" s="29"/>
      <c r="P130" s="29"/>
      <c r="Q130" s="375">
        <f t="shared" ref="Q130" si="35">+K130-K129</f>
        <v>969</v>
      </c>
      <c r="R130" s="6"/>
      <c r="S130" s="7">
        <v>52728</v>
      </c>
      <c r="T130" s="6"/>
      <c r="U130" s="286">
        <f t="shared" ref="U130" si="36">+S130/K130</f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33"/>
        <v>631382</v>
      </c>
      <c r="L131" s="6"/>
      <c r="M131" s="481">
        <f t="shared" ref="M131" si="37">+(K131-K130)/K130</f>
        <v>2.2016047746410685E-3</v>
      </c>
      <c r="N131" s="29"/>
      <c r="O131" s="29"/>
      <c r="P131" s="29"/>
      <c r="Q131" s="375">
        <f t="shared" ref="Q131" si="38">+K131-K130</f>
        <v>1387</v>
      </c>
      <c r="R131" s="6"/>
      <c r="S131" s="7">
        <v>53361</v>
      </c>
      <c r="T131" s="6"/>
      <c r="U131" s="286">
        <f t="shared" ref="U131" si="39">+S131/K131</f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33"/>
        <v>631483</v>
      </c>
      <c r="L132" s="6"/>
      <c r="M132" s="481">
        <f t="shared" ref="M132" si="40">+(K132-K131)/K131</f>
        <v>1.599665495690406E-4</v>
      </c>
      <c r="N132" s="29"/>
      <c r="O132" s="29"/>
      <c r="P132" s="29"/>
      <c r="Q132" s="375">
        <f t="shared" ref="Q132" si="41">+K132-K131</f>
        <v>101</v>
      </c>
      <c r="R132" s="6"/>
      <c r="S132" s="7">
        <f>32463+16684+4396</f>
        <v>53543</v>
      </c>
      <c r="T132" s="6"/>
      <c r="U132" s="286">
        <f t="shared" ref="U132" si="42">+S132/K132</f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33"/>
        <v>632344</v>
      </c>
      <c r="L133" s="6"/>
      <c r="M133" s="481">
        <f t="shared" ref="M133" si="43">+(K133-K132)/K132</f>
        <v>1.3634571318626154E-3</v>
      </c>
      <c r="N133" s="29"/>
      <c r="O133" s="29"/>
      <c r="P133" s="29"/>
      <c r="Q133" s="375">
        <f t="shared" ref="Q133" si="44">+K133-K132</f>
        <v>861</v>
      </c>
      <c r="R133" s="6"/>
      <c r="S133" s="7">
        <f>32506+15715+4406</f>
        <v>52627</v>
      </c>
      <c r="T133" s="6"/>
      <c r="U133" s="286">
        <f t="shared" ref="U133" si="45">+S133/K133</f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33"/>
        <v>633193</v>
      </c>
      <c r="L134" s="6"/>
      <c r="M134" s="481">
        <f t="shared" ref="M134" si="46">+(K134-K133)/K133</f>
        <v>1.3426236352365169E-3</v>
      </c>
      <c r="N134" s="29"/>
      <c r="O134" s="29"/>
      <c r="P134" s="29"/>
      <c r="Q134" s="375">
        <f t="shared" ref="Q134" si="47">+K134-K133</f>
        <v>849</v>
      </c>
      <c r="R134" s="6"/>
      <c r="S134" s="7">
        <f>32520+15737+4406</f>
        <v>52663</v>
      </c>
      <c r="T134" s="6"/>
      <c r="U134" s="286">
        <f t="shared" ref="U134" si="48">+S134/K134</f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33"/>
        <v>634754</v>
      </c>
      <c r="L135" s="6"/>
      <c r="M135" s="481">
        <f t="shared" ref="M135" si="49">+(K135-K134)/K134</f>
        <v>2.465283096938848E-3</v>
      </c>
      <c r="N135" s="29"/>
      <c r="O135" s="29"/>
      <c r="P135" s="29"/>
      <c r="Q135" s="375">
        <f t="shared" ref="Q135" si="50">+K135-K134</f>
        <v>1561</v>
      </c>
      <c r="R135" s="6"/>
      <c r="S135" s="7">
        <f>32526+15707+4406</f>
        <v>52639</v>
      </c>
      <c r="T135" s="6"/>
      <c r="U135" s="286">
        <f t="shared" ref="U135" si="51">+S135/K135</f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 t="shared" ref="K136" si="52">SUM(E136:I136)</f>
        <v>635816</v>
      </c>
      <c r="L136" s="6"/>
      <c r="M136" s="481">
        <f t="shared" ref="M136" si="53">+(K136-K135)/K135</f>
        <v>1.6730891022348816E-3</v>
      </c>
      <c r="N136" s="29"/>
      <c r="O136" s="29"/>
      <c r="P136" s="29"/>
      <c r="Q136" s="375">
        <f t="shared" ref="Q136" si="54">+K136-K135</f>
        <v>1062</v>
      </c>
      <c r="R136" s="6"/>
      <c r="S136" s="7">
        <f>32594+15730+4410</f>
        <v>52734</v>
      </c>
      <c r="T136" s="6"/>
      <c r="U136" s="286">
        <f t="shared" ref="U136" si="55">+S136/K136</f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" si="56">SUM(E138:I138)</f>
        <v>638834</v>
      </c>
      <c r="L138" s="6"/>
      <c r="M138" s="481">
        <f t="shared" ref="M138" si="57">+(K138-K137)/K137</f>
        <v>1.9809558464861168E-3</v>
      </c>
      <c r="N138" s="29"/>
      <c r="O138" s="29"/>
      <c r="P138" s="29"/>
      <c r="Q138" s="375">
        <f t="shared" ref="Q138" si="58">+K138-K137</f>
        <v>1263</v>
      </c>
      <c r="R138" s="6"/>
      <c r="S138" s="7">
        <f>32608+15776+4413</f>
        <v>52797</v>
      </c>
      <c r="T138" s="6"/>
      <c r="U138" s="286">
        <f t="shared" ref="U138" si="59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ref="K139" si="60">SUM(E139:I139)</f>
        <v>639875</v>
      </c>
      <c r="L139" s="6"/>
      <c r="M139" s="481">
        <f t="shared" ref="M139" si="61">+(K139-K138)/K138</f>
        <v>1.6295313023414533E-3</v>
      </c>
      <c r="N139" s="29"/>
      <c r="O139" s="29"/>
      <c r="P139" s="29"/>
      <c r="Q139" s="375">
        <f t="shared" ref="Q139" si="62">+K139-K138</f>
        <v>1041</v>
      </c>
      <c r="R139" s="6"/>
      <c r="S139" s="7">
        <f>32630+15787+4413</f>
        <v>52830</v>
      </c>
      <c r="T139" s="6"/>
      <c r="U139" s="286">
        <f t="shared" ref="U139" si="63">+S139/K139</f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ref="K140" si="64">SUM(E140:I140)</f>
        <v>641139</v>
      </c>
      <c r="L140" s="6"/>
      <c r="M140" s="481">
        <f t="shared" ref="M140" si="65">+(K140-K139)/K139</f>
        <v>1.9753858175424886E-3</v>
      </c>
      <c r="N140" s="29"/>
      <c r="O140" s="29"/>
      <c r="P140" s="29"/>
      <c r="Q140" s="375">
        <f t="shared" ref="Q140" si="66">+K140-K139</f>
        <v>1264</v>
      </c>
      <c r="R140" s="6"/>
      <c r="S140" s="7">
        <f>32645+15604+4418</f>
        <v>52667</v>
      </c>
      <c r="T140" s="6"/>
      <c r="U140" s="286">
        <f t="shared" ref="U140" si="67">+S140/K140</f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ref="K141" si="68">SUM(E141:I141)</f>
        <v>642250</v>
      </c>
      <c r="L141" s="6"/>
      <c r="M141" s="481">
        <f t="shared" ref="M141" si="69">+(K141-K140)/K140</f>
        <v>1.7328535621760647E-3</v>
      </c>
      <c r="N141" s="29"/>
      <c r="O141" s="29"/>
      <c r="P141" s="29"/>
      <c r="Q141" s="375">
        <f t="shared" ref="Q141" si="70">+K141-K140</f>
        <v>1111</v>
      </c>
      <c r="R141" s="6"/>
      <c r="S141" s="7">
        <f>32653+15826+4423</f>
        <v>52902</v>
      </c>
      <c r="T141" s="6"/>
      <c r="U141" s="286">
        <f t="shared" ref="U141" si="71">+S141/K141</f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ref="K142" si="72">SUM(E142:I142)</f>
        <v>643733</v>
      </c>
      <c r="L142" s="6"/>
      <c r="M142" s="481">
        <f t="shared" ref="M142" si="73">+(K142-K141)/K141</f>
        <v>2.3090696769170883E-3</v>
      </c>
      <c r="N142" s="29"/>
      <c r="O142" s="29"/>
      <c r="P142" s="29"/>
      <c r="Q142" s="375">
        <f t="shared" ref="Q142" si="74">+K142-K141</f>
        <v>1483</v>
      </c>
      <c r="R142" s="6"/>
      <c r="S142" s="7">
        <f>32658+15798+4425</f>
        <v>52881</v>
      </c>
      <c r="T142" s="6"/>
      <c r="U142" s="286">
        <f t="shared" ref="U142" si="75">+S142/K142</f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ref="K143" si="76">SUM(E143:I143)</f>
        <v>645010</v>
      </c>
      <c r="L143" s="6"/>
      <c r="M143" s="481">
        <f t="shared" ref="M143" si="77">+(K143-K142)/K142</f>
        <v>1.9837417065771057E-3</v>
      </c>
      <c r="N143" s="29"/>
      <c r="O143" s="29"/>
      <c r="P143" s="29"/>
      <c r="Q143" s="375">
        <f t="shared" ref="Q143" si="78">+K143-K142</f>
        <v>1277</v>
      </c>
      <c r="R143" s="6"/>
      <c r="S143" s="7">
        <f>32683+15809+4431</f>
        <v>52923</v>
      </c>
      <c r="T143" s="6"/>
      <c r="U143" s="286">
        <f t="shared" ref="U143" si="79">+S143/K143</f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ref="K144" si="80">SUM(E144:I144)</f>
        <v>646484</v>
      </c>
      <c r="L144" s="6"/>
      <c r="M144" s="481">
        <f t="shared" ref="M144" si="81">+(K144-K143)/K143</f>
        <v>2.285235887815693E-3</v>
      </c>
      <c r="N144" s="29"/>
      <c r="O144" s="29"/>
      <c r="P144" s="29"/>
      <c r="Q144" s="375">
        <f t="shared" ref="Q144" si="82">+K144-K143</f>
        <v>1474</v>
      </c>
      <c r="R144" s="6"/>
      <c r="S144" s="7">
        <f>32689+15819+4432</f>
        <v>52940</v>
      </c>
      <c r="T144" s="6"/>
      <c r="U144" s="286">
        <f t="shared" ref="U144" si="83">+S144/K144</f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ref="K145" si="84">SUM(E145:I145)</f>
        <v>647331</v>
      </c>
      <c r="L145" s="6"/>
      <c r="M145" s="481">
        <f t="shared" ref="M145" si="85">+(K145-K144)/K144</f>
        <v>1.3101639019681849E-3</v>
      </c>
      <c r="N145" s="29"/>
      <c r="O145" s="29"/>
      <c r="P145" s="29"/>
      <c r="Q145" s="375">
        <f t="shared" ref="Q145" si="86">+K145-K144</f>
        <v>847</v>
      </c>
      <c r="R145" s="6"/>
      <c r="S145" s="7">
        <f>32689+15819+4432</f>
        <v>52940</v>
      </c>
      <c r="T145" s="6"/>
      <c r="U145" s="286">
        <f t="shared" ref="U145" si="87">+S145/K145</f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ref="K146" si="88">SUM(E146:I146)</f>
        <v>648458</v>
      </c>
      <c r="L146" s="6"/>
      <c r="M146" s="481">
        <f t="shared" ref="M146" si="89">+(K146-K145)/K145</f>
        <v>1.7409949469436811E-3</v>
      </c>
      <c r="N146" s="29"/>
      <c r="O146" s="29"/>
      <c r="P146" s="29"/>
      <c r="Q146" s="375">
        <f t="shared" ref="Q146" si="90">+K146-K145</f>
        <v>1127</v>
      </c>
      <c r="R146" s="6"/>
      <c r="S146" s="7">
        <f>32689+15819+4432</f>
        <v>52940</v>
      </c>
      <c r="T146" s="6"/>
      <c r="U146" s="286">
        <f t="shared" ref="U146" si="91">+S146/K146</f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ref="K147" si="92">SUM(E147:I147)</f>
        <v>649519</v>
      </c>
      <c r="L147" s="6"/>
      <c r="M147" s="481">
        <f t="shared" ref="M147" si="93">+(K147-K146)/K146</f>
        <v>1.6361892366197966E-3</v>
      </c>
      <c r="N147" s="29"/>
      <c r="O147" s="29"/>
      <c r="P147" s="29"/>
      <c r="Q147" s="375">
        <f t="shared" ref="Q147" si="94">+K147-K146</f>
        <v>1061</v>
      </c>
      <c r="R147" s="6"/>
      <c r="S147" s="7">
        <f>32719+15846+4437</f>
        <v>53002</v>
      </c>
      <c r="T147" s="6"/>
      <c r="U147" s="286">
        <f t="shared" ref="U147" si="95">+S147/K147</f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ref="K148" si="96">SUM(E148:I148)</f>
        <v>650385</v>
      </c>
      <c r="L148" s="6"/>
      <c r="M148" s="481">
        <f t="shared" ref="M148" si="97">+(K148-K147)/K147</f>
        <v>1.3332943301119751E-3</v>
      </c>
      <c r="N148" s="29"/>
      <c r="O148" s="29"/>
      <c r="P148" s="29"/>
      <c r="Q148" s="375">
        <f t="shared" ref="Q148" si="98">+K148-K147</f>
        <v>866</v>
      </c>
      <c r="R148" s="6"/>
      <c r="S148" s="7">
        <f>32725+15846+4437</f>
        <v>53008</v>
      </c>
      <c r="T148" s="6"/>
      <c r="U148" s="286">
        <f t="shared" ref="U148" si="99">+S148/K148</f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ref="K149" si="100">SUM(E149:I149)</f>
        <v>651777</v>
      </c>
      <c r="L149" s="6"/>
      <c r="M149" s="481">
        <f t="shared" ref="M149" si="101">+(K149-K148)/K148</f>
        <v>2.1402707627020917E-3</v>
      </c>
      <c r="N149" s="29"/>
      <c r="O149" s="29"/>
      <c r="P149" s="29"/>
      <c r="Q149" s="375">
        <f t="shared" ref="Q149" si="102">+K149-K148</f>
        <v>1392</v>
      </c>
      <c r="R149" s="6"/>
      <c r="S149" s="7">
        <f>32754+15842+4437</f>
        <v>53033</v>
      </c>
      <c r="T149" s="6"/>
      <c r="U149" s="286">
        <f t="shared" ref="U149" si="103">+S149/K149</f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ref="K150" si="104">SUM(E150:I150)</f>
        <v>652875</v>
      </c>
      <c r="L150" s="6"/>
      <c r="M150" s="481">
        <f t="shared" ref="M150" si="105">+(K150-K149)/K149</f>
        <v>1.6846252629350222E-3</v>
      </c>
      <c r="N150" s="29"/>
      <c r="O150" s="29"/>
      <c r="P150" s="29"/>
      <c r="Q150" s="375">
        <f t="shared" ref="Q150" si="106">+K150-K149</f>
        <v>1098</v>
      </c>
      <c r="R150" s="6"/>
      <c r="S150" s="7">
        <f>32756+15849+4437</f>
        <v>53042</v>
      </c>
      <c r="T150" s="6"/>
      <c r="U150" s="286">
        <f t="shared" ref="U150" si="107">+S150/K150</f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ref="K151" si="108">SUM(E151:I151)</f>
        <v>654023</v>
      </c>
      <c r="L151" s="6"/>
      <c r="M151" s="481">
        <f t="shared" ref="M151" si="109">+(K151-K150)/K150</f>
        <v>1.7583764120237412E-3</v>
      </c>
      <c r="N151" s="29"/>
      <c r="O151" s="29"/>
      <c r="P151" s="29"/>
      <c r="Q151" s="375">
        <f t="shared" ref="Q151" si="110">+K151-K150</f>
        <v>1148</v>
      </c>
      <c r="R151" s="6"/>
      <c r="S151" s="7">
        <f>32760+15849+4441</f>
        <v>53050</v>
      </c>
      <c r="T151" s="6"/>
      <c r="U151" s="286">
        <f t="shared" ref="U151" si="111">+S151/K151</f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ref="K152" si="112">SUM(E152:I152)</f>
        <v>655094</v>
      </c>
      <c r="L152" s="6"/>
      <c r="M152" s="481">
        <f t="shared" ref="M152" si="113">+(K152-K151)/K151</f>
        <v>1.6375570889708771E-3</v>
      </c>
      <c r="N152" s="29"/>
      <c r="O152" s="29"/>
      <c r="P152" s="29"/>
      <c r="Q152" s="375">
        <f t="shared" ref="Q152" si="114">+K152-K151</f>
        <v>1071</v>
      </c>
      <c r="R152" s="6"/>
      <c r="S152" s="7">
        <f>32760+15849+4441</f>
        <v>53050</v>
      </c>
      <c r="T152" s="6"/>
      <c r="U152" s="286">
        <f t="shared" ref="U152" si="115">+S152/K152</f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ref="K153" si="116">SUM(E153:I153)</f>
        <v>655953</v>
      </c>
      <c r="L153" s="6"/>
      <c r="M153" s="481">
        <f t="shared" ref="M153" si="117">+(K153-K152)/K152</f>
        <v>1.3112622005391592E-3</v>
      </c>
      <c r="N153" s="29"/>
      <c r="O153" s="29"/>
      <c r="P153" s="29"/>
      <c r="Q153" s="375">
        <f t="shared" ref="Q153" si="118">+K153-K152</f>
        <v>859</v>
      </c>
      <c r="R153" s="6"/>
      <c r="S153" s="7">
        <f>32774+15874+4441</f>
        <v>53089</v>
      </c>
      <c r="T153" s="6"/>
      <c r="U153" s="286">
        <f t="shared" ref="U153" si="119">+S153/K153</f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ref="K154" si="120">SUM(E154:I154)</f>
        <v>657024</v>
      </c>
      <c r="L154" s="6"/>
      <c r="M154" s="481">
        <f t="shared" ref="M154" si="121">+(K154-K153)/K153</f>
        <v>1.6327389309904825E-3</v>
      </c>
      <c r="N154" s="29"/>
      <c r="O154" s="29"/>
      <c r="P154" s="29"/>
      <c r="Q154" s="375">
        <f t="shared" ref="Q154" si="122">+K154-K153</f>
        <v>1071</v>
      </c>
      <c r="R154" s="6"/>
      <c r="S154" s="7">
        <f>32781+15878+4444</f>
        <v>53103</v>
      </c>
      <c r="T154" s="6"/>
      <c r="U154" s="286">
        <f t="shared" ref="U154" si="123">+S154/K154</f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ref="K155" si="124">SUM(E155:I155)</f>
        <v>658162</v>
      </c>
      <c r="L155" s="6"/>
      <c r="M155" s="481">
        <f t="shared" ref="M155" si="125">+(K155-K154)/K154</f>
        <v>1.7320524060003895E-3</v>
      </c>
      <c r="N155" s="29"/>
      <c r="O155" s="29"/>
      <c r="P155" s="29"/>
      <c r="Q155" s="375">
        <f t="shared" ref="Q155" si="126">+K155-K154</f>
        <v>1138</v>
      </c>
      <c r="R155" s="6"/>
      <c r="S155" s="7">
        <f>32787+15890+4444</f>
        <v>53121</v>
      </c>
      <c r="T155" s="6"/>
      <c r="U155" s="286">
        <f t="shared" ref="U155" si="127">+S155/K155</f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/>
      <c r="F156" s="7"/>
      <c r="G156" s="7"/>
      <c r="H156" s="7"/>
      <c r="I156" s="7"/>
      <c r="J156" s="287"/>
      <c r="K156" s="7"/>
      <c r="L156" s="6"/>
      <c r="M156" s="481"/>
      <c r="N156" s="29"/>
      <c r="O156" s="29"/>
      <c r="P156" s="29"/>
      <c r="Q156" s="375"/>
      <c r="R156" s="6"/>
      <c r="S156" s="7"/>
      <c r="T156" s="6"/>
      <c r="U156" s="286"/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/>
      <c r="F157" s="7"/>
      <c r="G157" s="7"/>
      <c r="H157" s="7"/>
      <c r="I157" s="7"/>
      <c r="J157" s="287"/>
      <c r="K157" s="7"/>
      <c r="L157" s="6"/>
      <c r="M157" s="481"/>
      <c r="N157" s="29"/>
      <c r="O157" s="29"/>
      <c r="P157" s="29"/>
      <c r="Q157" s="375"/>
      <c r="R157" s="6"/>
      <c r="S157" s="7"/>
      <c r="T157" s="6"/>
      <c r="U157" s="286"/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/>
      <c r="F158" s="7"/>
      <c r="G158" s="7"/>
      <c r="H158" s="7"/>
      <c r="I158" s="7"/>
      <c r="J158" s="287"/>
      <c r="K158" s="7"/>
      <c r="L158" s="6"/>
      <c r="M158" s="481"/>
      <c r="N158" s="29"/>
      <c r="O158" s="29"/>
      <c r="P158" s="29"/>
      <c r="Q158" s="375"/>
      <c r="R158" s="6"/>
      <c r="S158" s="7"/>
      <c r="T158" s="6"/>
      <c r="U158" s="286"/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/>
      <c r="F159" s="7"/>
      <c r="G159" s="7"/>
      <c r="H159" s="7"/>
      <c r="I159" s="7"/>
      <c r="J159" s="287"/>
      <c r="K159" s="7"/>
      <c r="L159" s="6"/>
      <c r="M159" s="481"/>
      <c r="N159" s="29"/>
      <c r="O159" s="29"/>
      <c r="P159" s="29"/>
      <c r="Q159" s="375"/>
      <c r="R159" s="6"/>
      <c r="S159" s="7"/>
      <c r="T159" s="6"/>
      <c r="U159" s="286"/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/>
      <c r="F160" s="7"/>
      <c r="G160" s="7"/>
      <c r="H160" s="7"/>
      <c r="I160" s="7"/>
      <c r="J160" s="287"/>
      <c r="K160" s="7"/>
      <c r="L160" s="6"/>
      <c r="M160" s="474"/>
      <c r="N160" s="29"/>
      <c r="O160" s="29"/>
      <c r="P160" s="29"/>
      <c r="Q160" s="375"/>
      <c r="R160" s="6"/>
      <c r="S160" s="7"/>
      <c r="T160" s="6"/>
      <c r="U160" s="286"/>
      <c r="W160">
        <f t="shared" si="20"/>
        <v>150</v>
      </c>
      <c r="Y160" s="56"/>
    </row>
    <row r="161" spans="3:41" ht="15" thickBot="1" x14ac:dyDescent="0.35">
      <c r="C161" s="170">
        <f t="shared" si="15"/>
        <v>44060</v>
      </c>
      <c r="E161" s="288"/>
      <c r="F161" s="289"/>
      <c r="G161" s="289"/>
      <c r="H161" s="289"/>
      <c r="I161" s="289"/>
      <c r="J161" s="289"/>
      <c r="K161" s="289"/>
      <c r="L161" s="290"/>
      <c r="M161" s="291"/>
      <c r="N161" s="291"/>
      <c r="O161" s="291"/>
      <c r="P161" s="291"/>
      <c r="Q161" s="374"/>
      <c r="R161" s="290"/>
      <c r="S161" s="290"/>
      <c r="T161" s="290"/>
      <c r="U161" s="292"/>
      <c r="W161">
        <f t="shared" si="20"/>
        <v>151</v>
      </c>
      <c r="Y161" s="59"/>
    </row>
    <row r="162" spans="3:41" x14ac:dyDescent="0.3">
      <c r="E162" s="56"/>
      <c r="F162" s="1"/>
      <c r="G162" s="56"/>
      <c r="H162" s="56"/>
      <c r="I162" s="56"/>
      <c r="J162" s="1"/>
      <c r="K162" s="56"/>
      <c r="S162" s="56"/>
    </row>
    <row r="163" spans="3:41" x14ac:dyDescent="0.3">
      <c r="C163" s="179" t="s">
        <v>81</v>
      </c>
      <c r="E163" s="56">
        <f>+E155</f>
        <v>422003</v>
      </c>
      <c r="F163" s="56">
        <f>+F52</f>
        <v>0</v>
      </c>
      <c r="G163" s="56">
        <f t="shared" ref="G163:S163" si="128">+G155</f>
        <v>185475</v>
      </c>
      <c r="H163" s="56">
        <f t="shared" si="128"/>
        <v>0</v>
      </c>
      <c r="I163" s="56">
        <f t="shared" si="128"/>
        <v>50684</v>
      </c>
      <c r="J163" s="56">
        <f t="shared" si="128"/>
        <v>0</v>
      </c>
      <c r="K163" s="56">
        <f t="shared" si="128"/>
        <v>658162</v>
      </c>
      <c r="L163" s="56">
        <f t="shared" si="128"/>
        <v>0</v>
      </c>
      <c r="M163" s="56">
        <f t="shared" si="128"/>
        <v>1.7320524060003895E-3</v>
      </c>
      <c r="N163" s="56">
        <f t="shared" si="128"/>
        <v>0</v>
      </c>
      <c r="O163" s="56">
        <f t="shared" si="128"/>
        <v>0</v>
      </c>
      <c r="P163" s="56">
        <f t="shared" si="128"/>
        <v>0</v>
      </c>
      <c r="Q163" s="56">
        <f t="shared" si="128"/>
        <v>1138</v>
      </c>
      <c r="R163" s="56">
        <f t="shared" si="128"/>
        <v>0</v>
      </c>
      <c r="S163" s="56">
        <f t="shared" si="128"/>
        <v>53121</v>
      </c>
      <c r="T163" s="56">
        <f>+T60</f>
        <v>0</v>
      </c>
    </row>
    <row r="164" spans="3:41" x14ac:dyDescent="0.3">
      <c r="E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</row>
    <row r="165" spans="3:41" x14ac:dyDescent="0.3">
      <c r="E165" s="59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</row>
    <row r="166" spans="3:41" x14ac:dyDescent="0.3">
      <c r="C166" s="123"/>
      <c r="D166" s="124"/>
      <c r="E166" s="392"/>
      <c r="F166" s="10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</row>
    <row r="167" spans="3:41" x14ac:dyDescent="0.3">
      <c r="E167" s="56"/>
      <c r="K167" s="56"/>
      <c r="Q167" s="56"/>
    </row>
    <row r="168" spans="3:41" x14ac:dyDescent="0.3">
      <c r="Q168" s="56"/>
      <c r="S168" s="59"/>
    </row>
    <row r="171" spans="3:41" x14ac:dyDescent="0.3">
      <c r="AO171" s="1">
        <v>3797000</v>
      </c>
    </row>
    <row r="172" spans="3:41" x14ac:dyDescent="0.3">
      <c r="C172" s="1"/>
    </row>
    <row r="173" spans="3:41" x14ac:dyDescent="0.3">
      <c r="C173" s="1"/>
      <c r="AO173" s="1">
        <v>30000</v>
      </c>
    </row>
    <row r="174" spans="3:41" x14ac:dyDescent="0.3">
      <c r="C174" s="59"/>
    </row>
    <row r="175" spans="3:41" x14ac:dyDescent="0.3">
      <c r="AO175" s="277">
        <f>+AO173/AO171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53"/>
  <sheetViews>
    <sheetView topLeftCell="A13" workbookViewId="0">
      <selection activeCell="R80" sqref="R80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85" t="s">
        <v>114</v>
      </c>
      <c r="U3" s="686"/>
      <c r="V3" s="686"/>
      <c r="W3" s="686"/>
      <c r="X3" s="686"/>
      <c r="Y3" s="686"/>
      <c r="Z3" s="686"/>
      <c r="AA3" s="686"/>
      <c r="AB3" s="686"/>
      <c r="AC3" s="686"/>
      <c r="AD3" s="687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0.10431334782250333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88" t="s">
        <v>104</v>
      </c>
      <c r="F15" s="688"/>
      <c r="G15" s="688"/>
      <c r="H15" s="688"/>
      <c r="I15" s="688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94" t="s">
        <v>46</v>
      </c>
      <c r="E18" s="695"/>
      <c r="F18" s="695"/>
      <c r="G18" s="695"/>
      <c r="H18" s="695"/>
      <c r="I18" s="695"/>
      <c r="J18" s="695"/>
      <c r="K18" s="695"/>
      <c r="L18" s="695"/>
      <c r="M18" s="695"/>
      <c r="N18" s="695"/>
      <c r="O18" s="696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97" t="s">
        <v>75</v>
      </c>
      <c r="F19" s="697"/>
      <c r="G19" s="697"/>
      <c r="H19" s="697"/>
      <c r="I19" s="146" t="s">
        <v>74</v>
      </c>
      <c r="J19" s="147"/>
      <c r="K19" s="702" t="s">
        <v>72</v>
      </c>
      <c r="L19" s="702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Table'!H144</f>
        <v>4766172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Table'!AA160</f>
        <v>167677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17339</v>
      </c>
      <c r="J22" s="128"/>
      <c r="K22" s="139"/>
      <c r="L22" s="281">
        <v>17602</v>
      </c>
      <c r="M22" s="139"/>
      <c r="N22" s="159">
        <f>+(I22-L22)/I22</f>
        <v>-1.5168118115231558E-2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4581156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Table'!AP160</f>
        <v>2755348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698" t="s">
        <v>49</v>
      </c>
      <c r="E25" s="699"/>
      <c r="F25" s="699"/>
      <c r="G25" s="699"/>
      <c r="H25" s="699"/>
      <c r="I25" s="131">
        <f>+I23-I24</f>
        <v>1825808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2755348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698" t="s">
        <v>46</v>
      </c>
      <c r="E27" s="699"/>
      <c r="F27" s="699"/>
      <c r="G27" s="699"/>
      <c r="H27" s="699"/>
      <c r="I27" s="148">
        <f>+I25+I26</f>
        <v>4581156</v>
      </c>
      <c r="J27" s="128"/>
      <c r="K27" s="703">
        <v>4523856</v>
      </c>
      <c r="L27" s="703"/>
      <c r="M27" s="139"/>
      <c r="N27" s="149">
        <f>+I27-K27</f>
        <v>57300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00" t="s">
        <v>69</v>
      </c>
      <c r="F28" s="700"/>
      <c r="G28" s="700"/>
      <c r="H28" s="136"/>
      <c r="I28" s="274">
        <f>+I27/I32</f>
        <v>0.86406076624359118</v>
      </c>
      <c r="J28" s="139"/>
      <c r="K28" s="139"/>
      <c r="L28" s="139"/>
      <c r="M28" s="110"/>
      <c r="N28" s="506">
        <f>+N27/K27</f>
        <v>1.266618566108205E-2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79" t="s">
        <v>114</v>
      </c>
      <c r="F31" s="680"/>
      <c r="G31" s="680"/>
      <c r="H31" s="680"/>
      <c r="I31" s="680"/>
      <c r="J31" s="681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4">
        <f>+'Main Table'!H160</f>
        <v>5301891</v>
      </c>
      <c r="J32" s="674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75">
        <f>+I27</f>
        <v>4581156</v>
      </c>
      <c r="J34" s="676"/>
      <c r="K34" s="22"/>
      <c r="L34" s="25">
        <f>+I34/$I$32</f>
        <v>0.86406076624359118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2">
        <f>+I21</f>
        <v>167677</v>
      </c>
      <c r="J35" s="683"/>
      <c r="K35" s="22"/>
      <c r="L35" s="25">
        <f>+I35/$I$32</f>
        <v>3.1625885933905466E-2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01" t="s">
        <v>114</v>
      </c>
      <c r="F36" s="701"/>
      <c r="G36" s="701"/>
      <c r="H36" s="275"/>
      <c r="I36" s="677">
        <f>+I32-I34-I35</f>
        <v>553058</v>
      </c>
      <c r="J36" s="678"/>
      <c r="K36" s="302"/>
      <c r="L36" s="276">
        <f>+I36/$I$32</f>
        <v>0.10431334782250333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89" t="s">
        <v>127</v>
      </c>
      <c r="E41" s="690"/>
      <c r="F41" s="690"/>
      <c r="G41" s="690"/>
      <c r="H41" s="690"/>
      <c r="I41" s="690"/>
      <c r="J41" s="690"/>
      <c r="K41" s="690"/>
      <c r="L41" s="690"/>
      <c r="M41" s="690"/>
      <c r="N41" s="690"/>
      <c r="O41" s="691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92" t="s">
        <v>75</v>
      </c>
      <c r="F42" s="692"/>
      <c r="G42" s="692"/>
      <c r="H42" s="692"/>
      <c r="I42" s="303" t="s">
        <v>74</v>
      </c>
      <c r="J42" s="304"/>
      <c r="K42" s="693" t="s">
        <v>37</v>
      </c>
      <c r="L42" s="693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Table'!AP178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58" t="s">
        <v>49</v>
      </c>
      <c r="E48" s="659"/>
      <c r="F48" s="659"/>
      <c r="G48" s="659"/>
      <c r="H48" s="659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58" t="s">
        <v>46</v>
      </c>
      <c r="E50" s="659"/>
      <c r="F50" s="659"/>
      <c r="G50" s="659"/>
      <c r="H50" s="659"/>
      <c r="I50" s="383">
        <f>+I48+I49</f>
        <v>22172</v>
      </c>
      <c r="J50" s="379"/>
      <c r="K50" s="660">
        <v>30167</v>
      </c>
      <c r="L50" s="660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1" t="s">
        <v>69</v>
      </c>
      <c r="F51" s="661"/>
      <c r="G51" s="661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17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2" t="s">
        <v>128</v>
      </c>
      <c r="F54" s="663"/>
      <c r="G54" s="663"/>
      <c r="H54" s="663"/>
      <c r="I54" s="663"/>
      <c r="J54" s="664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65">
        <f>+K50</f>
        <v>30167</v>
      </c>
      <c r="J55" s="665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66">
        <f>+I50</f>
        <v>22172</v>
      </c>
      <c r="J57" s="667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68">
        <f>+I44</f>
        <v>1836</v>
      </c>
      <c r="J58" s="669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0" t="s">
        <v>114</v>
      </c>
      <c r="F59" s="670"/>
      <c r="G59" s="670"/>
      <c r="H59" s="310"/>
      <c r="I59" s="671">
        <f>+I55-I57-I58</f>
        <v>6159</v>
      </c>
      <c r="J59" s="672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3">
        <f>+I45</f>
        <v>1397</v>
      </c>
      <c r="J60" s="673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71">
        <f>+I59-I60</f>
        <v>4762</v>
      </c>
      <c r="J61" s="671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2" t="s">
        <v>117</v>
      </c>
      <c r="F64" s="663"/>
      <c r="G64" s="663"/>
      <c r="H64" s="663"/>
      <c r="I64" s="663"/>
      <c r="J64" s="663"/>
      <c r="K64" s="663"/>
      <c r="L64" s="663"/>
      <c r="M64" s="664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57">
        <v>11690000</v>
      </c>
      <c r="J65" s="657"/>
      <c r="K65" s="657"/>
      <c r="L65" s="657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84" t="s">
        <v>108</v>
      </c>
      <c r="G67" s="684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32" t="s">
        <v>131</v>
      </c>
      <c r="E72" s="633"/>
      <c r="F72" s="633"/>
      <c r="G72" s="633"/>
      <c r="H72" s="633"/>
      <c r="I72" s="633"/>
      <c r="J72" s="633"/>
      <c r="K72" s="633"/>
      <c r="L72" s="633"/>
      <c r="M72" s="633"/>
      <c r="N72" s="633"/>
      <c r="O72" s="634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35" t="s">
        <v>75</v>
      </c>
      <c r="F73" s="635"/>
      <c r="G73" s="635"/>
      <c r="H73" s="635"/>
      <c r="I73" s="398" t="s">
        <v>74</v>
      </c>
      <c r="J73" s="399"/>
      <c r="K73" s="636" t="s">
        <v>37</v>
      </c>
      <c r="L73" s="636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Table'!AP216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37" t="s">
        <v>49</v>
      </c>
      <c r="E79" s="638"/>
      <c r="F79" s="638"/>
      <c r="G79" s="638"/>
      <c r="H79" s="638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37" t="s">
        <v>46</v>
      </c>
      <c r="E81" s="638"/>
      <c r="F81" s="638"/>
      <c r="G81" s="638"/>
      <c r="H81" s="638"/>
      <c r="I81" s="413">
        <f>+I79+I80</f>
        <v>36684</v>
      </c>
      <c r="J81" s="406"/>
      <c r="K81" s="640">
        <v>48675</v>
      </c>
      <c r="L81" s="640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39" t="s">
        <v>69</v>
      </c>
      <c r="F82" s="639"/>
      <c r="G82" s="639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ref="AA83" si="7">+W82-W83</f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ref="AA84" si="8">+W83-W84</f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ref="AA85" si="9">+W84-W85</f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ref="AA86" si="10">+W85-W86</f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ref="AA87" si="11">+W86-W87</f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ref="AA88" si="12">+W87-W88</f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ref="AA89" si="13">+W88-W89</f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ref="AA90" si="14">+W89-W90</f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ref="AA91" si="15">+W90-W91</f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ref="AA92" si="16">+W91-W92</f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ref="AA93" si="17">+W92-W93</f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ref="AA94" si="18">+W93-W94</f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ref="AA95" si="19">+W94-W95</f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ref="AA96" si="20">+W95-W96</f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ref="AA97" si="21">+W96-W97</f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ref="AA98" si="22">+W97-W98</f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ref="AA99" si="23">+W98-W99</f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ref="AA100" si="24">+W99-W100</f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ref="AA101" si="25">+W100-W101</f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ref="AA102" si="26">+W101-W102</f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ref="AA103" si="27">+W102-W103</f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ref="AA104" si="28">+W103-W104</f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ref="AA105" si="29">+W104-W105</f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ref="AA106" si="30">+W105-W106</f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ref="AA107" si="31">+W106-W107</f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ref="AA108" si="32">+W107-W108</f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f>+I$36</f>
        <v>553058</v>
      </c>
      <c r="X109" s="6"/>
      <c r="Y109" s="44">
        <f>+L$36</f>
        <v>0.10431334782250333</v>
      </c>
      <c r="Z109" s="6"/>
      <c r="AA109" s="297">
        <f t="shared" ref="AA109" si="33">+W108-W109</f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/>
      <c r="X110" s="6"/>
      <c r="Y110" s="44"/>
      <c r="Z110" s="6"/>
      <c r="AA110" s="297"/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/>
      <c r="X111" s="6"/>
      <c r="Y111" s="44"/>
      <c r="Z111" s="6"/>
      <c r="AA111" s="297"/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/>
      <c r="X112" s="6"/>
      <c r="Y112" s="44"/>
      <c r="Z112" s="6"/>
      <c r="AA112" s="297"/>
      <c r="AB112" s="6"/>
      <c r="AC112" s="301"/>
      <c r="AD112" s="294"/>
    </row>
    <row r="113" spans="5:36" x14ac:dyDescent="0.3">
      <c r="O113" s="110"/>
      <c r="T113" s="293"/>
      <c r="U113" s="295">
        <f t="shared" si="3"/>
        <v>44058</v>
      </c>
      <c r="V113" s="6"/>
      <c r="W113" s="296"/>
      <c r="X113" s="6"/>
      <c r="Y113" s="44"/>
      <c r="Z113" s="6"/>
      <c r="AA113" s="297"/>
      <c r="AB113" s="6"/>
      <c r="AC113" s="301"/>
      <c r="AD113" s="294"/>
    </row>
    <row r="114" spans="5:36" x14ac:dyDescent="0.3">
      <c r="O114" s="110"/>
      <c r="T114" s="293"/>
      <c r="U114" s="295">
        <f t="shared" si="3"/>
        <v>44059</v>
      </c>
      <c r="V114" s="6"/>
      <c r="W114" s="296"/>
      <c r="X114" s="6"/>
      <c r="Y114" s="44"/>
      <c r="Z114" s="6"/>
      <c r="AA114" s="297"/>
      <c r="AB114" s="6"/>
      <c r="AC114" s="301"/>
      <c r="AD114" s="294"/>
    </row>
    <row r="115" spans="5:36" x14ac:dyDescent="0.3">
      <c r="O115" s="110"/>
      <c r="T115" s="293"/>
      <c r="U115" s="295">
        <f t="shared" si="3"/>
        <v>44060</v>
      </c>
      <c r="V115" s="6"/>
      <c r="W115" s="296"/>
      <c r="X115" s="6"/>
      <c r="Y115" s="44"/>
      <c r="Z115" s="6"/>
      <c r="AA115" s="297"/>
      <c r="AB115" s="6"/>
      <c r="AC115" s="301"/>
      <c r="AD115" s="294"/>
    </row>
    <row r="116" spans="5:36" x14ac:dyDescent="0.3">
      <c r="O116" s="110"/>
      <c r="T116" s="293"/>
      <c r="U116" s="295">
        <f t="shared" si="3"/>
        <v>44061</v>
      </c>
      <c r="V116" s="6"/>
      <c r="W116" s="296"/>
      <c r="X116" s="6"/>
      <c r="Y116" s="44"/>
      <c r="Z116" s="6"/>
      <c r="AA116" s="297"/>
      <c r="AB116" s="6"/>
      <c r="AC116" s="301"/>
      <c r="AD116" s="294"/>
    </row>
    <row r="117" spans="5:36" ht="15" thickBot="1" x14ac:dyDescent="0.35">
      <c r="O117" s="110"/>
      <c r="T117" s="298"/>
      <c r="U117" s="393">
        <f t="shared" si="3"/>
        <v>44062</v>
      </c>
      <c r="V117" s="290"/>
      <c r="W117" s="394"/>
      <c r="X117" s="290"/>
      <c r="Y117" s="299"/>
      <c r="Z117" s="290"/>
      <c r="AA117" s="395"/>
      <c r="AB117" s="290"/>
      <c r="AC117" s="396"/>
      <c r="AD117" s="300"/>
    </row>
    <row r="118" spans="5:36" x14ac:dyDescent="0.3">
      <c r="O118" s="110"/>
    </row>
    <row r="119" spans="5:36" x14ac:dyDescent="0.3">
      <c r="O119" s="110"/>
      <c r="P119" s="57"/>
      <c r="Q119" s="57"/>
      <c r="R119" s="57"/>
    </row>
    <row r="120" spans="5:36" x14ac:dyDescent="0.3">
      <c r="O120" s="110"/>
    </row>
    <row r="121" spans="5:36" ht="15" thickBot="1" x14ac:dyDescent="0.35">
      <c r="O121" s="110"/>
    </row>
    <row r="122" spans="5:36" ht="15.6" thickTop="1" thickBot="1" x14ac:dyDescent="0.35">
      <c r="Q122" s="484"/>
      <c r="R122" s="485"/>
      <c r="S122" s="485"/>
      <c r="T122" s="485"/>
      <c r="U122" s="485"/>
      <c r="V122" s="485"/>
      <c r="W122" s="485"/>
      <c r="X122" s="485"/>
      <c r="Y122" s="485"/>
      <c r="Z122" s="485"/>
      <c r="AA122" s="485"/>
      <c r="AB122" s="486"/>
    </row>
    <row r="123" spans="5:36" ht="15" thickBot="1" x14ac:dyDescent="0.35">
      <c r="E123" s="644" t="s">
        <v>119</v>
      </c>
      <c r="F123" s="645"/>
      <c r="G123" s="645"/>
      <c r="H123" s="645"/>
      <c r="I123" s="645"/>
      <c r="J123" s="645"/>
      <c r="K123" s="645"/>
      <c r="L123" s="645"/>
      <c r="M123" s="646"/>
      <c r="Q123" s="487"/>
      <c r="R123" s="6"/>
      <c r="S123" s="6"/>
      <c r="T123" s="6"/>
      <c r="U123" s="5" t="s">
        <v>146</v>
      </c>
      <c r="V123" s="5"/>
      <c r="W123" s="5"/>
      <c r="X123" s="5"/>
      <c r="Y123" s="5"/>
      <c r="Z123" s="5"/>
      <c r="AA123" s="5" t="s">
        <v>30</v>
      </c>
      <c r="AB123" s="488"/>
    </row>
    <row r="124" spans="5:36" x14ac:dyDescent="0.3">
      <c r="E124" s="438"/>
      <c r="F124" s="439" t="s">
        <v>120</v>
      </c>
      <c r="G124" s="439"/>
      <c r="H124" s="439"/>
      <c r="I124" s="647">
        <v>21477737</v>
      </c>
      <c r="J124" s="647"/>
      <c r="K124" s="647"/>
      <c r="L124" s="647"/>
      <c r="M124" s="440"/>
      <c r="Q124" s="487"/>
      <c r="R124" s="480" t="s">
        <v>148</v>
      </c>
      <c r="S124" s="6"/>
      <c r="T124" s="6"/>
      <c r="U124" s="480" t="s">
        <v>147</v>
      </c>
      <c r="V124" s="5"/>
      <c r="W124" s="480" t="s">
        <v>20</v>
      </c>
      <c r="X124" s="5"/>
      <c r="Y124" s="480" t="s">
        <v>4</v>
      </c>
      <c r="Z124" s="5"/>
      <c r="AA124" s="489" t="s">
        <v>145</v>
      </c>
      <c r="AB124" s="488"/>
    </row>
    <row r="125" spans="5:36" x14ac:dyDescent="0.3">
      <c r="E125" s="438"/>
      <c r="F125" s="439" t="s">
        <v>110</v>
      </c>
      <c r="G125" s="439"/>
      <c r="H125" s="439"/>
      <c r="I125" s="439"/>
      <c r="J125" s="439"/>
      <c r="K125" s="439"/>
      <c r="L125" s="441">
        <f>+I137/I124</f>
        <v>4.5847474526762295E-4</v>
      </c>
      <c r="M125" s="440"/>
      <c r="Q125" s="487"/>
      <c r="R125" s="6" t="s">
        <v>135</v>
      </c>
      <c r="S125" s="6"/>
      <c r="T125" s="6"/>
      <c r="U125" s="7">
        <v>2003</v>
      </c>
      <c r="V125" s="6"/>
      <c r="W125" s="7">
        <v>389666</v>
      </c>
      <c r="X125" s="6"/>
      <c r="Y125" s="7">
        <v>31257</v>
      </c>
      <c r="Z125" s="6"/>
      <c r="AA125" s="296">
        <f>+AJ125</f>
        <v>19500</v>
      </c>
      <c r="AB125" s="488"/>
      <c r="AJ125" s="1">
        <v>19500</v>
      </c>
    </row>
    <row r="126" spans="5:36" x14ac:dyDescent="0.3">
      <c r="E126" s="438"/>
      <c r="F126" s="648" t="s">
        <v>108</v>
      </c>
      <c r="G126" s="648"/>
      <c r="H126" s="439"/>
      <c r="I126" s="439"/>
      <c r="J126" s="439"/>
      <c r="K126" s="439"/>
      <c r="L126" s="442">
        <f>+I137/(I124/100000)</f>
        <v>45.847474526762298</v>
      </c>
      <c r="M126" s="440"/>
      <c r="Q126" s="487"/>
      <c r="R126" s="6" t="s">
        <v>136</v>
      </c>
      <c r="S126" s="6"/>
      <c r="T126" s="6"/>
      <c r="U126" s="7">
        <v>1913</v>
      </c>
      <c r="V126" s="6"/>
      <c r="W126" s="7">
        <v>169892</v>
      </c>
      <c r="X126" s="6"/>
      <c r="Y126" s="7">
        <v>13076</v>
      </c>
      <c r="Z126" s="6"/>
      <c r="AA126" s="296">
        <f t="shared" ref="AA126:AA134" si="34">+AJ126</f>
        <v>8900</v>
      </c>
      <c r="AB126" s="488"/>
      <c r="AJ126" s="1">
        <v>8900</v>
      </c>
    </row>
    <row r="127" spans="5:36" x14ac:dyDescent="0.3">
      <c r="E127" s="438"/>
      <c r="F127" s="443"/>
      <c r="G127" s="443"/>
      <c r="H127" s="439"/>
      <c r="I127" s="439"/>
      <c r="J127" s="439"/>
      <c r="K127" s="439"/>
      <c r="L127" s="442"/>
      <c r="M127" s="440"/>
      <c r="Q127" s="487"/>
      <c r="R127" s="6" t="s">
        <v>137</v>
      </c>
      <c r="S127" s="6"/>
      <c r="T127" s="6"/>
      <c r="U127" s="7">
        <v>1568</v>
      </c>
      <c r="V127" s="6"/>
      <c r="W127" s="7">
        <v>16606</v>
      </c>
      <c r="X127" s="6"/>
      <c r="Y127" s="7">
        <v>912</v>
      </c>
      <c r="Z127" s="6"/>
      <c r="AA127" s="296">
        <f t="shared" si="34"/>
        <v>1100</v>
      </c>
      <c r="AB127" s="488"/>
      <c r="AJ127" s="1">
        <v>1100</v>
      </c>
    </row>
    <row r="128" spans="5:36" x14ac:dyDescent="0.3">
      <c r="E128" s="438"/>
      <c r="F128" s="443" t="s">
        <v>121</v>
      </c>
      <c r="G128" s="443"/>
      <c r="H128" s="648" t="s">
        <v>122</v>
      </c>
      <c r="I128" s="648"/>
      <c r="J128" s="439"/>
      <c r="K128" s="439"/>
      <c r="L128" s="442"/>
      <c r="M128" s="440"/>
      <c r="Q128" s="487"/>
      <c r="R128" s="6" t="s">
        <v>58</v>
      </c>
      <c r="S128" s="6"/>
      <c r="T128" s="6"/>
      <c r="U128" s="7">
        <v>1561</v>
      </c>
      <c r="V128" s="6"/>
      <c r="W128" s="7">
        <v>107611</v>
      </c>
      <c r="X128" s="6"/>
      <c r="Y128" s="7">
        <v>7937</v>
      </c>
      <c r="Z128" s="6"/>
      <c r="AA128" s="296">
        <f t="shared" si="34"/>
        <v>7000</v>
      </c>
      <c r="AB128" s="488"/>
      <c r="AJ128" s="1">
        <v>7000</v>
      </c>
    </row>
    <row r="129" spans="4:36" ht="15" thickBot="1" x14ac:dyDescent="0.35">
      <c r="E129" s="444"/>
      <c r="F129" s="445"/>
      <c r="G129" s="445"/>
      <c r="H129" s="445"/>
      <c r="I129" s="445"/>
      <c r="J129" s="445"/>
      <c r="K129" s="445"/>
      <c r="L129" s="445"/>
      <c r="M129" s="446"/>
      <c r="Q129" s="487"/>
      <c r="R129" s="6" t="s">
        <v>142</v>
      </c>
      <c r="S129" s="6"/>
      <c r="T129" s="6"/>
      <c r="U129" s="7">
        <v>1435</v>
      </c>
      <c r="V129" s="6"/>
      <c r="W129" s="7">
        <v>10128</v>
      </c>
      <c r="X129" s="6"/>
      <c r="Y129" s="7">
        <v>541</v>
      </c>
      <c r="Z129" s="6"/>
      <c r="AA129" s="296">
        <f t="shared" si="34"/>
        <v>700</v>
      </c>
      <c r="AB129" s="488"/>
      <c r="AJ129" s="1">
        <v>700</v>
      </c>
    </row>
    <row r="130" spans="4:36" x14ac:dyDescent="0.3">
      <c r="Q130" s="487"/>
      <c r="R130" s="6" t="s">
        <v>138</v>
      </c>
      <c r="S130" s="6"/>
      <c r="T130" s="6"/>
      <c r="U130" s="7">
        <v>1288</v>
      </c>
      <c r="V130" s="6"/>
      <c r="W130" s="7">
        <v>45913</v>
      </c>
      <c r="X130" s="6"/>
      <c r="Y130" s="7">
        <v>4287</v>
      </c>
      <c r="Z130" s="6"/>
      <c r="AA130" s="296">
        <f t="shared" si="34"/>
        <v>3600</v>
      </c>
      <c r="AB130" s="488"/>
      <c r="AJ130" s="1">
        <v>3600</v>
      </c>
    </row>
    <row r="131" spans="4:36" ht="15" thickBot="1" x14ac:dyDescent="0.35">
      <c r="D131" s="90"/>
      <c r="E131" s="151"/>
      <c r="F131" s="151"/>
      <c r="G131" s="151"/>
      <c r="H131" s="151"/>
      <c r="I131" s="353"/>
      <c r="J131" s="90"/>
      <c r="K131" s="110"/>
      <c r="L131" s="110"/>
      <c r="M131" s="110"/>
      <c r="N131" s="110"/>
      <c r="Q131" s="487"/>
      <c r="R131" s="6" t="s">
        <v>143</v>
      </c>
      <c r="S131" s="6"/>
      <c r="T131" s="6"/>
      <c r="U131" s="7">
        <v>1129</v>
      </c>
      <c r="V131" s="6"/>
      <c r="W131" s="7">
        <v>52477</v>
      </c>
      <c r="X131" s="6"/>
      <c r="Y131" s="7">
        <v>3152</v>
      </c>
      <c r="Z131" s="6"/>
      <c r="AA131" s="296">
        <f t="shared" si="34"/>
        <v>4600</v>
      </c>
      <c r="AB131" s="488"/>
      <c r="AJ131" s="1">
        <v>4600</v>
      </c>
    </row>
    <row r="132" spans="4:36" ht="16.2" thickBot="1" x14ac:dyDescent="0.35">
      <c r="D132" s="424"/>
      <c r="E132" s="649" t="s">
        <v>132</v>
      </c>
      <c r="F132" s="650"/>
      <c r="G132" s="650"/>
      <c r="H132" s="650"/>
      <c r="I132" s="650"/>
      <c r="J132" s="651"/>
      <c r="K132" s="425"/>
      <c r="L132" s="437" t="s">
        <v>10</v>
      </c>
      <c r="M132" s="426"/>
      <c r="N132" s="110"/>
      <c r="Q132" s="487"/>
      <c r="R132" s="6" t="s">
        <v>139</v>
      </c>
      <c r="S132" s="6"/>
      <c r="T132" s="6"/>
      <c r="U132" s="7">
        <v>1118</v>
      </c>
      <c r="V132" s="6"/>
      <c r="W132" s="7">
        <v>10889</v>
      </c>
      <c r="X132" s="6"/>
      <c r="Y132" s="7">
        <v>505</v>
      </c>
      <c r="Z132" s="6"/>
      <c r="AA132" s="296">
        <f t="shared" si="34"/>
        <v>980</v>
      </c>
      <c r="AB132" s="488"/>
      <c r="AJ132" s="1">
        <v>980</v>
      </c>
    </row>
    <row r="133" spans="4:36" x14ac:dyDescent="0.3">
      <c r="D133" s="403"/>
      <c r="E133" s="427" t="s">
        <v>88</v>
      </c>
      <c r="F133" s="16"/>
      <c r="G133" s="16"/>
      <c r="H133" s="16"/>
      <c r="I133" s="652">
        <f>+K81</f>
        <v>48675</v>
      </c>
      <c r="J133" s="652"/>
      <c r="K133" s="16"/>
      <c r="L133" s="60">
        <f>+I133/$I$133</f>
        <v>1</v>
      </c>
      <c r="M133" s="428"/>
      <c r="N133" s="110"/>
      <c r="Q133" s="487"/>
      <c r="R133" s="6" t="s">
        <v>140</v>
      </c>
      <c r="S133" s="6"/>
      <c r="T133" s="6"/>
      <c r="U133" s="7">
        <v>1093</v>
      </c>
      <c r="V133" s="6"/>
      <c r="W133" s="7">
        <v>138546</v>
      </c>
      <c r="X133" s="6"/>
      <c r="Y133" s="7">
        <v>6770</v>
      </c>
      <c r="Z133" s="6"/>
      <c r="AA133" s="296">
        <f t="shared" si="34"/>
        <v>12700</v>
      </c>
      <c r="AB133" s="488"/>
      <c r="AJ133" s="1">
        <v>12700</v>
      </c>
    </row>
    <row r="134" spans="4:36" x14ac:dyDescent="0.3">
      <c r="D134" s="403"/>
      <c r="E134" s="427"/>
      <c r="F134" s="16"/>
      <c r="G134" s="16"/>
      <c r="H134" s="16"/>
      <c r="I134" s="16"/>
      <c r="J134" s="16"/>
      <c r="K134" s="16"/>
      <c r="L134" s="16"/>
      <c r="M134" s="428"/>
      <c r="N134" s="110"/>
      <c r="Q134" s="487"/>
      <c r="R134" s="6" t="s">
        <v>141</v>
      </c>
      <c r="S134" s="6"/>
      <c r="T134" s="6"/>
      <c r="U134" s="490">
        <v>1081</v>
      </c>
      <c r="V134" s="6"/>
      <c r="W134" s="490">
        <v>65337</v>
      </c>
      <c r="X134" s="6"/>
      <c r="Y134" s="490">
        <v>3108</v>
      </c>
      <c r="Z134" s="6"/>
      <c r="AA134" s="491">
        <f t="shared" si="34"/>
        <v>6100</v>
      </c>
      <c r="AB134" s="488"/>
      <c r="AJ134" s="482">
        <v>6100</v>
      </c>
    </row>
    <row r="135" spans="4:36" x14ac:dyDescent="0.3">
      <c r="D135" s="415"/>
      <c r="E135" s="15"/>
      <c r="F135" s="429" t="s">
        <v>113</v>
      </c>
      <c r="G135" s="429"/>
      <c r="H135" s="15"/>
      <c r="I135" s="653">
        <f>+I81</f>
        <v>36684</v>
      </c>
      <c r="J135" s="654"/>
      <c r="K135" s="15"/>
      <c r="L135" s="60">
        <f>+I135/$I$133</f>
        <v>0.75365177195685673</v>
      </c>
      <c r="M135" s="408"/>
      <c r="N135" s="110"/>
      <c r="Q135" s="487"/>
      <c r="R135" s="5" t="s">
        <v>33</v>
      </c>
      <c r="S135" s="6"/>
      <c r="T135" s="6"/>
      <c r="U135" s="296">
        <f>+W135/(AA135/100)</f>
        <v>1545.0521632402579</v>
      </c>
      <c r="V135" s="6"/>
      <c r="W135" s="296">
        <f>SUM(W125:W134)</f>
        <v>1007065</v>
      </c>
      <c r="X135" s="6"/>
      <c r="Y135" s="296">
        <f>SUM(Y125:Y134)</f>
        <v>71545</v>
      </c>
      <c r="Z135" s="6"/>
      <c r="AA135" s="296">
        <f>SUM(AA125:AA134)</f>
        <v>65180</v>
      </c>
      <c r="AB135" s="488"/>
      <c r="AJ135" s="56">
        <f>SUM(AJ125:AJ134)</f>
        <v>65180</v>
      </c>
    </row>
    <row r="136" spans="4:36" x14ac:dyDescent="0.3">
      <c r="D136" s="415"/>
      <c r="E136" s="15"/>
      <c r="F136" s="15" t="s">
        <v>89</v>
      </c>
      <c r="G136" s="15"/>
      <c r="H136" s="15"/>
      <c r="I136" s="655">
        <f>+I75</f>
        <v>2144</v>
      </c>
      <c r="J136" s="656"/>
      <c r="K136" s="15"/>
      <c r="L136" s="60">
        <f>+I136/$I$133</f>
        <v>4.4047252182845401E-2</v>
      </c>
      <c r="M136" s="408"/>
      <c r="N136" s="110"/>
      <c r="Q136" s="487"/>
      <c r="R136" s="5"/>
      <c r="S136" s="6"/>
      <c r="T136" s="6"/>
      <c r="U136" s="6"/>
      <c r="V136" s="6"/>
      <c r="W136" s="296"/>
      <c r="X136" s="6"/>
      <c r="Y136" s="296"/>
      <c r="Z136" s="6"/>
      <c r="AA136" s="6"/>
      <c r="AB136" s="488"/>
      <c r="AJ136" s="56"/>
    </row>
    <row r="137" spans="4:36" ht="15" thickBot="1" x14ac:dyDescent="0.35">
      <c r="D137" s="415"/>
      <c r="E137" s="641" t="s">
        <v>114</v>
      </c>
      <c r="F137" s="641"/>
      <c r="G137" s="641"/>
      <c r="H137" s="15"/>
      <c r="I137" s="642">
        <f>+I133-I135-I136</f>
        <v>9847</v>
      </c>
      <c r="J137" s="643"/>
      <c r="K137" s="430"/>
      <c r="L137" s="431">
        <f>+I137/$I$133</f>
        <v>0.20230097586029788</v>
      </c>
      <c r="M137" s="408"/>
      <c r="N137" s="110"/>
      <c r="Q137" s="487"/>
      <c r="R137" s="5" t="s">
        <v>59</v>
      </c>
      <c r="S137" s="6"/>
      <c r="T137" s="6"/>
      <c r="U137" s="7">
        <v>7441</v>
      </c>
      <c r="V137" s="6"/>
      <c r="W137" s="7">
        <f>+'Main Table'!H106</f>
        <v>2465403</v>
      </c>
      <c r="X137" s="6"/>
      <c r="Y137" s="7">
        <f>+'Main Table'!AA106</f>
        <v>126977</v>
      </c>
      <c r="Z137" s="6"/>
      <c r="AA137" s="296">
        <v>331000</v>
      </c>
      <c r="AB137" s="488"/>
      <c r="AJ137" s="56">
        <v>333000</v>
      </c>
    </row>
    <row r="138" spans="4:36" ht="15.6" thickTop="1" thickBot="1" x14ac:dyDescent="0.35">
      <c r="D138" s="415"/>
      <c r="E138" s="432"/>
      <c r="F138" s="432"/>
      <c r="G138" s="432"/>
      <c r="H138" s="15"/>
      <c r="I138" s="433"/>
      <c r="J138" s="432"/>
      <c r="K138" s="430"/>
      <c r="L138" s="434"/>
      <c r="M138" s="408"/>
      <c r="N138" s="110"/>
      <c r="Q138" s="487"/>
      <c r="R138" s="5" t="s">
        <v>144</v>
      </c>
      <c r="S138" s="6"/>
      <c r="T138" s="6"/>
      <c r="U138" s="492"/>
      <c r="V138" s="6"/>
      <c r="W138" s="493">
        <f>+W135/W137</f>
        <v>0.40847885720914595</v>
      </c>
      <c r="X138" s="6"/>
      <c r="Y138" s="493">
        <f>+Y135/Y137</f>
        <v>0.56344849854698098</v>
      </c>
      <c r="Z138" s="6"/>
      <c r="AA138" s="493">
        <f>+AA135/AA137</f>
        <v>0.19691842900302114</v>
      </c>
      <c r="AB138" s="488"/>
      <c r="AJ138" s="483">
        <f>+AJ135/AJ137</f>
        <v>0.19573573573573574</v>
      </c>
    </row>
    <row r="139" spans="4:36" ht="15.6" thickTop="1" thickBot="1" x14ac:dyDescent="0.35">
      <c r="D139" s="435"/>
      <c r="E139" s="436"/>
      <c r="F139" s="436"/>
      <c r="G139" s="436"/>
      <c r="H139" s="436"/>
      <c r="I139" s="436"/>
      <c r="J139" s="436"/>
      <c r="K139" s="436"/>
      <c r="L139" s="436"/>
      <c r="M139" s="423"/>
      <c r="N139" s="110"/>
      <c r="Q139" s="494"/>
      <c r="R139" s="495"/>
      <c r="S139" s="495"/>
      <c r="T139" s="495"/>
      <c r="U139" s="495"/>
      <c r="V139" s="495"/>
      <c r="W139" s="495"/>
      <c r="X139" s="495"/>
      <c r="Y139" s="495"/>
      <c r="Z139" s="495"/>
      <c r="AA139" s="495"/>
      <c r="AB139" s="496"/>
    </row>
    <row r="143" spans="4:36" x14ac:dyDescent="0.3">
      <c r="F143" s="1">
        <v>1248371</v>
      </c>
    </row>
    <row r="144" spans="4:36" x14ac:dyDescent="0.3">
      <c r="W144" s="1"/>
    </row>
    <row r="145" spans="6:6" x14ac:dyDescent="0.3">
      <c r="F145">
        <v>700</v>
      </c>
    </row>
    <row r="146" spans="6:6" x14ac:dyDescent="0.3">
      <c r="F146" s="87">
        <f>+F145/F143</f>
        <v>5.6073074430597954E-4</v>
      </c>
    </row>
    <row r="148" spans="6:6" x14ac:dyDescent="0.3">
      <c r="F148" s="1">
        <v>60000</v>
      </c>
    </row>
    <row r="149" spans="6:6" x14ac:dyDescent="0.3">
      <c r="F149">
        <f>+F146*F148</f>
        <v>33.643844658358773</v>
      </c>
    </row>
    <row r="151" spans="6:6" x14ac:dyDescent="0.3">
      <c r="F151" s="1">
        <v>331000000</v>
      </c>
    </row>
    <row r="152" spans="6:6" x14ac:dyDescent="0.3">
      <c r="F152" s="56">
        <f>+W86</f>
        <v>811067</v>
      </c>
    </row>
    <row r="153" spans="6:6" x14ac:dyDescent="0.3">
      <c r="F153" s="57">
        <f>+F152/F151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137:G137"/>
    <mergeCell ref="I137:J137"/>
    <mergeCell ref="E123:M123"/>
    <mergeCell ref="I124:L124"/>
    <mergeCell ref="F126:G126"/>
    <mergeCell ref="E132:J132"/>
    <mergeCell ref="I133:J133"/>
    <mergeCell ref="I135:J135"/>
    <mergeCell ref="I136:J136"/>
    <mergeCell ref="H128:I128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93" t="s">
        <v>5</v>
      </c>
      <c r="C1" s="593"/>
      <c r="D1" s="593"/>
    </row>
    <row r="2" spans="2:31" ht="15.6" x14ac:dyDescent="0.3">
      <c r="B2" s="593" t="s">
        <v>6</v>
      </c>
      <c r="C2" s="593"/>
      <c r="D2" s="593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5" t="s">
        <v>23</v>
      </c>
      <c r="E12" s="706"/>
      <c r="F12" s="706"/>
      <c r="G12" s="706"/>
      <c r="H12" s="706"/>
      <c r="I12" s="706"/>
      <c r="J12" s="706"/>
      <c r="K12" s="706"/>
      <c r="L12" s="706"/>
      <c r="M12" s="706"/>
      <c r="N12" s="706"/>
      <c r="O12" s="706"/>
      <c r="P12" s="706"/>
      <c r="Q12" s="706"/>
      <c r="R12" s="706"/>
      <c r="S12" s="706"/>
      <c r="T12" s="706"/>
      <c r="U12" s="707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4" t="s">
        <v>62</v>
      </c>
      <c r="Z14" s="704"/>
      <c r="AA14" s="704"/>
      <c r="AB14" s="704"/>
      <c r="AC14" s="704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2020-08-12T10:37:52Z</dcterms:modified>
</cp:coreProperties>
</file>