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1EFF68EC-2E10-4507-90E1-0F7F4B7EF8C9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640" i="1" l="1"/>
  <c r="BA645" i="1"/>
  <c r="BE645" i="1" s="1"/>
  <c r="BG645" i="1"/>
  <c r="BP645" i="1"/>
  <c r="BC645" i="1"/>
  <c r="BG644" i="1"/>
  <c r="BR628" i="1"/>
  <c r="BA624" i="1"/>
  <c r="BA623" i="1"/>
  <c r="BA622" i="1"/>
  <c r="BR645" i="1" l="1"/>
  <c r="BT532" i="1" l="1"/>
  <c r="BL532" i="1"/>
  <c r="BH532" i="1"/>
  <c r="BD532" i="1"/>
  <c r="AN532" i="1"/>
  <c r="AF532" i="1"/>
  <c r="AB532" i="1"/>
  <c r="X532" i="1"/>
  <c r="P532" i="1"/>
  <c r="L532" i="1"/>
  <c r="BT531" i="1"/>
  <c r="BS531" i="1"/>
  <c r="BS532" i="1" s="1"/>
  <c r="BQ531" i="1"/>
  <c r="BQ532" i="1" s="1"/>
  <c r="BO531" i="1"/>
  <c r="BO532" i="1" s="1"/>
  <c r="BL531" i="1"/>
  <c r="BJ531" i="1"/>
  <c r="BJ532" i="1" s="1"/>
  <c r="BI531" i="1"/>
  <c r="BI532" i="1" s="1"/>
  <c r="BH531" i="1"/>
  <c r="BF531" i="1"/>
  <c r="BF532" i="1" s="1"/>
  <c r="BD531" i="1"/>
  <c r="BC531" i="1"/>
  <c r="BC532" i="1" s="1"/>
  <c r="BB531" i="1"/>
  <c r="BB532" i="1" s="1"/>
  <c r="AZ531" i="1"/>
  <c r="AZ532" i="1" s="1"/>
  <c r="AY531" i="1"/>
  <c r="AY532" i="1" s="1"/>
  <c r="AW531" i="1"/>
  <c r="AW532" i="1" s="1"/>
  <c r="AU531" i="1"/>
  <c r="AU532" i="1" s="1"/>
  <c r="AT531" i="1"/>
  <c r="AT532" i="1" s="1"/>
  <c r="AS531" i="1"/>
  <c r="AS532" i="1" s="1"/>
  <c r="AQ531" i="1"/>
  <c r="AQ532" i="1" s="1"/>
  <c r="AP531" i="1"/>
  <c r="AP532" i="1" s="1"/>
  <c r="AO531" i="1"/>
  <c r="AO532" i="1" s="1"/>
  <c r="AN531" i="1"/>
  <c r="AM531" i="1"/>
  <c r="AM532" i="1" s="1"/>
  <c r="AK531" i="1"/>
  <c r="AK532" i="1" s="1"/>
  <c r="AJ531" i="1"/>
  <c r="AJ532" i="1" s="1"/>
  <c r="AF531" i="1"/>
  <c r="AD531" i="1"/>
  <c r="AD532" i="1" s="1"/>
  <c r="AB531" i="1"/>
  <c r="Y531" i="1"/>
  <c r="Y532" i="1" s="1"/>
  <c r="X531" i="1"/>
  <c r="W531" i="1"/>
  <c r="W532" i="1" s="1"/>
  <c r="U531" i="1"/>
  <c r="U532" i="1" s="1"/>
  <c r="T531" i="1"/>
  <c r="T532" i="1" s="1"/>
  <c r="R531" i="1"/>
  <c r="R532" i="1" s="1"/>
  <c r="P531" i="1"/>
  <c r="M531" i="1"/>
  <c r="M532" i="1" s="1"/>
  <c r="L531" i="1"/>
  <c r="K531" i="1"/>
  <c r="K532" i="1" s="1"/>
  <c r="I531" i="1"/>
  <c r="I532" i="1" s="1"/>
  <c r="D531" i="1"/>
  <c r="D532" i="1" s="1"/>
  <c r="BE523" i="1" l="1"/>
  <c r="BA523" i="1"/>
  <c r="BA531" i="1" s="1"/>
  <c r="AL523" i="1"/>
  <c r="AG523" i="1"/>
  <c r="AG531" i="1" s="1"/>
  <c r="Z523" i="1"/>
  <c r="Z531" i="1" s="1"/>
  <c r="Z532" i="1" s="1"/>
  <c r="Q523" i="1"/>
  <c r="Q531" i="1" s="1"/>
  <c r="Q532" i="1" s="1"/>
  <c r="N523" i="1"/>
  <c r="N531" i="1" s="1"/>
  <c r="BE522" i="1"/>
  <c r="BA522" i="1"/>
  <c r="AL522" i="1"/>
  <c r="AR522" i="1" s="1"/>
  <c r="AG522" i="1"/>
  <c r="Z522" i="1"/>
  <c r="Q522" i="1"/>
  <c r="N522" i="1"/>
  <c r="BE521" i="1"/>
  <c r="BA521" i="1"/>
  <c r="AL521" i="1"/>
  <c r="AR521" i="1" s="1"/>
  <c r="AG521" i="1"/>
  <c r="Z521" i="1"/>
  <c r="Q521" i="1"/>
  <c r="N521" i="1"/>
  <c r="BE520" i="1"/>
  <c r="BA520" i="1"/>
  <c r="AL520" i="1"/>
  <c r="AR520" i="1" s="1"/>
  <c r="AG520" i="1"/>
  <c r="Z520" i="1"/>
  <c r="Q520" i="1"/>
  <c r="N520" i="1"/>
  <c r="U479" i="3"/>
  <c r="U480" i="3" s="1"/>
  <c r="U481" i="3" s="1"/>
  <c r="U482" i="3" s="1"/>
  <c r="BE519" i="1"/>
  <c r="BA519" i="1"/>
  <c r="AL519" i="1"/>
  <c r="AR519" i="1" s="1"/>
  <c r="AG519" i="1"/>
  <c r="Z519" i="1"/>
  <c r="Q519" i="1"/>
  <c r="N519" i="1"/>
  <c r="BE518" i="1"/>
  <c r="BA518" i="1"/>
  <c r="AL518" i="1"/>
  <c r="AR518" i="1" s="1"/>
  <c r="AG518" i="1"/>
  <c r="Z518" i="1"/>
  <c r="Q518" i="1"/>
  <c r="N518" i="1"/>
  <c r="BE517" i="1"/>
  <c r="BA517" i="1"/>
  <c r="BK523" i="1" s="1"/>
  <c r="BK531" i="1" s="1"/>
  <c r="AL517" i="1"/>
  <c r="AR517" i="1" s="1"/>
  <c r="AG517" i="1"/>
  <c r="Z517" i="1"/>
  <c r="Q517" i="1"/>
  <c r="N517" i="1"/>
  <c r="U529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E529" i="2"/>
  <c r="S524" i="2"/>
  <c r="W524" i="2"/>
  <c r="U524" i="2"/>
  <c r="K524" i="2"/>
  <c r="Q524" i="2" s="1"/>
  <c r="S523" i="2"/>
  <c r="W523" i="2"/>
  <c r="K523" i="2"/>
  <c r="U523" i="2" s="1"/>
  <c r="C523" i="2"/>
  <c r="C524" i="2" s="1"/>
  <c r="C525" i="2" s="1"/>
  <c r="C526" i="2" s="1"/>
  <c r="S522" i="2"/>
  <c r="K522" i="2"/>
  <c r="S521" i="2"/>
  <c r="K521" i="2"/>
  <c r="S520" i="2"/>
  <c r="K520" i="2"/>
  <c r="U520" i="2" s="1"/>
  <c r="S519" i="2"/>
  <c r="K519" i="2"/>
  <c r="S518" i="2"/>
  <c r="K518" i="2"/>
  <c r="AR523" i="1" l="1"/>
  <c r="AR531" i="1" s="1"/>
  <c r="AL531" i="1"/>
  <c r="AL532" i="1" s="1"/>
  <c r="BA532" i="1"/>
  <c r="AR532" i="1"/>
  <c r="BG523" i="1"/>
  <c r="BG531" i="1" s="1"/>
  <c r="BE531" i="1"/>
  <c r="BE532" i="1" s="1"/>
  <c r="N532" i="1"/>
  <c r="AG532" i="1"/>
  <c r="BM523" i="1"/>
  <c r="BM531" i="1" s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G532" i="1" l="1"/>
  <c r="BE516" i="1"/>
  <c r="BA516" i="1"/>
  <c r="BK522" i="1" s="1"/>
  <c r="BK532" i="1" s="1"/>
  <c r="AL516" i="1"/>
  <c r="AR516" i="1" s="1"/>
  <c r="AG516" i="1"/>
  <c r="Z516" i="1"/>
  <c r="Q516" i="1"/>
  <c r="S523" i="1" s="1"/>
  <c r="S531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M514" i="2" s="1"/>
  <c r="S513" i="2"/>
  <c r="K513" i="2"/>
  <c r="S512" i="2"/>
  <c r="K512" i="2"/>
  <c r="S511" i="2"/>
  <c r="K511" i="2"/>
  <c r="BU531" i="1"/>
  <c r="BU532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531" i="1"/>
  <c r="BV532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AI516" i="1" l="1"/>
  <c r="AI523" i="1"/>
  <c r="AI531" i="1" s="1"/>
  <c r="AI532" i="1" s="1"/>
  <c r="BK515" i="1"/>
  <c r="BK518" i="1"/>
  <c r="BM518" i="1" s="1"/>
  <c r="S532" i="1"/>
  <c r="BM522" i="1"/>
  <c r="BM532" i="1" s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M515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U501" i="2" s="1"/>
  <c r="S500" i="2"/>
  <c r="K500" i="2"/>
  <c r="U500" i="2" s="1"/>
  <c r="S499" i="2"/>
  <c r="K499" i="2"/>
  <c r="S498" i="2"/>
  <c r="K498" i="2"/>
  <c r="S497" i="2"/>
  <c r="K497" i="2"/>
  <c r="Q502" i="2" l="1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657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502" i="3"/>
  <c r="AJ500" i="3"/>
  <c r="AJ503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621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43" i="1"/>
  <c r="D542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622" i="1"/>
  <c r="BG642" i="1"/>
  <c r="BG643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42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29" i="2"/>
  <c r="S357" i="2"/>
  <c r="AP657" i="1"/>
  <c r="BP643" i="1"/>
  <c r="BN640" i="1"/>
  <c r="BP640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621" i="1"/>
  <c r="BP621" i="1" s="1"/>
  <c r="BP623" i="1"/>
  <c r="BP624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44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41" i="1"/>
  <c r="BP641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Y644" i="1" l="1"/>
  <c r="BP649" i="1"/>
  <c r="Q358" i="2"/>
  <c r="M357" i="2"/>
  <c r="U357" i="2"/>
  <c r="M358" i="2"/>
  <c r="CL651" i="1"/>
  <c r="BA625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616" i="1"/>
  <c r="N618" i="1" s="1"/>
  <c r="N619" i="1" l="1"/>
  <c r="D619" i="1" s="1"/>
  <c r="N620" i="1"/>
  <c r="N621" i="1"/>
  <c r="D620" i="1" l="1"/>
  <c r="D621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607" i="1"/>
  <c r="BG607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52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37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31" i="1"/>
  <c r="G532" i="1" s="1"/>
  <c r="F531" i="1"/>
  <c r="F532" i="1" s="1"/>
  <c r="E531" i="1"/>
  <c r="E532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55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52" i="1" l="1"/>
  <c r="AR551" i="1"/>
  <c r="AP551" i="1"/>
  <c r="AR550" i="1"/>
  <c r="AP550" i="1"/>
  <c r="AV550" i="1" l="1"/>
  <c r="AV551" i="1"/>
  <c r="AV552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96" i="1"/>
  <c r="N214" i="1"/>
  <c r="N204" i="1"/>
  <c r="BA595" i="1" s="1"/>
  <c r="N174" i="1"/>
  <c r="BA594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95" i="1" l="1"/>
  <c r="BE595" i="1" s="1"/>
  <c r="Q218" i="2"/>
  <c r="BC596" i="1"/>
  <c r="BE596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64" i="1"/>
  <c r="H564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83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36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34" i="1"/>
  <c r="BK537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84" i="1"/>
  <c r="AP585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79" i="1"/>
  <c r="H580" i="1"/>
  <c r="J580" i="1" s="1"/>
  <c r="H581" i="1"/>
  <c r="J581" i="1" s="1"/>
  <c r="S154" i="2"/>
  <c r="M156" i="2" l="1"/>
  <c r="Q156" i="2"/>
  <c r="O581" i="1"/>
  <c r="AI154" i="1"/>
  <c r="AI161" i="1"/>
  <c r="BK160" i="1"/>
  <c r="BM160" i="1" s="1"/>
  <c r="AR154" i="1"/>
  <c r="BG154" i="1"/>
  <c r="U155" i="2"/>
  <c r="J579" i="1"/>
  <c r="J586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82" i="1"/>
  <c r="AA581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517" i="3"/>
  <c r="F518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57" i="1" l="1"/>
  <c r="AR549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56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61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48" i="1" s="1"/>
  <c r="AH113" i="1"/>
  <c r="AP548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48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68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31" i="1" s="1"/>
  <c r="V532" i="1" s="1"/>
  <c r="AH145" i="1"/>
  <c r="N143" i="1"/>
  <c r="AG555" i="1"/>
  <c r="AP549" i="1" s="1"/>
  <c r="AV549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93" i="1" l="1"/>
  <c r="BC594" i="1" s="1"/>
  <c r="BE594" i="1" s="1"/>
  <c r="BE605" i="1"/>
  <c r="BE609" i="1" s="1"/>
  <c r="S127" i="1"/>
  <c r="S128" i="1"/>
  <c r="BE119" i="1"/>
  <c r="BA119" i="1"/>
  <c r="AL119" i="1"/>
  <c r="AR119" i="1" s="1"/>
  <c r="Q119" i="1"/>
  <c r="S126" i="1" s="1"/>
  <c r="K120" i="2"/>
  <c r="BG596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605" i="1" s="1"/>
  <c r="AL113" i="1"/>
  <c r="K114" i="2"/>
  <c r="BA609" i="1" l="1"/>
  <c r="BC607" i="1"/>
  <c r="BG605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99" i="3"/>
  <c r="AA498" i="3"/>
  <c r="AA497" i="3"/>
  <c r="AA496" i="3"/>
  <c r="AA495" i="3"/>
  <c r="AA494" i="3"/>
  <c r="AA493" i="3"/>
  <c r="AA492" i="3"/>
  <c r="AA491" i="3"/>
  <c r="AA490" i="3"/>
  <c r="Y500" i="3"/>
  <c r="W500" i="3"/>
  <c r="S107" i="2"/>
  <c r="AA500" i="3" l="1"/>
  <c r="AA503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500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511" i="3"/>
  <c r="F514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47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47" i="1"/>
  <c r="AV547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501" i="3" l="1"/>
  <c r="I498" i="3"/>
  <c r="L498" i="3" s="1"/>
  <c r="I78" i="3"/>
  <c r="I80" i="3" s="1"/>
  <c r="I77" i="3"/>
  <c r="BE64" i="1"/>
  <c r="BA64" i="1"/>
  <c r="AL64" i="1"/>
  <c r="AR64" i="1" s="1"/>
  <c r="K65" i="2"/>
  <c r="Y19" i="3"/>
  <c r="Q66" i="2" l="1"/>
  <c r="M66" i="2"/>
  <c r="L501" i="3"/>
  <c r="I79" i="3"/>
  <c r="I81" i="3" s="1"/>
  <c r="I82" i="3" s="1"/>
  <c r="BG64" i="1"/>
  <c r="U65" i="2"/>
  <c r="S64" i="2"/>
  <c r="N81" i="3" l="1"/>
  <c r="N82" i="3" s="1"/>
  <c r="I500" i="3"/>
  <c r="L500" i="3" s="1"/>
  <c r="K64" i="2"/>
  <c r="BE63" i="1"/>
  <c r="BA63" i="1"/>
  <c r="AL63" i="1"/>
  <c r="AR63" i="1" s="1"/>
  <c r="Y18" i="3"/>
  <c r="Q65" i="2" l="1"/>
  <c r="M65" i="2"/>
  <c r="I502" i="3"/>
  <c r="U64" i="2"/>
  <c r="BG63" i="1"/>
  <c r="L491" i="3" l="1"/>
  <c r="L502" i="3"/>
  <c r="L490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41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92" i="1"/>
  <c r="B595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46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54" i="1"/>
  <c r="AR556" i="1" s="1"/>
  <c r="AV556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46" i="1"/>
  <c r="AV546" i="1" s="1"/>
  <c r="BA552" i="1" s="1"/>
  <c r="BA553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27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C527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U448" i="3" l="1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U456" i="3" l="1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U459" i="3" l="1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U464" i="3" l="1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U468" i="3" l="1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502" i="3"/>
  <c r="Y503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502" i="3"/>
  <c r="W503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65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618" i="1" s="1"/>
  <c r="O173" i="1"/>
  <c r="AV173" i="1"/>
  <c r="AC173" i="1"/>
  <c r="BE618" i="1" l="1"/>
  <c r="BA640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40" i="1" l="1"/>
  <c r="BP618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40" i="1" l="1"/>
  <c r="BC640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31" i="1" s="1"/>
  <c r="BA619" i="1" s="1"/>
  <c r="J235" i="1"/>
  <c r="O234" i="1"/>
  <c r="AC234" i="1"/>
  <c r="BE619" i="1" l="1"/>
  <c r="BA641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619" i="1" l="1"/>
  <c r="BE641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41" i="1" l="1"/>
  <c r="BC641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45" i="1"/>
  <c r="AV269" i="1"/>
  <c r="H546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33" i="1"/>
  <c r="BA620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26" i="1"/>
  <c r="AA403" i="1"/>
  <c r="AA404" i="1" s="1"/>
  <c r="AE402" i="1"/>
  <c r="BE620" i="1"/>
  <c r="BA642" i="1"/>
  <c r="BA643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27" i="1"/>
  <c r="BE644" i="1" s="1"/>
  <c r="AA405" i="1"/>
  <c r="AE404" i="1"/>
  <c r="AE403" i="1"/>
  <c r="BE624" i="1"/>
  <c r="BE642" i="1"/>
  <c r="BP620" i="1"/>
  <c r="AC329" i="1"/>
  <c r="J330" i="1"/>
  <c r="H330" i="1"/>
  <c r="AV329" i="1"/>
  <c r="O329" i="1"/>
  <c r="BE643" i="1" l="1"/>
  <c r="BC642" i="1"/>
  <c r="AX439" i="1"/>
  <c r="BW440" i="1"/>
  <c r="BW441" i="1" s="1"/>
  <c r="BN439" i="1"/>
  <c r="BR424" i="1"/>
  <c r="BP425" i="1"/>
  <c r="BP426" i="1" s="1"/>
  <c r="AE405" i="1"/>
  <c r="AA406" i="1"/>
  <c r="AA407" i="1" s="1"/>
  <c r="BR642" i="1"/>
  <c r="D624" i="1"/>
  <c r="AH523" i="1" s="1"/>
  <c r="AH531" i="1" s="1"/>
  <c r="BG624" i="1"/>
  <c r="AC330" i="1"/>
  <c r="J331" i="1"/>
  <c r="H331" i="1"/>
  <c r="O330" i="1"/>
  <c r="AV330" i="1"/>
  <c r="AA285" i="3"/>
  <c r="AA286" i="3"/>
  <c r="AA283" i="3"/>
  <c r="AA284" i="3"/>
  <c r="AA282" i="3"/>
  <c r="AH521" i="1" l="1"/>
  <c r="AH519" i="1"/>
  <c r="AH518" i="1"/>
  <c r="AH522" i="1"/>
  <c r="AH532" i="1" s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643" i="1"/>
  <c r="BC643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24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29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N523" i="1" l="1"/>
  <c r="BN531" i="1" s="1"/>
  <c r="AX523" i="1"/>
  <c r="AX531" i="1" s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AX532" i="1" l="1"/>
  <c r="BN532" i="1"/>
  <c r="BR510" i="1"/>
  <c r="BP511" i="1"/>
  <c r="AA492" i="1"/>
  <c r="AE491" i="1"/>
  <c r="AV397" i="1"/>
  <c r="J398" i="1"/>
  <c r="H398" i="1"/>
  <c r="O397" i="1"/>
  <c r="AC397" i="1"/>
  <c r="BR511" i="1" l="1"/>
  <c r="BP512" i="1"/>
  <c r="BP513" i="1" s="1"/>
  <c r="AE492" i="1"/>
  <c r="AA493" i="1"/>
  <c r="H399" i="1"/>
  <c r="J399" i="1"/>
  <c r="AV398" i="1"/>
  <c r="O398" i="1"/>
  <c r="AC398" i="1"/>
  <c r="BR513" i="1" l="1"/>
  <c r="BP514" i="1"/>
  <c r="BR512" i="1"/>
  <c r="AA494" i="1"/>
  <c r="AA495" i="1" s="1"/>
  <c r="AE493" i="1"/>
  <c r="J400" i="1"/>
  <c r="H400" i="1"/>
  <c r="AV399" i="1"/>
  <c r="O399" i="1"/>
  <c r="AC399" i="1"/>
  <c r="BR514" i="1" l="1"/>
  <c r="BP515" i="1"/>
  <c r="AA496" i="1"/>
  <c r="AE495" i="1"/>
  <c r="AE494" i="1"/>
  <c r="AV400" i="1"/>
  <c r="H401" i="1"/>
  <c r="J401" i="1"/>
  <c r="O400" i="1"/>
  <c r="AC400" i="1"/>
  <c r="BR515" i="1" l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R517" i="1" l="1"/>
  <c r="BP518" i="1"/>
  <c r="BR516" i="1"/>
  <c r="AA498" i="1"/>
  <c r="AA499" i="1" s="1"/>
  <c r="AE497" i="1"/>
  <c r="O402" i="1"/>
  <c r="J403" i="1"/>
  <c r="H403" i="1"/>
  <c r="AV402" i="1"/>
  <c r="AC402" i="1"/>
  <c r="BR518" i="1" l="1"/>
  <c r="BP519" i="1"/>
  <c r="AE499" i="1"/>
  <c r="AA500" i="1"/>
  <c r="AE498" i="1"/>
  <c r="J404" i="1"/>
  <c r="H404" i="1"/>
  <c r="AV403" i="1"/>
  <c r="O403" i="1"/>
  <c r="AC403" i="1"/>
  <c r="BR519" i="1" l="1"/>
  <c r="BP520" i="1"/>
  <c r="AA501" i="1"/>
  <c r="AE500" i="1"/>
  <c r="AV404" i="1"/>
  <c r="H405" i="1"/>
  <c r="J405" i="1"/>
  <c r="O404" i="1"/>
  <c r="AC404" i="1"/>
  <c r="BP521" i="1" l="1"/>
  <c r="BR520" i="1"/>
  <c r="AA502" i="1"/>
  <c r="AE501" i="1"/>
  <c r="AV405" i="1"/>
  <c r="J406" i="1"/>
  <c r="H406" i="1"/>
  <c r="O405" i="1"/>
  <c r="AC405" i="1"/>
  <c r="BP522" i="1" l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BP523" i="1" l="1"/>
  <c r="BR522" i="1"/>
  <c r="AA505" i="1"/>
  <c r="AE504" i="1"/>
  <c r="AE503" i="1"/>
  <c r="AV407" i="1"/>
  <c r="J408" i="1"/>
  <c r="H408" i="1"/>
  <c r="O407" i="1"/>
  <c r="AC407" i="1"/>
  <c r="BR523" i="1" l="1"/>
  <c r="BR531" i="1" s="1"/>
  <c r="BR532" i="1" s="1"/>
  <c r="BP531" i="1"/>
  <c r="BP532" i="1" s="1"/>
  <c r="AA506" i="1"/>
  <c r="AE505" i="1"/>
  <c r="AV408" i="1"/>
  <c r="J409" i="1"/>
  <c r="H409" i="1"/>
  <c r="O408" i="1"/>
  <c r="AC408" i="1"/>
  <c r="AE506" i="1" l="1"/>
  <c r="AA507" i="1"/>
  <c r="AV409" i="1"/>
  <c r="H410" i="1"/>
  <c r="J410" i="1"/>
  <c r="O409" i="1"/>
  <c r="AC409" i="1"/>
  <c r="AA365" i="3"/>
  <c r="AA363" i="3"/>
  <c r="AA364" i="3"/>
  <c r="AA362" i="3"/>
  <c r="AA508" i="1" l="1"/>
  <c r="AA509" i="1" s="1"/>
  <c r="AE507" i="1"/>
  <c r="AV410" i="1"/>
  <c r="H411" i="1"/>
  <c r="J411" i="1"/>
  <c r="O410" i="1"/>
  <c r="AC410" i="1"/>
  <c r="AA510" i="1" l="1"/>
  <c r="AE509" i="1"/>
  <c r="AE508" i="1"/>
  <c r="J412" i="1"/>
  <c r="H412" i="1"/>
  <c r="AV411" i="1"/>
  <c r="O411" i="1"/>
  <c r="AC411" i="1"/>
  <c r="AA511" i="1" l="1"/>
  <c r="AE510" i="1"/>
  <c r="AV412" i="1"/>
  <c r="J413" i="1"/>
  <c r="H413" i="1"/>
  <c r="O412" i="1"/>
  <c r="AC412" i="1"/>
  <c r="AE511" i="1" l="1"/>
  <c r="AA512" i="1"/>
  <c r="AA513" i="1" s="1"/>
  <c r="AV413" i="1"/>
  <c r="J414" i="1"/>
  <c r="H414" i="1"/>
  <c r="O413" i="1"/>
  <c r="AC413" i="1"/>
  <c r="AA514" i="1" l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A515" i="1" l="1"/>
  <c r="AE514" i="1"/>
  <c r="AV415" i="1"/>
  <c r="J416" i="1"/>
  <c r="H416" i="1"/>
  <c r="O415" i="1"/>
  <c r="AC415" i="1"/>
  <c r="AE515" i="1" l="1"/>
  <c r="AA516" i="1"/>
  <c r="AA517" i="1" s="1"/>
  <c r="AV416" i="1"/>
  <c r="J417" i="1"/>
  <c r="H417" i="1"/>
  <c r="O416" i="1"/>
  <c r="AC416" i="1"/>
  <c r="AA518" i="1" l="1"/>
  <c r="AE517" i="1"/>
  <c r="AE516" i="1"/>
  <c r="J418" i="1"/>
  <c r="H418" i="1"/>
  <c r="AV417" i="1"/>
  <c r="O417" i="1"/>
  <c r="AC417" i="1"/>
  <c r="AE518" i="1" l="1"/>
  <c r="AA519" i="1"/>
  <c r="AV418" i="1"/>
  <c r="H419" i="1"/>
  <c r="J419" i="1"/>
  <c r="O418" i="1"/>
  <c r="AC418" i="1"/>
  <c r="AA520" i="1" l="1"/>
  <c r="AE519" i="1"/>
  <c r="AV419" i="1"/>
  <c r="H420" i="1"/>
  <c r="J420" i="1"/>
  <c r="O419" i="1"/>
  <c r="AC419" i="1"/>
  <c r="AA375" i="3"/>
  <c r="AA373" i="3"/>
  <c r="AA374" i="3"/>
  <c r="AA372" i="3"/>
  <c r="AE520" i="1" l="1"/>
  <c r="AA521" i="1"/>
  <c r="J421" i="1"/>
  <c r="H421" i="1"/>
  <c r="AV420" i="1"/>
  <c r="O420" i="1"/>
  <c r="AC420" i="1"/>
  <c r="AE521" i="1" l="1"/>
  <c r="AA522" i="1"/>
  <c r="AA523" i="1" s="1"/>
  <c r="AV421" i="1"/>
  <c r="H422" i="1"/>
  <c r="O421" i="1"/>
  <c r="J422" i="1"/>
  <c r="AC421" i="1"/>
  <c r="AA531" i="1" l="1"/>
  <c r="AA532" i="1" s="1"/>
  <c r="AE523" i="1"/>
  <c r="AE531" i="1" s="1"/>
  <c r="AE522" i="1"/>
  <c r="AV422" i="1"/>
  <c r="J423" i="1"/>
  <c r="H423" i="1"/>
  <c r="O422" i="1"/>
  <c r="AC422" i="1"/>
  <c r="AE532" i="1" l="1"/>
  <c r="I21" i="3"/>
  <c r="I35" i="3" s="1"/>
  <c r="AJ21" i="2"/>
  <c r="AD49" i="2"/>
  <c r="AD51" i="2" s="1"/>
  <c r="AD53" i="2" s="1"/>
  <c r="AD55" i="2" s="1"/>
  <c r="AD57" i="2" s="1"/>
  <c r="AV423" i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O500" i="1"/>
  <c r="AC500" i="1"/>
  <c r="AV501" i="1" l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J504" i="1"/>
  <c r="AV503" i="1"/>
  <c r="O503" i="1"/>
  <c r="AC503" i="1"/>
  <c r="AV504" i="1" l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J509" i="1" l="1"/>
  <c r="H509" i="1"/>
  <c r="AV508" i="1"/>
  <c r="O508" i="1"/>
  <c r="AC508" i="1"/>
  <c r="AV509" i="1" l="1"/>
  <c r="J510" i="1"/>
  <c r="H510" i="1"/>
  <c r="O509" i="1"/>
  <c r="AC509" i="1"/>
  <c r="AV510" i="1" l="1"/>
  <c r="H511" i="1"/>
  <c r="J511" i="1"/>
  <c r="O510" i="1"/>
  <c r="AC510" i="1"/>
  <c r="AV511" i="1" l="1"/>
  <c r="J512" i="1"/>
  <c r="H512" i="1"/>
  <c r="O511" i="1"/>
  <c r="AC511" i="1"/>
  <c r="AA465" i="3"/>
  <c r="AA466" i="3"/>
  <c r="AA464" i="3"/>
  <c r="J513" i="1" l="1"/>
  <c r="H513" i="1"/>
  <c r="AV512" i="1"/>
  <c r="O512" i="1"/>
  <c r="AC512" i="1"/>
  <c r="BR644" i="1"/>
  <c r="CL660" i="1" s="1"/>
  <c r="CL662" i="1" s="1"/>
  <c r="AV513" i="1" l="1"/>
  <c r="J514" i="1"/>
  <c r="H514" i="1"/>
  <c r="O513" i="1"/>
  <c r="AC513" i="1"/>
  <c r="BA648" i="1"/>
  <c r="BC648" i="1" s="1"/>
  <c r="CL646" i="1"/>
  <c r="CL648" i="1"/>
  <c r="AV514" i="1" l="1"/>
  <c r="H515" i="1"/>
  <c r="I20" i="3" s="1"/>
  <c r="I23" i="3" s="1"/>
  <c r="I25" i="3" s="1"/>
  <c r="I27" i="3" s="1"/>
  <c r="J515" i="1"/>
  <c r="O514" i="1"/>
  <c r="AC514" i="1"/>
  <c r="N27" i="3" l="1"/>
  <c r="N28" i="3" s="1"/>
  <c r="I34" i="3"/>
  <c r="AV515" i="1"/>
  <c r="J516" i="1"/>
  <c r="H516" i="1"/>
  <c r="O515" i="1"/>
  <c r="AC515" i="1"/>
  <c r="AA470" i="3"/>
  <c r="AA471" i="3"/>
  <c r="AA468" i="3"/>
  <c r="AA469" i="3"/>
  <c r="AA467" i="3"/>
  <c r="J517" i="1" l="1"/>
  <c r="H517" i="1"/>
  <c r="AV516" i="1"/>
  <c r="O516" i="1"/>
  <c r="AC516" i="1"/>
  <c r="AV517" i="1" l="1"/>
  <c r="H518" i="1"/>
  <c r="J518" i="1"/>
  <c r="O517" i="1"/>
  <c r="AC517" i="1"/>
  <c r="AV518" i="1" l="1"/>
  <c r="H519" i="1"/>
  <c r="J519" i="1"/>
  <c r="O518" i="1"/>
  <c r="AC518" i="1"/>
  <c r="AV519" i="1" l="1"/>
  <c r="J520" i="1"/>
  <c r="H520" i="1"/>
  <c r="O519" i="1"/>
  <c r="AC519" i="1"/>
  <c r="AA477" i="3"/>
  <c r="AA475" i="3"/>
  <c r="AA476" i="3"/>
  <c r="AA473" i="3"/>
  <c r="AA474" i="3"/>
  <c r="AA472" i="3"/>
  <c r="AV520" i="1" l="1"/>
  <c r="O520" i="1"/>
  <c r="J521" i="1"/>
  <c r="H521" i="1"/>
  <c r="AC520" i="1"/>
  <c r="AV521" i="1" l="1"/>
  <c r="O521" i="1"/>
  <c r="J522" i="1"/>
  <c r="H522" i="1"/>
  <c r="AC521" i="1"/>
  <c r="J523" i="1" l="1"/>
  <c r="J531" i="1" s="1"/>
  <c r="J532" i="1" s="1"/>
  <c r="H523" i="1"/>
  <c r="AV522" i="1"/>
  <c r="O522" i="1"/>
  <c r="AC522" i="1"/>
  <c r="AV523" i="1" l="1"/>
  <c r="AV531" i="1" s="1"/>
  <c r="H531" i="1"/>
  <c r="H532" i="1" s="1"/>
  <c r="O523" i="1"/>
  <c r="O531" i="1" s="1"/>
  <c r="O532" i="1" s="1"/>
  <c r="AC523" i="1"/>
  <c r="AC531" i="1" s="1"/>
  <c r="AC532" i="1" s="1"/>
  <c r="AV532" i="1"/>
  <c r="I32" i="3"/>
  <c r="AF21" i="2"/>
  <c r="L35" i="3" l="1"/>
  <c r="I36" i="3"/>
  <c r="I28" i="3"/>
  <c r="L34" i="3"/>
  <c r="L32" i="3"/>
  <c r="L36" i="3" l="1"/>
  <c r="W478" i="3"/>
  <c r="AA478" i="3" s="1"/>
  <c r="Y121" i="3" l="1"/>
  <c r="Y12" i="3"/>
  <c r="Y350" i="3"/>
  <c r="Y214" i="3"/>
  <c r="Y244" i="3"/>
</calcChain>
</file>

<file path=xl/sharedStrings.xml><?xml version="1.0" encoding="utf-8"?>
<sst xmlns="http://schemas.openxmlformats.org/spreadsheetml/2006/main" count="373" uniqueCount="190">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</sst>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Table'!$BA$635:$BA$639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Table'!$AS$640:$AT$645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Table'!$BA$640:$BA$645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18014227.887108434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Table'!$BC$635:$BC$639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Table'!$AS$640:$AT$645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Table'!$BC$640:$BC$645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36659557.060120478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Table'!$BJ$635:$BJ$639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Table'!$AS$640:$AT$645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Table'!$BJ$640:$BJ$644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Table'!$BK$635:$BK$639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Table'!$AS$640:$AT$645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Table'!$BK$640:$BK$644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Table'!$BL$635:$BL$639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Table'!$AS$640:$AT$645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Table'!$BL$640:$BL$644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Table'!$BM$635:$BM$639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Table'!$AS$640:$AT$645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Table'!$BM$640:$BM$644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Table'!$BP$635:$BP$639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Table'!$AS$640:$AT$645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Table'!$BP$640:$BP$645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168360000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Table'!$AU$635:$AU$639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Table'!$AU$640:$AU$645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Table'!$AV$635:$AV$639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Table'!$AV$640:$AV$644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Table'!$AW$635:$AW$639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Table'!$AW$640:$AW$644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Table'!$AX$635:$AX$639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Table'!$AX$640:$AX$644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Table'!$AY$635:$AY$639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Table'!$AY$640:$AY$644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Table'!$AZ$635:$AZ$639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Table'!$AZ$640:$AZ$644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Table'!$BB$635:$BB$639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Table'!$BB$640:$BB$644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Table'!$BD$635:$BD$639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Table'!$BD$640:$BD$644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Table'!$BE$635:$BE$639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Table'!$BE$640:$BE$644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Table'!$BF$635:$BF$639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Table'!$BF$640:$BF$644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Table'!$BG$635:$BG$639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Table'!$BG$640:$BG$644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Table'!$BH$635:$BH$639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Table'!$BH$640:$BH$644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Table'!$BI$635:$BI$639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Table'!$BI$640:$BI$644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Table'!$BN$635:$BN$639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Table'!$BN$640:$BN$644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Table'!$BO$635:$BO$639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Table'!$BO$640:$BO$644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Table'!$BQ$635:$BQ$639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Table'!$BQ$640:$BQ$644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Table'!$BR$635:$BR$639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Table'!$BR$640:$BR$644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Table'!$BS$635:$BS$639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Table'!$BS$640:$BS$644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Table'!$BT$635:$BT$639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'Main Table'!$BR$640:$BR$645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223033784.94722891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Table'!$BU$635:$BU$639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Table'!$BU$640:$BU$644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Table'!$BV$635:$BV$639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Table'!$AS$640:$AT$645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Table'!$BV$640:$BV$644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544</xdr:row>
      <xdr:rowOff>99060</xdr:rowOff>
    </xdr:from>
    <xdr:to>
      <xdr:col>22</xdr:col>
      <xdr:colOff>312420</xdr:colOff>
      <xdr:row>545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544</xdr:row>
      <xdr:rowOff>129540</xdr:rowOff>
    </xdr:from>
    <xdr:to>
      <xdr:col>23</xdr:col>
      <xdr:colOff>68580</xdr:colOff>
      <xdr:row>545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562</xdr:row>
      <xdr:rowOff>125730</xdr:rowOff>
    </xdr:from>
    <xdr:to>
      <xdr:col>54</xdr:col>
      <xdr:colOff>213360</xdr:colOff>
      <xdr:row>577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652</xdr:row>
      <xdr:rowOff>91440</xdr:rowOff>
    </xdr:from>
    <xdr:to>
      <xdr:col>76</xdr:col>
      <xdr:colOff>472440</xdr:colOff>
      <xdr:row>675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76"/>
  <sheetViews>
    <sheetView tabSelected="1" topLeftCell="AM638" zoomScaleNormal="100" workbookViewId="0">
      <selection activeCell="CH669" sqref="CH66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593" t="s">
        <v>14</v>
      </c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81"/>
      <c r="BC6" s="581"/>
      <c r="BD6" s="85"/>
      <c r="BE6" s="596" t="s">
        <v>24</v>
      </c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81"/>
      <c r="BS6" s="581"/>
      <c r="BT6" s="581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1" t="s">
        <v>1</v>
      </c>
      <c r="BB8" s="592"/>
      <c r="BC8" s="592"/>
      <c r="BD8" s="63"/>
      <c r="BE8" s="592" t="s">
        <v>22</v>
      </c>
      <c r="BF8" s="592"/>
      <c r="BG8" s="592"/>
      <c r="BH8" s="592"/>
      <c r="BI8" s="605"/>
      <c r="BJ8" s="606" t="s">
        <v>111</v>
      </c>
      <c r="BK8" s="607"/>
      <c r="BL8" s="607"/>
      <c r="BM8" s="608"/>
      <c r="BN8" s="591" t="s">
        <v>22</v>
      </c>
      <c r="BO8" s="592"/>
      <c r="BP8" s="592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SUM(D102:D530)</f>
        <v>33576799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SUM(D109:D537)</f>
        <v>33395018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SUM(D116:D544)</f>
        <v>33846693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SUM(D123:D554)</f>
        <v>364451823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SUM(D124:D555)</f>
        <v>364390104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SUM(D125:D556)</f>
        <v>364331755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SUM(D126:D557)</f>
        <v>364266267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SUM(D127:D558)</f>
        <v>364200219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SUM(D128:D559)</f>
        <v>364128224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SUM(D129:D560)</f>
        <v>441054836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SUM(D130:D561)</f>
        <v>440979849.23262841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SUM(D131:D562)</f>
        <v>440916590.23262841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SUM(D132:D563)</f>
        <v>771851311.23262835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SUM(D133:D564)</f>
        <v>816142432.23262835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SUM(D134:D565)</f>
        <v>816074953.30462837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SUM(D135:D566)</f>
        <v>816002986.30462837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SUM(D136:D567)</f>
        <v>815933543.34662843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SUM(D137:D568)</f>
        <v>816856509.34662843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SUM(D138:D569)</f>
        <v>816789096.34662843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SUM(D139:D570)</f>
        <v>816732966.34662843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SUM(D140:D571)</f>
        <v>816671395.34662843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SUM(D141:D572)</f>
        <v>816606666.34662843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SUM(D142:D573)</f>
        <v>816539745.34662843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SUM(D143:D574)</f>
        <v>816471176.34662843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SUM(D144:D575)</f>
        <v>816400093.34662843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SUM(D145:D576)</f>
        <v>816341552.34662843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SUM(D146:D577)</f>
        <v>816292514.34662843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SUM(D147:D578)</f>
        <v>816243868.34662843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SUM(D148:D579)</f>
        <v>816189304.34662843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SUM(D149:D580)</f>
        <v>816134156.34662843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SUM(D150:D581)</f>
        <v>816075446.34662843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SUM(D151:D582)</f>
        <v>816012200.34662843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SUM(D152:D583)</f>
        <v>815958001.34662843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SUM(D153:D584)</f>
        <v>815910152.34662843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SUM(D154:D585)</f>
        <v>815860352.34662843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SUM(D155:D586)</f>
        <v>815805833.34662843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SUM(D156:D587)</f>
        <v>815751488.34662843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SUM(D157:D588)</f>
        <v>815696124.34662843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SUM(D158:D589)</f>
        <v>815635524.34662843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SUM(D159:D590)</f>
        <v>815582001.34662843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SUM(D160:D591)</f>
        <v>815545158.34662843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SUM(D161:D592)</f>
        <v>815504546.34662843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SUM(D162:D593)</f>
        <v>815460547.34662843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SUM(D163:D594)</f>
        <v>815415574.34662843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SUM(D164:D595)</f>
        <v>815370217.34662843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SUM(D165:D596)</f>
        <v>815319736.34662843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SUM(D166:D597)</f>
        <v>815275907.34662843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SUM(D167:D598)</f>
        <v>815243189.34662843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SUM(D168:D599)</f>
        <v>815201705.34662843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SUM(D169:D600)</f>
        <v>815161607.34662843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SUM(D170:D601)</f>
        <v>815116970.34662843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SUM(D171:D602)</f>
        <v>815070964.34662843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SUM(D172:D603)</f>
        <v>815021363.34662843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SUM(D173:D604)</f>
        <v>814978703.34662843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SUM(D174:D605)</f>
        <v>814944722.34662843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SUM(D175:D606)</f>
        <v>814906162.34662843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SUM(D176:D607)</f>
        <v>814864183.34662843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SUM(D177:D608)</f>
        <v>814822972.34662843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SUM(D178:D609)</f>
        <v>814777508.34662843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SUM(D179:D610)</f>
        <v>814724659.34662843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SUM(D180:D611)</f>
        <v>814682567.34662843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SUM(D181:D612)</f>
        <v>814651457.34662843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SUM(D182:D616)</f>
        <v>814626037.34662843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SUM(D183:D617)</f>
        <v>814597598.34662843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SUM(D184:D618)</f>
        <v>814562355.34662843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SUM(D185:D619)</f>
        <v>848237830.06091416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SUM(D186:D620)</f>
        <v>899048372.91805696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SUM(D187:D621)</f>
        <v>967580519.4894855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SUM(D188:D623)</f>
        <v>967548662.4894855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SUM(D189:D624)</f>
        <v>1145095866.060914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SUM(D190:D628)</f>
        <v>1145059419.060914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SUM(D191:D629)</f>
        <v>1145019265.060914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SUM(D192:D630)</f>
        <v>1144972970.060914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SUM(D193:D631)</f>
        <v>1144921625.060914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SUM(D194:D632)</f>
        <v>1144878012.060914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SUM(D195:D633)</f>
        <v>1144844626.060914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SUM(D196:D639)</f>
        <v>1144807822.060914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SUM(D197:D640)</f>
        <v>1144772126.060914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SUM(D198:D641)</f>
        <v>1144730510.060914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SUM(D199:D642)</f>
        <v>1144685155.060914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SUM(D200:D644)</f>
        <v>1144631526.060914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SUM(D201:D646)</f>
        <v>1144588320.060914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SUM(D202:D647)</f>
        <v>1144554538.060914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SUM(D203:D648)</f>
        <v>1144517120.060914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SUM(D204:D649)</f>
        <v>1144472893.060914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SUM(D205:D650)</f>
        <v>1144431964.060914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SUM(D206:D651)</f>
        <v>1144384575.060914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SUM(D207:D652)</f>
        <v>1144333172.060914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SUM(D208:D653)</f>
        <v>1144284247.060914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SUM(D209:D654)</f>
        <v>1144250181.060914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SUM(D210:D655)</f>
        <v>1144212464.060914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SUM(D211:D656)</f>
        <v>1144167796.060914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SUM(D212:D657)</f>
        <v>1144118438.060914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SUM(D213:D658)</f>
        <v>1144061120.060914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SUM(D214:D659)</f>
        <v>1144000137.060914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SUM(D215:D660)</f>
        <v>1143945902.060914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SUM(D216:D661)</f>
        <v>1143903967.060914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SUM(D217:D662)</f>
        <v>1143858176.060914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SUM(D218:D663)</f>
        <v>1143806642.060914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SUM(D219:D664)</f>
        <v>1143746949.060914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SUM(D220:D665)</f>
        <v>1143680820.060914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SUM(D221:D666)</f>
        <v>1143609133.060914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SUM(D222:D667)</f>
        <v>1143554901.060914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SUM(D223:D668)</f>
        <v>1143509960.060914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SUM(D224:D669)</f>
        <v>1143452633.060914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SUM(D225:D670)</f>
        <v>1143390561.060914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SUM(D226:D671)</f>
        <v>1143326898.060914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SUM(D227:D672)</f>
        <v>1143252597.060914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SUM(D228:D673)</f>
        <v>1143171183.060914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SUM(D229:D674)</f>
        <v>1143091734.060914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SUM(D230:D675)</f>
        <v>1143030845.060914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SUM(D231:D676)</f>
        <v>1142961004.060914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SUM(D232:D677)</f>
        <v>1142885932.060914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SUM(D233:D678)</f>
        <v>1142804351.060914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SUM(D234:D679)</f>
        <v>1142712821.060914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SUM(D235:D680)</f>
        <v>1142611360.060914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SUM(D236:D681)</f>
        <v>1142525067.060914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SUM(D237:D682)</f>
        <v>1142453746.060914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SUM(D238:D683)</f>
        <v>1142364841.060914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SUM(D239:D684)</f>
        <v>1142270374.060914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SUM(D240:D685)</f>
        <v>1142161985.060914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SUM(D241:D686)</f>
        <v>1142043666.060914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SUM(D242:D687)</f>
        <v>1141911125.060914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SUM(D243:D688)</f>
        <v>1141786735.060914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SUM(D244:D689)</f>
        <v>1141684009.060914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SUM(D245:D690)</f>
        <v>1141558320.060914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SUM(D246:D691)</f>
        <v>1141422667.060914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SUM(D247:D692)</f>
        <v>1141279761.060914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SUM(D248:D693)</f>
        <v>1141118220.060914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SUM(D249:D694)</f>
        <v>1140934693.060914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SUM(D250:D695)</f>
        <v>1140777440.060914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SUM(D251:D696)</f>
        <v>1140639191.060914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SUM(D252:D697)</f>
        <v>1140477042.060914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SUM(D253:D698)</f>
        <v>1140319781.060914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SUM(D254:D699)</f>
        <v>1140146013.060914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SUM(D255:D700)</f>
        <v>1139953827.060914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SUM(D256:D701)</f>
        <v>1139749648.060914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SUM(D257:D702)</f>
        <v>1139576809.060914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SUM(D258:D703)</f>
        <v>1139440182.060914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SUM(D259:D704)</f>
        <v>1139267882.060914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SUM(D260:D705)</f>
        <v>1139090800.060914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SUM(D261:D706)</f>
        <v>1138909897.060914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SUM(D262:D707)</f>
        <v>1138801834.060914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SUM(D263:D708)</f>
        <v>1138637822.060914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SUM(D264:D709)</f>
        <v>1138494449.060914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SUM(D265:D710)</f>
        <v>1138356261.060914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SUM(D266:D711)</f>
        <v>1138194693.060914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SUM(D267:D712)</f>
        <v>1138012417.060914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SUM(D268:D713)</f>
        <v>1137808680.060914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SUM(D269:D714)</f>
        <v>1137590104.060914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SUM(D270:D715)</f>
        <v>1137354832.060914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SUM(D271:D716)</f>
        <v>1137142349.060914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SUM(D272:D717)</f>
        <v>1136959570.060914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SUM(D273:D718)</f>
        <v>1136759485.060914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SUM(D274:D719)</f>
        <v>1136549729.060914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SUM(D275:D720)</f>
        <v>1136322776.060914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SUM(D276:D721)</f>
        <v>1136095462.060914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SUM(D277:D722)</f>
        <v>1135848701.060914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SUM(D278:D723)</f>
        <v>1135628403.060914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SUM(D279:D724)</f>
        <v>1135440502.060914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SUM(D280:D725)</f>
        <v>1135240770.060914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SUM(D281:D726)</f>
        <v>1135040735.060914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SUM(D282:D727)</f>
        <v>1134790562.060914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SUM(D283:D728)</f>
        <v>1134552690.060914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SUM(D284:D729)</f>
        <v>1134298010.060914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SUM(D285:D730)</f>
        <v>1134108360.060914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SUM(D286:D731)</f>
        <v>1133920080.060914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SUM(D287:D732)</f>
        <v>1133719971.060914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SUM(D288:D733)</f>
        <v>1133520891.060914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SUM(D289:D734)</f>
        <v>1133288549.060914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SUM(D290:D735)</f>
        <v>1133095519.060914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SUM(D291:D736)</f>
        <v>1132996679.060914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SUM(D292:D737)</f>
        <v>1132836075.060914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SUM(D293:D738)</f>
        <v>1132708335.060914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SUM(D294:D739)</f>
        <v>1132521944.060914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SUM(D295:D740)</f>
        <v>1132322322.060914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SUM(D296:D741)</f>
        <v>1132087547.060914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SUM(D297:D742)</f>
        <v>1131859134.060914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SUM(D298:D743)</f>
        <v>1131693090.060914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SUM(D299:D744)</f>
        <v>1131460863.060914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SUM(D300:D745)</f>
        <v>1131266526.060914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SUM(D301:D746)</f>
        <v>1131076364.060914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SUM(D302:D747)</f>
        <v>1130841653.060914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SUM(D303:D748)</f>
        <v>1130580680.060914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SUM(D304:D749)</f>
        <v>1130306490.060914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SUM(D305:D750)</f>
        <v>1130000041.060914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SUM(D306:D751)</f>
        <v>1129750347.060914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SUM(D307:D752)</f>
        <v>1129529520.060914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SUM(D308:D753)</f>
        <v>1129314837.060914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SUM(D309:D754)</f>
        <v>1129091209.060914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SUM(D310:D755)</f>
        <v>1128853136.060914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SUM(D311:D756)</f>
        <v>1128618717.060914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SUM(D312:D757)</f>
        <v>1128369911.060914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SUM(D313:D758)</f>
        <v>1128167144.060914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SUM(D314:D759)</f>
        <v>1127992584.060914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SUM(D315:D760)</f>
        <v>1127843256.060914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SUM(D316:D761)</f>
        <v>1127668878.060914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SUM(D317:D762)</f>
        <v>1127478797.060914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SUM(D318:D763)</f>
        <v>1127285039.060914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SUM(D319:D764)</f>
        <v>1127092974.060914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SUM(D320:D765)</f>
        <v>1126919907.060914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SUM(D321:D766)</f>
        <v>1126784725.060914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SUM(D322:D767)</f>
        <v>1126632481.060914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SUM(D323:D768)</f>
        <v>1126480754.060914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SUM(D324:D769)</f>
        <v>1126320723.060914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SUM(D325:D770)</f>
        <v>1126158090.060914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SUM(D326:D771)</f>
        <v>1125989057.060914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SUM(D327:D772)</f>
        <v>1125848325.060914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SUM(D328:D773)</f>
        <v>1125740509.060914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SUM(D329:D774)</f>
        <v>1125614057.060914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SUM(D330:D775)</f>
        <v>1125497830.060914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SUM(D331:D776)</f>
        <v>1125384371.060914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SUM(D332:D777)</f>
        <v>1125262634.060914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SUM(D333:D778)</f>
        <v>1125136509.060914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SUM(D334:D779)</f>
        <v>1125030526.060914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SUM(D335:D780)</f>
        <v>1124939270.060914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SUM(D336:D781)</f>
        <v>1124848924.060914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SUM(D337:D782)</f>
        <v>1124753382.060914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SUM(D338:D783)</f>
        <v>1124656576.060914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SUM(D339:D784)</f>
        <v>1124552332.060914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SUM(D340:D785)</f>
        <v>1124452044.060914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SUM(D341:D786)</f>
        <v>1124365560.060914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SUM(D342:D787)</f>
        <v>1124301263.060914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SUM(D343:D788)</f>
        <v>1124248478.060914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SUM(D344:D789)</f>
        <v>1124185080.060914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SUM(D345:D790)</f>
        <v>1124113440.060914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SUM(D346:D791)</f>
        <v>1124044516.060914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SUM(D347:D792)</f>
        <v>1123958977.060914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SUM(D348:D793)</f>
        <v>1123889360.060914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SUM(D349:D794)</f>
        <v>1123832135.060914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SUM(D350:D795)</f>
        <v>1123761081.060914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SUM(D351:D796)</f>
        <v>1123687377.060914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SUM(D352:D797)</f>
        <v>1123612078.060914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SUM(D353:D798)</f>
        <v>1123534701.060914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SUM(D354:D799)</f>
        <v>1123454076.060914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SUM(D355:D800)</f>
        <v>1123389756.060914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SUM(D356:D801)</f>
        <v>1123340344.060914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SUM(D357:D802)</f>
        <v>1123285163.060914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SUM(D358:D803)</f>
        <v>1123228273.060914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SUM(D359:D804)</f>
        <v>1123161048.060914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SUM(D360:D805)</f>
        <v>1123092727.060914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SUM(D361:D806)</f>
        <v>1123023487.060914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SUM(D362:D807)</f>
        <v>1122965259.060914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SUM(D363:D808)</f>
        <v>1122923292.060914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SUM(D364:D809)</f>
        <v>1122877924.060914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SUM(D365:D810)</f>
        <v>1122822241.060914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523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SUM(D366:D811)</f>
        <v>1122760881.060914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SUM(D367:D812)</f>
        <v>1122698108.060914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SUM(D368:D813)</f>
        <v>1122631323.060914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SUM(D369:D814)</f>
        <v>1122581605.060914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SUM(D370:D815)</f>
        <v>1122544709.060914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SUM(D371:D816)</f>
        <v>1122497942.060914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SUM(D372:D817)</f>
        <v>1122444711.060914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SUM(D373:D818)</f>
        <v>1122381216.060914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SUM(D374:D819)</f>
        <v>1122318587.060914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SUM(D375:D820)</f>
        <v>1122252174.060914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SUM(D376:D821)</f>
        <v>1122196266.060914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SUM(D377:D822)</f>
        <v>1122156761.060914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SUM(D378:D823)</f>
        <v>1122111013.060914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SUM(D379:D824)</f>
        <v>1122052308.060914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SUM(D380:D825)</f>
        <v>1121985770.060914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SUM(D381:D826)</f>
        <v>1121918724.060914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SUM(D382:D827)</f>
        <v>1121841748.060914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SUM(D383:D828)</f>
        <v>1121778089.060914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SUM(D384:D829)</f>
        <v>1121733993.060914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SUM(D385:D830)</f>
        <v>1121673795.060914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SUM(D386:D831)</f>
        <v>1121611336.060914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SUM(D387:D832)</f>
        <v>1121542580.060914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SUM(D388:D833)</f>
        <v>1121498329.060914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SUM(D389:D834)</f>
        <v>1121428305.060914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SUM(D390:D835)</f>
        <v>1121362151.060914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SUM(D391:D836)</f>
        <v>1121325168.060914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SUM(D392:D837)</f>
        <v>1121267524.060914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SUM(D393:D838)</f>
        <v>1121205241.060914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SUM(D394:D839)</f>
        <v>1121130058.060914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SUM(D395:D840)</f>
        <v>1121049897.060914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SUM(D396:D841)</f>
        <v>1120964529.060914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SUM(D397:D842)</f>
        <v>1120897749.060914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SUM(D398:D843)</f>
        <v>1120849875.060914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SUM(D399:D844)</f>
        <v>1120793353.060914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SUM(D400:D845)</f>
        <v>1120715633.060914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SUM(D401:D846)</f>
        <v>1120637194.060914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SUM(D402:D847)</f>
        <v>1120562715.060914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SUM(D403:D848)</f>
        <v>1120480942.060914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SUM(D404:D849)</f>
        <v>1120417361.060914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SUM(D405:D850)</f>
        <v>1120374180.060914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SUM(D406:D851)</f>
        <v>1120322530.060914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SUM(D407:D852)</f>
        <v>1120262213.060914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SUM(D408:D853)</f>
        <v>1120197156.060914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SUM(D409:D854)</f>
        <v>1120130086.060914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SUM(D410:D855)</f>
        <v>1120063571.060914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SUM(D411:D856)</f>
        <v>1120010291.060914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SUM(D412:D857)</f>
        <v>1119975555.060914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SUM(D413:D858)</f>
        <v>1119928099.060914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SUM(D414:D859)</f>
        <v>1119876053.060914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SUM(D415:D860)</f>
        <v>1119819449.060914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SUM(D416:D861)</f>
        <v>1119760180.060914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SUM(D417:D862)</f>
        <v>1119700274.060914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SUM(D418:D863)</f>
        <v>1119658240.060914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SUM(D419:D864)</f>
        <v>1119627539.060914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SUM(D420:D865)</f>
        <v>1119587085.060914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SUM(D421:D866)</f>
        <v>1119544731.060914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SUM(D422:D867)</f>
        <v>1119498602.060914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SUM(D423:D868)</f>
        <v>1119450783.060914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SUM(D424:D869)</f>
        <v>1119401292.060914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SUM(D425:D870)</f>
        <v>1119365537.060914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SUM(D426:D871)</f>
        <v>1119343337.060914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SUM(D427:D872)</f>
        <v>1119313185.060914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SUM(D428:D873)</f>
        <v>1119278281.060914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SUM(D429:D874)</f>
        <v>1119242465.060914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SUM(D430:D875)</f>
        <v>1119202640.060914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SUM(D431:D876)</f>
        <v>1119163545.060914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SUM(D432:D877)</f>
        <v>1119137903.060914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SUM(D433:D878)</f>
        <v>1119120069.060914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SUM(D434:D879)</f>
        <v>1119095039.060914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SUM(D435:D880)</f>
        <v>1119067533.060914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SUM(D436:D881)</f>
        <v>1119038992.060914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SUM(D437:D882)</f>
        <v>1119008778.060914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SUM(D438:D883)</f>
        <v>1118979764.060914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SUM(D439:D884)</f>
        <v>1118960125.060914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SUM(D440:D885)</f>
        <v>1118946584.060914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SUM(D441:D886)</f>
        <v>1118926218.060914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SUM(D442:D887)</f>
        <v>1118903480.060914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523" si="1175">+BW470+1</f>
        <v>462</v>
      </c>
    </row>
    <row r="472" spans="2:7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SUM(D443:D888)</f>
        <v>1118879980.060914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7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SUM(D444:D889)</f>
        <v>1118855587.060914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75" x14ac:dyDescent="0.3">
      <c r="B474" s="347">
        <f t="shared" si="424"/>
        <v>44374</v>
      </c>
      <c r="C474" s="61"/>
      <c r="D474" s="17">
        <v>7306</v>
      </c>
      <c r="E474" s="16"/>
      <c r="F474" s="16"/>
      <c r="G474" s="16"/>
      <c r="H474" s="16">
        <f t="shared" ref="H474" si="1226">+H473+D474</f>
        <v>33981895</v>
      </c>
      <c r="I474" s="16"/>
      <c r="J474" s="436">
        <f t="shared" ref="J474" si="1227">+D474/H473</f>
        <v>2.1504307233856458E-4</v>
      </c>
      <c r="K474" s="16"/>
      <c r="L474" s="16"/>
      <c r="M474" s="16"/>
      <c r="N474" s="16">
        <f t="shared" ref="N474" si="1228">SUM(D468:D474)</f>
        <v>80883</v>
      </c>
      <c r="O474" s="16">
        <f t="shared" ref="O474" si="1229">+H474/BW474</f>
        <v>73079.344086021505</v>
      </c>
      <c r="P474" s="41"/>
      <c r="Q474" s="17">
        <f t="shared" ref="Q474" si="1230">SUM(D468:D474)</f>
        <v>80883</v>
      </c>
      <c r="R474" s="16"/>
      <c r="S474" s="60">
        <f t="shared" ref="S474" si="1231">+(Q474-Q467)/Q467</f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ref="Z474" si="1232">SUM(W469:W474)</f>
        <v>1782</v>
      </c>
      <c r="AA474" s="33">
        <f t="shared" ref="AA474" si="1233">+AA473+W474</f>
        <v>604688</v>
      </c>
      <c r="AB474" s="33"/>
      <c r="AC474" s="46">
        <f t="shared" ref="AC474" si="1234">+AA474/H474</f>
        <v>1.779441670336513E-2</v>
      </c>
      <c r="AD474" s="33"/>
      <c r="AE474" s="33">
        <f t="shared" ref="AE474" si="1235">+AA474/BW474</f>
        <v>1300.4043010752689</v>
      </c>
      <c r="AF474" s="50"/>
      <c r="AG474" s="33">
        <f t="shared" ref="AG474" si="1236">SUM(W468:W474)</f>
        <v>2019</v>
      </c>
      <c r="AH474" s="33">
        <f t="shared" ref="AH474" si="1237">SUM(D445:D890)</f>
        <v>1118832774.060914</v>
      </c>
      <c r="AI474" s="213">
        <f t="shared" ref="AI474" si="1238">+(AG474-AG467)/AG467</f>
        <v>-2.1328162869607366E-2</v>
      </c>
      <c r="AJ474" s="50"/>
      <c r="AK474" s="111"/>
      <c r="AL474" s="23">
        <f t="shared" ref="AL474" si="1239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0">+AL474/AP473</f>
        <v>5.6037258932049242E-4</v>
      </c>
      <c r="AS474" s="25"/>
      <c r="AT474" s="25"/>
      <c r="AU474" s="24"/>
      <c r="AV474" s="298">
        <f t="shared" ref="AV474" si="1241">+AP474/H474</f>
        <v>0.85130943992381825</v>
      </c>
      <c r="AW474" s="298"/>
      <c r="AX474" s="24">
        <f t="shared" ref="AX474" si="1242">+AP474/BW474</f>
        <v>62213.135483870967</v>
      </c>
      <c r="AY474" s="308"/>
      <c r="AZ474" s="111"/>
      <c r="BA474" s="65">
        <f t="shared" ref="BA474" si="1243">+BC474-BC473</f>
        <v>366543</v>
      </c>
      <c r="BB474" s="66"/>
      <c r="BC474" s="66">
        <v>503824217</v>
      </c>
      <c r="BD474" s="66"/>
      <c r="BE474" s="66">
        <f t="shared" ref="BE474" si="1244">+D474</f>
        <v>7306</v>
      </c>
      <c r="BF474" s="66"/>
      <c r="BG474" s="144">
        <f t="shared" ref="BG474" si="1245">+BE474/BA474</f>
        <v>1.9932177125194041E-2</v>
      </c>
      <c r="BH474" s="66"/>
      <c r="BI474" s="170"/>
      <c r="BJ474" s="66"/>
      <c r="BK474" s="66">
        <f t="shared" ref="BK474" si="1246">SUM(BA468:BA474)</f>
        <v>4762492</v>
      </c>
      <c r="BL474" s="66"/>
      <c r="BM474" s="144">
        <f t="shared" ref="BM474" si="1247">+Q474/BK474</f>
        <v>1.6983335615051953E-2</v>
      </c>
      <c r="BN474" s="65">
        <f t="shared" ref="BN474" si="1248">+BC474/BW474</f>
        <v>1083492.9397849462</v>
      </c>
      <c r="BO474" s="66"/>
      <c r="BP474" s="66">
        <f t="shared" ref="BP474" si="1249">+BP473+BE474</f>
        <v>33074917</v>
      </c>
      <c r="BQ474" s="66"/>
      <c r="BR474" s="435">
        <f t="shared" ref="BR474" si="1250">+BP474/BC474</f>
        <v>6.5647731657170416E-2</v>
      </c>
      <c r="BS474" s="66"/>
      <c r="BT474" s="75"/>
      <c r="BU474" s="170"/>
      <c r="BV474" s="1"/>
      <c r="BW474" s="61">
        <f t="shared" si="1175"/>
        <v>465</v>
      </c>
    </row>
    <row r="475" spans="2:75" x14ac:dyDescent="0.3">
      <c r="B475" s="158">
        <f t="shared" si="424"/>
        <v>44375</v>
      </c>
      <c r="C475" s="61"/>
      <c r="D475" s="17">
        <v>11982</v>
      </c>
      <c r="E475" s="16"/>
      <c r="F475" s="16"/>
      <c r="G475" s="16"/>
      <c r="H475" s="16">
        <f t="shared" ref="H475" si="1251">+H474+D475</f>
        <v>33993877</v>
      </c>
      <c r="I475" s="16"/>
      <c r="J475" s="436">
        <f t="shared" ref="J475" si="1252">+D475/H474</f>
        <v>3.52599523952387E-4</v>
      </c>
      <c r="K475" s="16"/>
      <c r="L475" s="16"/>
      <c r="M475" s="16"/>
      <c r="N475" s="16">
        <f t="shared" ref="N475" si="1253">SUM(D469:D475)</f>
        <v>83110</v>
      </c>
      <c r="O475" s="16">
        <f t="shared" ref="O475" si="1254">+H475/BW475</f>
        <v>72948.2339055794</v>
      </c>
      <c r="P475" s="41"/>
      <c r="Q475" s="17">
        <f t="shared" ref="Q475" si="1255">SUM(D469:D475)</f>
        <v>83110</v>
      </c>
      <c r="R475" s="16"/>
      <c r="S475" s="60">
        <f t="shared" ref="S475" si="1256">+(Q475-Q468)/Q468</f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ref="Z475" si="1257">SUM(W470:W475)</f>
        <v>1515</v>
      </c>
      <c r="AA475" s="33">
        <f t="shared" ref="AA475" si="1258">+AA474+W475</f>
        <v>604852</v>
      </c>
      <c r="AB475" s="33"/>
      <c r="AC475" s="46">
        <f t="shared" ref="AC475" si="1259">+AA475/H475</f>
        <v>1.7792969010272056E-2</v>
      </c>
      <c r="AD475" s="33"/>
      <c r="AE475" s="33">
        <f t="shared" ref="AE475" si="1260">+AA475/BW475</f>
        <v>1297.9656652360516</v>
      </c>
      <c r="AF475" s="50"/>
      <c r="AG475" s="33">
        <f t="shared" ref="AG475" si="1261">SUM(W469:W475)</f>
        <v>1946</v>
      </c>
      <c r="AH475" s="33">
        <f t="shared" ref="AH475" si="1262">SUM(D446:D891)</f>
        <v>1118820113.060914</v>
      </c>
      <c r="AI475" s="213">
        <f t="shared" ref="AI475" si="1263">+(AG475-AG468)/AG468</f>
        <v>-4.98046875E-2</v>
      </c>
      <c r="AJ475" s="50"/>
      <c r="AK475" s="111"/>
      <c r="AL475" s="23">
        <f t="shared" ref="AL475" si="1264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65">+AL475/AP474</f>
        <v>1.7197903232965221E-3</v>
      </c>
      <c r="AS475" s="25"/>
      <c r="AT475" s="25"/>
      <c r="AU475" s="24"/>
      <c r="AV475" s="298">
        <f t="shared" ref="AV475" si="1266">+AP475/H475</f>
        <v>0.85247293211068564</v>
      </c>
      <c r="AW475" s="298"/>
      <c r="AX475" s="24">
        <f t="shared" ref="AX475" si="1267">+AP475/BW475</f>
        <v>62186.394849785407</v>
      </c>
      <c r="AY475" s="308"/>
      <c r="AZ475" s="111"/>
      <c r="BA475" s="65">
        <f t="shared" ref="BA475" si="1268">+BC475-BC474</f>
        <v>1053856</v>
      </c>
      <c r="BB475" s="66"/>
      <c r="BC475" s="66">
        <v>504878073</v>
      </c>
      <c r="BD475" s="66"/>
      <c r="BE475" s="66">
        <f t="shared" ref="BE475" si="1269">+D475</f>
        <v>11982</v>
      </c>
      <c r="BF475" s="66"/>
      <c r="BG475" s="144">
        <f t="shared" ref="BG475" si="1270">+BE475/BA475</f>
        <v>1.1369674794279295E-2</v>
      </c>
      <c r="BH475" s="66"/>
      <c r="BI475" s="170"/>
      <c r="BJ475" s="66"/>
      <c r="BK475" s="66">
        <f t="shared" ref="BK475" si="1271">SUM(BA469:BA475)</f>
        <v>4569067</v>
      </c>
      <c r="BL475" s="66"/>
      <c r="BM475" s="144">
        <f t="shared" ref="BM475" si="1272">+Q475/BK475</f>
        <v>1.8189709190081914E-2</v>
      </c>
      <c r="BN475" s="65">
        <f t="shared" ref="BN475" si="1273">+BC475/BW475</f>
        <v>1083429.3412017168</v>
      </c>
      <c r="BO475" s="66"/>
      <c r="BP475" s="66">
        <f t="shared" ref="BP475" si="1274">+BP474+BE475</f>
        <v>33086899</v>
      </c>
      <c r="BQ475" s="66"/>
      <c r="BR475" s="435">
        <f t="shared" ref="BR475" si="1275">+BP475/BC475</f>
        <v>6.5534434489096932E-2</v>
      </c>
      <c r="BS475" s="66"/>
      <c r="BT475" s="75"/>
      <c r="BU475" s="170"/>
      <c r="BV475" s="1"/>
      <c r="BW475" s="61">
        <f t="shared" si="1175"/>
        <v>466</v>
      </c>
    </row>
    <row r="476" spans="2:75" x14ac:dyDescent="0.3">
      <c r="B476" s="158">
        <f t="shared" si="424"/>
        <v>44376</v>
      </c>
      <c r="C476" s="61"/>
      <c r="D476" s="17">
        <v>11427</v>
      </c>
      <c r="E476" s="16"/>
      <c r="F476" s="16"/>
      <c r="G476" s="16"/>
      <c r="H476" s="16">
        <f t="shared" ref="H476" si="1276">+H475+D476</f>
        <v>34005304</v>
      </c>
      <c r="I476" s="16"/>
      <c r="J476" s="436">
        <f t="shared" ref="J476" si="1277">+D476/H475</f>
        <v>3.3614877173321534E-4</v>
      </c>
      <c r="K476" s="16"/>
      <c r="L476" s="16"/>
      <c r="M476" s="16"/>
      <c r="N476" s="16">
        <f t="shared" ref="N476" si="1278">SUM(D470:D476)</f>
        <v>81663</v>
      </c>
      <c r="O476" s="16">
        <f t="shared" ref="O476" si="1279">+H476/BW476</f>
        <v>72816.496788008561</v>
      </c>
      <c r="P476" s="41"/>
      <c r="Q476" s="17">
        <f t="shared" ref="Q476" si="1280">SUM(D470:D476)</f>
        <v>81663</v>
      </c>
      <c r="R476" s="16"/>
      <c r="S476" s="60">
        <f t="shared" ref="S476" si="1281">+(Q476-Q469)/Q469</f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ref="Z476" si="1282">SUM(W471:W476)</f>
        <v>1480</v>
      </c>
      <c r="AA476" s="33">
        <f t="shared" ref="AA476" si="1283">+AA475+W476</f>
        <v>605146</v>
      </c>
      <c r="AB476" s="33"/>
      <c r="AC476" s="46">
        <f t="shared" ref="AC476" si="1284">+AA476/H476</f>
        <v>1.7795635645545177E-2</v>
      </c>
      <c r="AD476" s="33"/>
      <c r="AE476" s="33">
        <f t="shared" ref="AE476" si="1285">+AA476/BW476</f>
        <v>1295.8158458244111</v>
      </c>
      <c r="AF476" s="50"/>
      <c r="AG476" s="33">
        <f t="shared" ref="AG476" si="1286">SUM(W470:W476)</f>
        <v>1809</v>
      </c>
      <c r="AH476" s="33">
        <f t="shared" ref="AH476" si="1287">SUM(D447:D892)</f>
        <v>1118812363.060914</v>
      </c>
      <c r="AI476" s="213">
        <f t="shared" ref="AI476" si="1288">+(AG476-AG469)/AG469</f>
        <v>-0.14910630291627469</v>
      </c>
      <c r="AJ476" s="50"/>
      <c r="AK476" s="111"/>
      <c r="AL476" s="23">
        <f t="shared" ref="AL476" si="1289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0">+AL476/AP475</f>
        <v>9.8392414332378834E-4</v>
      </c>
      <c r="AS476" s="25"/>
      <c r="AT476" s="25"/>
      <c r="AU476" s="24"/>
      <c r="AV476" s="298">
        <f t="shared" ref="AV476" si="1291">+AP476/H476</f>
        <v>0.8530249575183918</v>
      </c>
      <c r="AW476" s="298"/>
      <c r="AX476" s="24">
        <f t="shared" ref="AX476" si="1292">+AP476/BW476</f>
        <v>62114.289079229122</v>
      </c>
      <c r="AY476" s="308"/>
      <c r="AZ476" s="111"/>
      <c r="BA476" s="65">
        <f t="shared" ref="BA476" si="1293">+BC476-BC475</f>
        <v>514526</v>
      </c>
      <c r="BB476" s="66"/>
      <c r="BC476" s="66">
        <v>505392599</v>
      </c>
      <c r="BD476" s="66"/>
      <c r="BE476" s="66">
        <f t="shared" ref="BE476" si="1294">+D476</f>
        <v>11427</v>
      </c>
      <c r="BF476" s="66"/>
      <c r="BG476" s="144">
        <f t="shared" ref="BG476" si="1295">+BE476/BA476</f>
        <v>2.2208790226344248E-2</v>
      </c>
      <c r="BH476" s="66"/>
      <c r="BI476" s="170"/>
      <c r="BJ476" s="66"/>
      <c r="BK476" s="66">
        <f t="shared" ref="BK476" si="1296">SUM(BA470:BA476)</f>
        <v>4601747</v>
      </c>
      <c r="BL476" s="66"/>
      <c r="BM476" s="144">
        <f t="shared" ref="BM476" si="1297">+Q476/BK476</f>
        <v>1.7746086431957256E-2</v>
      </c>
      <c r="BN476" s="65">
        <f t="shared" ref="BN476" si="1298">+BC476/BW476</f>
        <v>1082211.1327623127</v>
      </c>
      <c r="BO476" s="66"/>
      <c r="BP476" s="66">
        <f t="shared" ref="BP476" si="1299">+BP475+BE476</f>
        <v>33098326</v>
      </c>
      <c r="BQ476" s="66"/>
      <c r="BR476" s="435">
        <f t="shared" ref="BR476" si="1300">+BP476/BC476</f>
        <v>6.5490325868424515E-2</v>
      </c>
      <c r="BS476" s="66"/>
      <c r="BT476" s="75"/>
      <c r="BU476" s="170"/>
      <c r="BV476" s="1"/>
      <c r="BW476" s="61">
        <f t="shared" si="1175"/>
        <v>467</v>
      </c>
    </row>
    <row r="477" spans="2:75" x14ac:dyDescent="0.3">
      <c r="B477" s="158">
        <f t="shared" si="424"/>
        <v>44377</v>
      </c>
      <c r="C477" s="61"/>
      <c r="D477" s="17">
        <v>14197</v>
      </c>
      <c r="E477" s="16"/>
      <c r="F477" s="16"/>
      <c r="G477" s="16"/>
      <c r="H477" s="16">
        <f t="shared" ref="H477" si="1301">+H476+D477</f>
        <v>34019501</v>
      </c>
      <c r="I477" s="16"/>
      <c r="J477" s="436">
        <f t="shared" ref="J477" si="1302">+D477/H476</f>
        <v>4.1749369451306772E-4</v>
      </c>
      <c r="K477" s="16"/>
      <c r="L477" s="16"/>
      <c r="M477" s="16"/>
      <c r="N477" s="16">
        <f t="shared" ref="N477" si="1303">SUM(D471:D477)</f>
        <v>82495</v>
      </c>
      <c r="O477" s="16">
        <f t="shared" ref="O477" si="1304">+H477/BW477</f>
        <v>72691.241452991453</v>
      </c>
      <c r="P477" s="41"/>
      <c r="Q477" s="17">
        <f t="shared" ref="Q477" si="1305">SUM(D471:D477)</f>
        <v>82495</v>
      </c>
      <c r="R477" s="16"/>
      <c r="S477" s="60">
        <f t="shared" ref="S477" si="1306">+(Q477-Q470)/Q470</f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ref="Z477" si="1307">SUM(W472:W477)</f>
        <v>1349</v>
      </c>
      <c r="AA477" s="33">
        <f t="shared" ref="AA477" si="1308">+AA476+W477</f>
        <v>605395</v>
      </c>
      <c r="AB477" s="33"/>
      <c r="AC477" s="46">
        <f t="shared" ref="AC477" si="1309">+AA477/H477</f>
        <v>1.7795528511720379E-2</v>
      </c>
      <c r="AD477" s="33"/>
      <c r="AE477" s="33">
        <f t="shared" ref="AE477" si="1310">+AA477/BW477</f>
        <v>1293.5790598290598</v>
      </c>
      <c r="AF477" s="50"/>
      <c r="AG477" s="33">
        <f t="shared" ref="AG477" si="1311">SUM(W471:W477)</f>
        <v>1729</v>
      </c>
      <c r="AH477" s="33">
        <f t="shared" ref="AH477" si="1312">SUM(D448:D893)</f>
        <v>1118807128.060914</v>
      </c>
      <c r="AI477" s="213">
        <f t="shared" ref="AI477" si="1313">+(AG477-AG470)/AG470</f>
        <v>-0.14448292924294903</v>
      </c>
      <c r="AJ477" s="50"/>
      <c r="AK477" s="111"/>
      <c r="AL477" s="23">
        <f t="shared" ref="AL477" si="1314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15">+AL477/AP476</f>
        <v>6.6586519227370224E-4</v>
      </c>
      <c r="AS477" s="25"/>
      <c r="AT477" s="25"/>
      <c r="AU477" s="24"/>
      <c r="AV477" s="298">
        <f t="shared" ref="AV477" si="1316">+AP477/H477</f>
        <v>0.85323673618845852</v>
      </c>
      <c r="AW477" s="298"/>
      <c r="AX477" s="24">
        <f t="shared" ref="AX477" si="1317">+AP477/BW477</f>
        <v>62022.837606837609</v>
      </c>
      <c r="AY477" s="308"/>
      <c r="AZ477" s="111"/>
      <c r="BA477" s="65">
        <f t="shared" ref="BA477" si="1318">+BC477-BC476</f>
        <v>766529</v>
      </c>
      <c r="BB477" s="66"/>
      <c r="BC477" s="66">
        <v>506159128</v>
      </c>
      <c r="BD477" s="66"/>
      <c r="BE477" s="66">
        <f t="shared" ref="BE477" si="1319">+D477</f>
        <v>14197</v>
      </c>
      <c r="BF477" s="66"/>
      <c r="BG477" s="144">
        <f t="shared" ref="BG477" si="1320">+BE477/BA477</f>
        <v>1.8521151841613299E-2</v>
      </c>
      <c r="BH477" s="66"/>
      <c r="BI477" s="170"/>
      <c r="BJ477" s="66"/>
      <c r="BK477" s="66">
        <f t="shared" ref="BK477" si="1321">SUM(BA471:BA477)</f>
        <v>4479005</v>
      </c>
      <c r="BL477" s="66"/>
      <c r="BM477" s="144">
        <f t="shared" ref="BM477" si="1322">+Q477/BK477</f>
        <v>1.8418153138922595E-2</v>
      </c>
      <c r="BN477" s="65">
        <f t="shared" ref="BN477" si="1323">+BC477/BW477</f>
        <v>1081536.5982905983</v>
      </c>
      <c r="BO477" s="66"/>
      <c r="BP477" s="66">
        <f t="shared" ref="BP477" si="1324">+BP476+BE477</f>
        <v>33112523</v>
      </c>
      <c r="BQ477" s="66"/>
      <c r="BR477" s="435">
        <f t="shared" ref="BR477" si="1325">+BP477/BC477</f>
        <v>6.5419195601269492E-2</v>
      </c>
      <c r="BS477" s="66"/>
      <c r="BT477" s="75"/>
      <c r="BU477" s="170"/>
      <c r="BV477" s="1"/>
      <c r="BW477" s="61">
        <f t="shared" si="1175"/>
        <v>468</v>
      </c>
    </row>
    <row r="478" spans="2:75" x14ac:dyDescent="0.3">
      <c r="B478" s="158">
        <f t="shared" si="424"/>
        <v>44378</v>
      </c>
      <c r="C478" s="61"/>
      <c r="D478" s="17">
        <v>16949</v>
      </c>
      <c r="E478" s="16"/>
      <c r="F478" s="16"/>
      <c r="G478" s="16"/>
      <c r="H478" s="16">
        <f t="shared" ref="H478" si="1326">+H477+D478</f>
        <v>34036450</v>
      </c>
      <c r="I478" s="16"/>
      <c r="J478" s="436">
        <f t="shared" ref="J478" si="1327">+D478/H477</f>
        <v>4.9821424482387328E-4</v>
      </c>
      <c r="K478" s="16"/>
      <c r="L478" s="16"/>
      <c r="M478" s="16"/>
      <c r="N478" s="16">
        <f t="shared" ref="N478" si="1328">SUM(D472:D478)</f>
        <v>83984</v>
      </c>
      <c r="O478" s="16">
        <f t="shared" ref="O478" si="1329">+H478/BW478</f>
        <v>72572.388059701494</v>
      </c>
      <c r="P478" s="41"/>
      <c r="Q478" s="17">
        <f t="shared" ref="Q478" si="1330">SUM(D472:D478)</f>
        <v>83984</v>
      </c>
      <c r="R478" s="16"/>
      <c r="S478" s="60">
        <f t="shared" ref="S478" si="1331">+(Q478-Q471)/Q471</f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ref="Z478" si="1332">SUM(W473:W478)</f>
        <v>1277</v>
      </c>
      <c r="AA478" s="33">
        <f t="shared" ref="AA478" si="1333">+AA477+W478</f>
        <v>605710</v>
      </c>
      <c r="AB478" s="33"/>
      <c r="AC478" s="46">
        <f t="shared" ref="AC478" si="1334">+AA478/H478</f>
        <v>1.7795921725091778E-2</v>
      </c>
      <c r="AD478" s="33"/>
      <c r="AE478" s="33">
        <f t="shared" ref="AE478" si="1335">+AA478/BW478</f>
        <v>1291.4925373134329</v>
      </c>
      <c r="AF478" s="50"/>
      <c r="AG478" s="33">
        <f t="shared" ref="AG478" si="1336">SUM(W472:W478)</f>
        <v>1664</v>
      </c>
      <c r="AH478" s="33">
        <f t="shared" ref="AH478" si="1337">SUM(D449:D894)</f>
        <v>1118794152.060914</v>
      </c>
      <c r="AI478" s="213">
        <f t="shared" ref="AI478" si="1338">+(AG478-AG471)/AG471</f>
        <v>-0.17867719644619942</v>
      </c>
      <c r="AJ478" s="50"/>
      <c r="AK478" s="111"/>
      <c r="AL478" s="23">
        <f t="shared" ref="AL478" si="1339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0">+AL478/AP477</f>
        <v>8.7502232428308729E-4</v>
      </c>
      <c r="AS478" s="25"/>
      <c r="AT478" s="25"/>
      <c r="AU478" s="24"/>
      <c r="AV478" s="298">
        <f t="shared" ref="AV478" si="1341">+AP478/H478</f>
        <v>0.85355808258499344</v>
      </c>
      <c r="AW478" s="298"/>
      <c r="AX478" s="24">
        <f t="shared" ref="AX478" si="1342">+AP478/BW478</f>
        <v>61944.748400852877</v>
      </c>
      <c r="AY478" s="308"/>
      <c r="AZ478" s="111"/>
      <c r="BA478" s="65">
        <f t="shared" ref="BA478" si="1343">+BC478-BC477</f>
        <v>445484</v>
      </c>
      <c r="BB478" s="66"/>
      <c r="BC478" s="66">
        <v>506604612</v>
      </c>
      <c r="BD478" s="66"/>
      <c r="BE478" s="66">
        <f t="shared" ref="BE478" si="1344">+D478</f>
        <v>16949</v>
      </c>
      <c r="BF478" s="66"/>
      <c r="BG478" s="144">
        <f t="shared" ref="BG478" si="1345">+BE478/BA478</f>
        <v>3.8046259798331705E-2</v>
      </c>
      <c r="BH478" s="66"/>
      <c r="BI478" s="170"/>
      <c r="BJ478" s="66"/>
      <c r="BK478" s="66">
        <f t="shared" ref="BK478" si="1346">SUM(BA472:BA478)</f>
        <v>4424489</v>
      </c>
      <c r="BL478" s="66"/>
      <c r="BM478" s="144">
        <f t="shared" ref="BM478" si="1347">+Q478/BK478</f>
        <v>1.8981627030827741E-2</v>
      </c>
      <c r="BN478" s="65">
        <f t="shared" ref="BN478" si="1348">+BC478/BW478</f>
        <v>1080180.4093816632</v>
      </c>
      <c r="BO478" s="66"/>
      <c r="BP478" s="66">
        <f t="shared" ref="BP478" si="1349">+BP477+BE478</f>
        <v>33129472</v>
      </c>
      <c r="BQ478" s="66"/>
      <c r="BR478" s="435">
        <f t="shared" ref="BR478" si="1350">+BP478/BC478</f>
        <v>6.5395125143471844E-2</v>
      </c>
      <c r="BS478" s="66"/>
      <c r="BT478" s="75"/>
      <c r="BU478" s="170"/>
      <c r="BV478" s="1"/>
      <c r="BW478" s="61">
        <f t="shared" si="1175"/>
        <v>469</v>
      </c>
    </row>
    <row r="479" spans="2:75" x14ac:dyDescent="0.3">
      <c r="B479" s="158">
        <f t="shared" si="424"/>
        <v>44379</v>
      </c>
      <c r="C479" s="61"/>
      <c r="D479" s="17">
        <v>18399</v>
      </c>
      <c r="E479" s="16"/>
      <c r="F479" s="16"/>
      <c r="G479" s="16"/>
      <c r="H479" s="16">
        <f t="shared" ref="H479" si="1351">+H478+D479</f>
        <v>34054849</v>
      </c>
      <c r="I479" s="16"/>
      <c r="J479" s="436">
        <f t="shared" ref="J479" si="1352">+D479/H478</f>
        <v>5.4056753862403398E-4</v>
      </c>
      <c r="K479" s="16"/>
      <c r="L479" s="16"/>
      <c r="M479" s="16"/>
      <c r="N479" s="16">
        <f t="shared" ref="N479" si="1353">SUM(D473:D479)</f>
        <v>86846</v>
      </c>
      <c r="O479" s="16">
        <f t="shared" ref="O479" si="1354">+H479/BW479</f>
        <v>72457.125531914891</v>
      </c>
      <c r="P479" s="41"/>
      <c r="Q479" s="17">
        <f t="shared" ref="Q479" si="1355">SUM(D473:D479)</f>
        <v>86846</v>
      </c>
      <c r="R479" s="16"/>
      <c r="S479" s="60">
        <f t="shared" ref="S479" si="1356">+(Q479-Q472)/Q472</f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ref="Z479" si="1357">SUM(W474:W479)</f>
        <v>1450</v>
      </c>
      <c r="AA479" s="33">
        <f t="shared" ref="AA479" si="1358">+AA478+W479</f>
        <v>606032</v>
      </c>
      <c r="AB479" s="33"/>
      <c r="AC479" s="46">
        <f t="shared" ref="AC479" si="1359">+AA479/H479</f>
        <v>1.7795762359715646E-2</v>
      </c>
      <c r="AD479" s="33"/>
      <c r="AE479" s="33">
        <f t="shared" ref="AE479" si="1360">+AA479/BW479</f>
        <v>1289.4297872340426</v>
      </c>
      <c r="AF479" s="50"/>
      <c r="AG479" s="33">
        <f t="shared" ref="AG479" si="1361">SUM(W473:W479)</f>
        <v>1599</v>
      </c>
      <c r="AH479" s="33">
        <f t="shared" ref="AH479" si="1362">SUM(D450:D895)</f>
        <v>1118777178.060914</v>
      </c>
      <c r="AI479" s="213">
        <f t="shared" ref="AI479" si="1363">+(AG479-AG472)/AG472</f>
        <v>-0.20841584158415841</v>
      </c>
      <c r="AJ479" s="50"/>
      <c r="AK479" s="111"/>
      <c r="AL479" s="23">
        <f t="shared" ref="AL479" si="1364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65">+AL479/AP478</f>
        <v>7.1574892364875545E-4</v>
      </c>
      <c r="AS479" s="25"/>
      <c r="AT479" s="25"/>
      <c r="AU479" s="24"/>
      <c r="AV479" s="298">
        <f t="shared" ref="AV479" si="1366">+AP479/H479</f>
        <v>0.85370752928606441</v>
      </c>
      <c r="AW479" s="298"/>
      <c r="AX479" s="24">
        <f t="shared" ref="AX479" si="1367">+AP479/BW479</f>
        <v>61857.193617021279</v>
      </c>
      <c r="AY479" s="308"/>
      <c r="AZ479" s="111"/>
      <c r="BA479" s="65">
        <f t="shared" ref="BA479" si="1368">+BC479-BC478</f>
        <v>741973</v>
      </c>
      <c r="BB479" s="66"/>
      <c r="BC479" s="66">
        <v>507346585</v>
      </c>
      <c r="BD479" s="66"/>
      <c r="BE479" s="66">
        <f t="shared" ref="BE479" si="1369">+D479</f>
        <v>18399</v>
      </c>
      <c r="BF479" s="66"/>
      <c r="BG479" s="144">
        <f t="shared" ref="BG479" si="1370">+BE479/BA479</f>
        <v>2.4797398288077869E-2</v>
      </c>
      <c r="BH479" s="66"/>
      <c r="BI479" s="170"/>
      <c r="BJ479" s="66"/>
      <c r="BK479" s="66">
        <f t="shared" ref="BK479" si="1371">SUM(BA473:BA479)</f>
        <v>4340193</v>
      </c>
      <c r="BL479" s="66"/>
      <c r="BM479" s="144">
        <f t="shared" ref="BM479" si="1372">+Q479/BK479</f>
        <v>2.0009709245648752E-2</v>
      </c>
      <c r="BN479" s="65">
        <f t="shared" ref="BN479" si="1373">+BC479/BW479</f>
        <v>1079460.8191489361</v>
      </c>
      <c r="BO479" s="66"/>
      <c r="BP479" s="66">
        <f t="shared" ref="BP479" si="1374">+BP478+BE479</f>
        <v>33147871</v>
      </c>
      <c r="BQ479" s="66"/>
      <c r="BR479" s="435">
        <f t="shared" ref="BR479" si="1375">+BP479/BC479</f>
        <v>6.5335752678812253E-2</v>
      </c>
      <c r="BS479" s="66"/>
      <c r="BT479" s="75"/>
      <c r="BU479" s="170"/>
      <c r="BV479" s="1"/>
      <c r="BW479" s="61">
        <f t="shared" si="1175"/>
        <v>470</v>
      </c>
    </row>
    <row r="480" spans="2:75" x14ac:dyDescent="0.3">
      <c r="B480" s="158">
        <f t="shared" si="424"/>
        <v>44380</v>
      </c>
      <c r="C480" s="61"/>
      <c r="D480" s="17">
        <v>7978</v>
      </c>
      <c r="E480" s="16"/>
      <c r="F480" s="16"/>
      <c r="G480" s="16"/>
      <c r="H480" s="16">
        <f t="shared" ref="H480" si="1376">+H479+D480</f>
        <v>34062827</v>
      </c>
      <c r="I480" s="16"/>
      <c r="J480" s="436">
        <f t="shared" ref="J480" si="1377">+D480/H479</f>
        <v>2.3426913447773619E-4</v>
      </c>
      <c r="K480" s="16"/>
      <c r="L480" s="16"/>
      <c r="M480" s="16"/>
      <c r="N480" s="16">
        <f t="shared" ref="N480" si="1378">SUM(D474:D480)</f>
        <v>88238</v>
      </c>
      <c r="O480" s="16">
        <f t="shared" ref="O480" si="1379">+H480/BW480</f>
        <v>72320.227176220811</v>
      </c>
      <c r="P480" s="41"/>
      <c r="Q480" s="17">
        <f t="shared" ref="Q480" si="1380">SUM(D474:D480)</f>
        <v>88238</v>
      </c>
      <c r="R480" s="16"/>
      <c r="S480" s="60">
        <f t="shared" ref="S480" si="1381">+(Q480-Q473)/Q473</f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ref="Z480" si="1382">SUM(W475:W480)</f>
        <v>1440</v>
      </c>
      <c r="AA480" s="33">
        <f t="shared" ref="AA480" si="1383">+AA479+W480</f>
        <v>606128</v>
      </c>
      <c r="AB480" s="33"/>
      <c r="AC480" s="46">
        <f t="shared" ref="AC480" si="1384">+AA480/H480</f>
        <v>1.7794412659876996E-2</v>
      </c>
      <c r="AD480" s="33"/>
      <c r="AE480" s="33">
        <f t="shared" ref="AE480" si="1385">+AA480/BW480</f>
        <v>1286.8959660297239</v>
      </c>
      <c r="AF480" s="50"/>
      <c r="AG480" s="33">
        <f t="shared" ref="AG480" si="1386">SUM(W474:W480)</f>
        <v>1546</v>
      </c>
      <c r="AH480" s="33">
        <f t="shared" ref="AH480" si="1387">SUM(D451:D896)</f>
        <v>1118759357.060914</v>
      </c>
      <c r="AI480" s="213">
        <f t="shared" ref="AI480" si="1388">+(AG480-AG473)/AG473</f>
        <v>-0.22661330665332666</v>
      </c>
      <c r="AJ480" s="50"/>
      <c r="AK480" s="111"/>
      <c r="AL480" s="23">
        <f t="shared" ref="AL480" si="1389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0">+AL480/AP479</f>
        <v>5.0012243368656862E-4</v>
      </c>
      <c r="AS480" s="25"/>
      <c r="AT480" s="25"/>
      <c r="AU480" s="24"/>
      <c r="AV480" s="298">
        <f t="shared" ref="AV480" si="1391">+AP480/H480</f>
        <v>0.85393443709178929</v>
      </c>
      <c r="AW480" s="298"/>
      <c r="AX480" s="24">
        <f t="shared" ref="AX480" si="1392">+AP480/BW480</f>
        <v>61756.732484076434</v>
      </c>
      <c r="AY480" s="308"/>
      <c r="AZ480" s="111"/>
      <c r="BA480" s="65">
        <f t="shared" ref="BA480" si="1393">+BC480-BC479</f>
        <v>255291</v>
      </c>
      <c r="BB480" s="66"/>
      <c r="BC480" s="66">
        <v>507601876</v>
      </c>
      <c r="BD480" s="66"/>
      <c r="BE480" s="66">
        <f t="shared" ref="BE480" si="1394">+D480</f>
        <v>7978</v>
      </c>
      <c r="BF480" s="66"/>
      <c r="BG480" s="144">
        <f t="shared" ref="BG480" si="1395">+BE480/BA480</f>
        <v>3.125061204664481E-2</v>
      </c>
      <c r="BH480" s="66"/>
      <c r="BI480" s="170"/>
      <c r="BJ480" s="66"/>
      <c r="BK480" s="66">
        <f t="shared" ref="BK480" si="1396">SUM(BA474:BA480)</f>
        <v>4144202</v>
      </c>
      <c r="BL480" s="66"/>
      <c r="BM480" s="144">
        <f t="shared" ref="BM480" si="1397">+Q480/BK480</f>
        <v>2.1291915789819125E-2</v>
      </c>
      <c r="BN480" s="65">
        <f t="shared" ref="BN480" si="1398">+BC480/BW480</f>
        <v>1077710.9893842887</v>
      </c>
      <c r="BO480" s="66"/>
      <c r="BP480" s="66">
        <f t="shared" ref="BP480" si="1399">+BP479+BE480</f>
        <v>33155849</v>
      </c>
      <c r="BQ480" s="66"/>
      <c r="BR480" s="435">
        <f t="shared" ref="BR480" si="1400">+BP480/BC480</f>
        <v>6.5318610051787906E-2</v>
      </c>
      <c r="BS480" s="66"/>
      <c r="BT480" s="75"/>
      <c r="BU480" s="170"/>
      <c r="BV480" s="1"/>
      <c r="BW480" s="61">
        <f t="shared" si="1175"/>
        <v>471</v>
      </c>
    </row>
    <row r="481" spans="2:75" x14ac:dyDescent="0.3">
      <c r="B481" s="347">
        <f t="shared" si="424"/>
        <v>44381</v>
      </c>
      <c r="C481" s="61"/>
      <c r="D481" s="17">
        <v>5749</v>
      </c>
      <c r="E481" s="16"/>
      <c r="F481" s="16"/>
      <c r="G481" s="16"/>
      <c r="H481" s="16">
        <f t="shared" ref="H481" si="1401">+H480+D481</f>
        <v>34068576</v>
      </c>
      <c r="I481" s="16"/>
      <c r="J481" s="436">
        <f t="shared" ref="J481" si="1402">+D481/H480</f>
        <v>1.6877636139830672E-4</v>
      </c>
      <c r="K481" s="16"/>
      <c r="L481" s="16"/>
      <c r="M481" s="16"/>
      <c r="N481" s="16">
        <f t="shared" ref="N481" si="1403">SUM(D475:D481)</f>
        <v>86681</v>
      </c>
      <c r="O481" s="16">
        <f t="shared" ref="O481" si="1404">+H481/BW481</f>
        <v>72179.186440677964</v>
      </c>
      <c r="P481" s="41"/>
      <c r="Q481" s="17">
        <f t="shared" ref="Q481" si="1405">SUM(D475:D481)</f>
        <v>86681</v>
      </c>
      <c r="R481" s="16"/>
      <c r="S481" s="60">
        <f t="shared" ref="S481" si="1406">+(Q481-Q474)/Q474</f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ref="Z481" si="1407">SUM(W476:W481)</f>
        <v>1331</v>
      </c>
      <c r="AA481" s="33">
        <f t="shared" ref="AA481" si="1408">+AA480+W481</f>
        <v>606183</v>
      </c>
      <c r="AB481" s="33"/>
      <c r="AC481" s="46">
        <f t="shared" ref="AC481" si="1409">+AA481/H481</f>
        <v>1.7793024281378828E-2</v>
      </c>
      <c r="AD481" s="33"/>
      <c r="AE481" s="33">
        <f t="shared" ref="AE481" si="1410">+AA481/BW481</f>
        <v>1284.2860169491526</v>
      </c>
      <c r="AF481" s="50"/>
      <c r="AG481" s="33">
        <f t="shared" ref="AG481" si="1411">SUM(W475:W481)</f>
        <v>1495</v>
      </c>
      <c r="AH481" s="33">
        <f t="shared" ref="AH481" si="1412">SUM(D452:D897)</f>
        <v>1118742432.060914</v>
      </c>
      <c r="AI481" s="213">
        <f t="shared" ref="AI481" si="1413">+(AG481-AG474)/AG474</f>
        <v>-0.25953442298167412</v>
      </c>
      <c r="AJ481" s="50"/>
      <c r="AK481" s="111"/>
      <c r="AL481" s="23">
        <f t="shared" ref="AL481" si="1414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15">+AL481/AP480</f>
        <v>4.4180609893190601E-4</v>
      </c>
      <c r="AS481" s="25"/>
      <c r="AT481" s="25"/>
      <c r="AU481" s="24"/>
      <c r="AV481" s="298">
        <f t="shared" ref="AV481" si="1416">+AP481/H481</f>
        <v>0.85416754724353605</v>
      </c>
      <c r="AW481" s="298"/>
      <c r="AX481" s="24">
        <f t="shared" ref="AX481" si="1417">+AP481/BW481</f>
        <v>61653.118644067799</v>
      </c>
      <c r="AY481" s="308"/>
      <c r="AZ481" s="111"/>
      <c r="BA481" s="65">
        <f t="shared" ref="BA481" si="1418">+BC481-BC480</f>
        <v>483136</v>
      </c>
      <c r="BB481" s="66"/>
      <c r="BC481" s="66">
        <v>508085012</v>
      </c>
      <c r="BD481" s="66"/>
      <c r="BE481" s="66">
        <f t="shared" ref="BE481" si="1419">+D481</f>
        <v>5749</v>
      </c>
      <c r="BF481" s="66"/>
      <c r="BG481" s="144">
        <f t="shared" ref="BG481" si="1420">+BE481/BA481</f>
        <v>1.1899340972314213E-2</v>
      </c>
      <c r="BH481" s="66"/>
      <c r="BI481" s="170"/>
      <c r="BJ481" s="66"/>
      <c r="BK481" s="66">
        <f t="shared" ref="BK481" si="1421">SUM(BA475:BA481)</f>
        <v>4260795</v>
      </c>
      <c r="BL481" s="66"/>
      <c r="BM481" s="144">
        <f t="shared" ref="BM481" si="1422">+Q481/BK481</f>
        <v>2.0343856017480306E-2</v>
      </c>
      <c r="BN481" s="65">
        <f t="shared" ref="BN481" si="1423">+BC481/BW481</f>
        <v>1076451.2966101696</v>
      </c>
      <c r="BO481" s="66"/>
      <c r="BP481" s="66">
        <f t="shared" ref="BP481" si="1424">+BP480+BE481</f>
        <v>33161598</v>
      </c>
      <c r="BQ481" s="66"/>
      <c r="BR481" s="435">
        <f t="shared" ref="BR481" si="1425">+BP481/BC481</f>
        <v>6.5267813883083017E-2</v>
      </c>
      <c r="BS481" s="66"/>
      <c r="BT481" s="75"/>
      <c r="BU481" s="170"/>
      <c r="BV481" s="1"/>
      <c r="BW481" s="61">
        <f t="shared" si="1175"/>
        <v>472</v>
      </c>
    </row>
    <row r="482" spans="2:75" x14ac:dyDescent="0.3">
      <c r="B482" s="158">
        <f t="shared" si="424"/>
        <v>44382</v>
      </c>
      <c r="C482" s="61"/>
      <c r="D482" s="17">
        <v>5132</v>
      </c>
      <c r="E482" s="16"/>
      <c r="F482" s="16"/>
      <c r="G482" s="16"/>
      <c r="H482" s="16">
        <f t="shared" ref="H482" si="1426">+H481+D482</f>
        <v>34073708</v>
      </c>
      <c r="I482" s="16"/>
      <c r="J482" s="436">
        <f t="shared" ref="J482" si="1427">+D482/H481</f>
        <v>1.5063734979706812E-4</v>
      </c>
      <c r="K482" s="16"/>
      <c r="L482" s="16"/>
      <c r="M482" s="16"/>
      <c r="N482" s="16">
        <f t="shared" ref="N482" si="1428">SUM(D476:D482)</f>
        <v>79831</v>
      </c>
      <c r="O482" s="16">
        <f t="shared" ref="O482" si="1429">+H482/BW482</f>
        <v>72037.437632135305</v>
      </c>
      <c r="P482" s="41"/>
      <c r="Q482" s="17">
        <f t="shared" ref="Q482" si="1430">SUM(D476:D482)</f>
        <v>79831</v>
      </c>
      <c r="R482" s="16"/>
      <c r="S482" s="60">
        <f t="shared" ref="S482" si="1431">+(Q482-Q475)/Q475</f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ref="Z482" si="1432">SUM(W477:W482)</f>
        <v>1073</v>
      </c>
      <c r="AA482" s="33">
        <f t="shared" ref="AA482" si="1433">+AA481+W482</f>
        <v>606219</v>
      </c>
      <c r="AB482" s="33"/>
      <c r="AC482" s="46">
        <f t="shared" ref="AC482" si="1434">+AA482/H482</f>
        <v>1.7791400924137755E-2</v>
      </c>
      <c r="AD482" s="33"/>
      <c r="AE482" s="33">
        <f t="shared" ref="AE482" si="1435">+AA482/BW482</f>
        <v>1281.6469344608879</v>
      </c>
      <c r="AF482" s="50"/>
      <c r="AG482" s="33">
        <f t="shared" ref="AG482" si="1436">SUM(W476:W482)</f>
        <v>1367</v>
      </c>
      <c r="AH482" s="33">
        <f t="shared" ref="AH482" si="1437">SUM(D453:D898)</f>
        <v>1118730829.060914</v>
      </c>
      <c r="AI482" s="213">
        <f t="shared" ref="AI482" si="1438">+(AG482-AG475)/AG475</f>
        <v>-0.29753340184994859</v>
      </c>
      <c r="AJ482" s="50"/>
      <c r="AK482" s="111"/>
      <c r="AL482" s="23">
        <f t="shared" ref="AL482" si="1439">+AP482-AP481</f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ref="AR482" si="1440">+AL482/AP481</f>
        <v>5.6673009791798512E-4</v>
      </c>
      <c r="AS482" s="25"/>
      <c r="AT482" s="25"/>
      <c r="AU482" s="24"/>
      <c r="AV482" s="298">
        <f t="shared" ref="AV482" si="1441">+AP482/H482</f>
        <v>0.85452290663522734</v>
      </c>
      <c r="AW482" s="298"/>
      <c r="AX482" s="24">
        <f t="shared" ref="AX482" si="1442">+AP482/BW482</f>
        <v>61557.64059196617</v>
      </c>
      <c r="AY482" s="308"/>
      <c r="AZ482" s="111"/>
      <c r="BA482" s="65">
        <f t="shared" ref="BA482" si="1443">+BC482-BC481</f>
        <v>380659</v>
      </c>
      <c r="BB482" s="66"/>
      <c r="BC482" s="66">
        <v>508465671</v>
      </c>
      <c r="BD482" s="66"/>
      <c r="BE482" s="66">
        <f t="shared" ref="BE482" si="1444">+D482</f>
        <v>5132</v>
      </c>
      <c r="BF482" s="66"/>
      <c r="BG482" s="144">
        <f t="shared" ref="BG482" si="1445">+BE482/BA482</f>
        <v>1.3481882734941247E-2</v>
      </c>
      <c r="BH482" s="66"/>
      <c r="BI482" s="170"/>
      <c r="BJ482" s="66"/>
      <c r="BK482" s="66">
        <f t="shared" ref="BK482" si="1446">SUM(BA476:BA482)</f>
        <v>3587598</v>
      </c>
      <c r="BL482" s="66"/>
      <c r="BM482" s="144">
        <f t="shared" ref="BM482" si="1447">+Q482/BK482</f>
        <v>2.2251935696251363E-2</v>
      </c>
      <c r="BN482" s="65">
        <f t="shared" ref="BN482" si="1448">+BC482/BW482</f>
        <v>1074980.2769556025</v>
      </c>
      <c r="BO482" s="66"/>
      <c r="BP482" s="66">
        <f t="shared" ref="BP482" si="1449">+BP481+BE482</f>
        <v>33166730</v>
      </c>
      <c r="BQ482" s="66"/>
      <c r="BR482" s="435">
        <f t="shared" ref="BR482" si="1450">+BP482/BC482</f>
        <v>6.5229044735254108E-2</v>
      </c>
      <c r="BS482" s="66"/>
      <c r="BT482" s="75"/>
      <c r="BU482" s="170"/>
      <c r="BV482" s="1"/>
      <c r="BW482" s="61">
        <f t="shared" si="1175"/>
        <v>473</v>
      </c>
    </row>
    <row r="483" spans="2:75" x14ac:dyDescent="0.3">
      <c r="B483" s="158">
        <f t="shared" si="424"/>
        <v>44383</v>
      </c>
      <c r="C483" s="61"/>
      <c r="D483" s="17">
        <v>11612</v>
      </c>
      <c r="E483" s="16"/>
      <c r="F483" s="16"/>
      <c r="G483" s="16"/>
      <c r="H483" s="16">
        <f t="shared" ref="H483" si="1451">+H482+D483</f>
        <v>34085320</v>
      </c>
      <c r="I483" s="16"/>
      <c r="J483" s="436">
        <f t="shared" ref="J483" si="1452">+D483/H482</f>
        <v>3.4079061779833294E-4</v>
      </c>
      <c r="K483" s="16"/>
      <c r="L483" s="16"/>
      <c r="M483" s="16"/>
      <c r="N483" s="16">
        <f t="shared" ref="N483" si="1453">SUM(D477:D483)</f>
        <v>80016</v>
      </c>
      <c r="O483" s="16">
        <f t="shared" ref="O483" si="1454">+H483/BW483</f>
        <v>71909.957805907179</v>
      </c>
      <c r="P483" s="41"/>
      <c r="Q483" s="17">
        <f t="shared" ref="Q483" si="1455">SUM(D477:D483)</f>
        <v>80016</v>
      </c>
      <c r="R483" s="16"/>
      <c r="S483" s="60">
        <f t="shared" ref="S483" si="1456">+(Q483-Q476)/Q476</f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ref="Z483" si="1457">SUM(W478:W483)</f>
        <v>1026</v>
      </c>
      <c r="AA483" s="33">
        <f t="shared" ref="AA483" si="1458">+AA482+W483</f>
        <v>606421</v>
      </c>
      <c r="AB483" s="33"/>
      <c r="AC483" s="46">
        <f t="shared" ref="AC483" si="1459">+AA483/H483</f>
        <v>1.7791266152114751E-2</v>
      </c>
      <c r="AD483" s="33"/>
      <c r="AE483" s="33">
        <f t="shared" ref="AE483" si="1460">+AA483/BW483</f>
        <v>1279.3691983122362</v>
      </c>
      <c r="AF483" s="50"/>
      <c r="AG483" s="33">
        <f t="shared" ref="AG483" si="1461">SUM(W477:W483)</f>
        <v>1275</v>
      </c>
      <c r="AH483" s="33">
        <f t="shared" ref="AH483" si="1462">SUM(D454:D899)</f>
        <v>1118724421.060914</v>
      </c>
      <c r="AI483" s="213">
        <f t="shared" ref="AI483" si="1463">+(AG483-AG476)/AG476</f>
        <v>-0.29519071310116085</v>
      </c>
      <c r="AJ483" s="50"/>
      <c r="AK483" s="111"/>
      <c r="AL483" s="23">
        <f t="shared" ref="AL483" si="1464">+AP483-AP482</f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ref="AR483" si="1465">+AL483/AP482</f>
        <v>9.7953879764935419E-4</v>
      </c>
      <c r="AS483" s="25"/>
      <c r="AT483" s="25"/>
      <c r="AU483" s="24"/>
      <c r="AV483" s="298">
        <f t="shared" ref="AV483" si="1466">+AP483/H483</f>
        <v>0.85506854563782886</v>
      </c>
      <c r="AW483" s="298"/>
      <c r="AX483" s="24">
        <f t="shared" ref="AX483" si="1467">+AP483/BW483</f>
        <v>61487.943037974685</v>
      </c>
      <c r="AY483" s="308"/>
      <c r="AZ483" s="111"/>
      <c r="BA483" s="65">
        <f t="shared" ref="BA483" si="1468">+BC483-BC482</f>
        <v>750932</v>
      </c>
      <c r="BB483" s="66"/>
      <c r="BC483" s="66">
        <v>509216603</v>
      </c>
      <c r="BD483" s="66"/>
      <c r="BE483" s="66">
        <f t="shared" ref="BE483" si="1469">+D483</f>
        <v>11612</v>
      </c>
      <c r="BF483" s="66"/>
      <c r="BG483" s="144">
        <f t="shared" ref="BG483" si="1470">+BE483/BA483</f>
        <v>1.5463450751865681E-2</v>
      </c>
      <c r="BH483" s="66"/>
      <c r="BI483" s="170"/>
      <c r="BJ483" s="66"/>
      <c r="BK483" s="66">
        <f t="shared" ref="BK483" si="1471">SUM(BA477:BA483)</f>
        <v>3824004</v>
      </c>
      <c r="BL483" s="66"/>
      <c r="BM483" s="144">
        <f t="shared" ref="BM483" si="1472">+Q483/BK483</f>
        <v>2.0924664304744451E-2</v>
      </c>
      <c r="BN483" s="65">
        <f t="shared" ref="BN483" si="1473">+BC483/BW483</f>
        <v>1074296.6308016877</v>
      </c>
      <c r="BO483" s="66"/>
      <c r="BP483" s="66">
        <f t="shared" ref="BP483" si="1474">+BP482+BE483</f>
        <v>33178342</v>
      </c>
      <c r="BQ483" s="66"/>
      <c r="BR483" s="435">
        <f t="shared" ref="BR483" si="1475">+BP483/BC483</f>
        <v>6.5155656364173975E-2</v>
      </c>
      <c r="BS483" s="66"/>
      <c r="BT483" s="75"/>
      <c r="BU483" s="170"/>
      <c r="BV483" s="1"/>
      <c r="BW483" s="61">
        <f t="shared" si="1175"/>
        <v>474</v>
      </c>
    </row>
    <row r="484" spans="2:75" x14ac:dyDescent="0.3">
      <c r="B484" s="158">
        <f t="shared" si="424"/>
        <v>44384</v>
      </c>
      <c r="C484" s="61"/>
      <c r="D484" s="17">
        <v>16812</v>
      </c>
      <c r="E484" s="16"/>
      <c r="F484" s="16"/>
      <c r="G484" s="16"/>
      <c r="H484" s="16">
        <f t="shared" ref="H484" si="1476">+H483+D484</f>
        <v>34102132</v>
      </c>
      <c r="I484" s="16"/>
      <c r="J484" s="436">
        <f t="shared" ref="J484" si="1477">+D484/H483</f>
        <v>4.9323286388392427E-4</v>
      </c>
      <c r="K484" s="16"/>
      <c r="L484" s="16"/>
      <c r="M484" s="16"/>
      <c r="N484" s="16">
        <f t="shared" ref="N484" si="1478">SUM(D478:D484)</f>
        <v>82631</v>
      </c>
      <c r="O484" s="16">
        <f t="shared" ref="O484" si="1479">+H484/BW484</f>
        <v>71793.962105263156</v>
      </c>
      <c r="P484" s="41"/>
      <c r="Q484" s="17">
        <f t="shared" ref="Q484" si="1480">SUM(D478:D484)</f>
        <v>82631</v>
      </c>
      <c r="R484" s="16"/>
      <c r="S484" s="60">
        <f t="shared" ref="S484" si="1481">+(Q484-Q477)/Q477</f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ref="Z484" si="1482">SUM(W479:W484)</f>
        <v>962</v>
      </c>
      <c r="AA484" s="33">
        <f t="shared" ref="AA484" si="1483">+AA483+W484</f>
        <v>606672</v>
      </c>
      <c r="AB484" s="33"/>
      <c r="AC484" s="46">
        <f t="shared" ref="AC484" si="1484">+AA484/H484</f>
        <v>1.7789855484695208E-2</v>
      </c>
      <c r="AD484" s="33"/>
      <c r="AE484" s="33">
        <f t="shared" ref="AE484" si="1485">+AA484/BW484</f>
        <v>1277.2042105263158</v>
      </c>
      <c r="AF484" s="50"/>
      <c r="AG484" s="33">
        <f t="shared" ref="AG484" si="1486">SUM(W478:W484)</f>
        <v>1277</v>
      </c>
      <c r="AH484" s="33">
        <f t="shared" ref="AH484" si="1487">SUM(D455:D900)</f>
        <v>1118712138.060914</v>
      </c>
      <c r="AI484" s="213">
        <f t="shared" ref="AI484" si="1488">+(AG484-AG477)/AG477</f>
        <v>-0.26142278773857719</v>
      </c>
      <c r="AJ484" s="50"/>
      <c r="AK484" s="111"/>
      <c r="AL484" s="23">
        <f t="shared" ref="AL484" si="1489">+AP484-AP483</f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ref="AR484" si="1490">+AL484/AP483</f>
        <v>7.9011064739974233E-4</v>
      </c>
      <c r="AS484" s="25"/>
      <c r="AT484" s="25"/>
      <c r="AU484" s="24"/>
      <c r="AV484" s="298">
        <f t="shared" ref="AV484" si="1491">+AP484/H484</f>
        <v>0.85532227134655392</v>
      </c>
      <c r="AW484" s="298"/>
      <c r="AX484" s="24">
        <f t="shared" ref="AX484" si="1492">+AP484/BW484</f>
        <v>61406.974736842109</v>
      </c>
      <c r="AY484" s="308"/>
      <c r="AZ484" s="111"/>
      <c r="BA484" s="65">
        <f t="shared" ref="BA484" si="1493">+BC484-BC483</f>
        <v>486270</v>
      </c>
      <c r="BB484" s="66"/>
      <c r="BC484" s="66">
        <v>509702873</v>
      </c>
      <c r="BD484" s="66"/>
      <c r="BE484" s="66">
        <f t="shared" ref="BE484" si="1494">+D484</f>
        <v>16812</v>
      </c>
      <c r="BF484" s="66"/>
      <c r="BG484" s="144">
        <f t="shared" ref="BG484" si="1495">+BE484/BA484</f>
        <v>3.4573385156394597E-2</v>
      </c>
      <c r="BH484" s="66"/>
      <c r="BI484" s="170"/>
      <c r="BJ484" s="66"/>
      <c r="BK484" s="66">
        <f t="shared" ref="BK484" si="1496">SUM(BA478:BA484)</f>
        <v>3543745</v>
      </c>
      <c r="BL484" s="66"/>
      <c r="BM484" s="144">
        <f t="shared" ref="BM484" si="1497">+Q484/BK484</f>
        <v>2.3317422670084895E-2</v>
      </c>
      <c r="BN484" s="65">
        <f t="shared" ref="BN484" si="1498">+BC484/BW484</f>
        <v>1073058.68</v>
      </c>
      <c r="BO484" s="66"/>
      <c r="BP484" s="66">
        <f t="shared" ref="BP484" si="1499">+BP483+BE484</f>
        <v>33195154</v>
      </c>
      <c r="BQ484" s="66"/>
      <c r="BR484" s="435">
        <f t="shared" ref="BR484" si="1500">+BP484/BC484</f>
        <v>6.5126480069889664E-2</v>
      </c>
      <c r="BS484" s="66"/>
      <c r="BT484" s="75"/>
      <c r="BU484" s="170"/>
      <c r="BV484" s="1"/>
      <c r="BW484" s="61">
        <f t="shared" si="1175"/>
        <v>475</v>
      </c>
    </row>
    <row r="485" spans="2:75" x14ac:dyDescent="0.3">
      <c r="B485" s="158">
        <f t="shared" si="424"/>
        <v>44385</v>
      </c>
      <c r="C485" s="61"/>
      <c r="D485" s="17">
        <v>19347</v>
      </c>
      <c r="E485" s="16"/>
      <c r="F485" s="16"/>
      <c r="G485" s="16"/>
      <c r="H485" s="16">
        <f t="shared" ref="H485" si="1501">+H484+D485</f>
        <v>34121479</v>
      </c>
      <c r="I485" s="16"/>
      <c r="J485" s="436">
        <f t="shared" ref="J485" si="1502">+D485/H484</f>
        <v>5.6732523350739477E-4</v>
      </c>
      <c r="K485" s="16"/>
      <c r="L485" s="16"/>
      <c r="M485" s="16"/>
      <c r="N485" s="16">
        <f t="shared" ref="N485" si="1503">SUM(D479:D485)</f>
        <v>85029</v>
      </c>
      <c r="O485" s="16">
        <f t="shared" ref="O485" si="1504">+H485/BW485</f>
        <v>71683.779411764699</v>
      </c>
      <c r="P485" s="41"/>
      <c r="Q485" s="17">
        <f t="shared" ref="Q485" si="1505">SUM(D479:D485)</f>
        <v>85029</v>
      </c>
      <c r="R485" s="16"/>
      <c r="S485" s="60">
        <f t="shared" ref="S485" si="1506">+(Q485-Q478)/Q478</f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ref="Z485" si="1507">SUM(W480:W485)</f>
        <v>901</v>
      </c>
      <c r="AA485" s="33">
        <f t="shared" ref="AA485" si="1508">+AA484+W485</f>
        <v>606933</v>
      </c>
      <c r="AB485" s="33"/>
      <c r="AC485" s="46">
        <f t="shared" ref="AC485" si="1509">+AA485/H485</f>
        <v>1.7787417714220419E-2</v>
      </c>
      <c r="AD485" s="33"/>
      <c r="AE485" s="33">
        <f t="shared" ref="AE485" si="1510">+AA485/BW485</f>
        <v>1275.0693277310925</v>
      </c>
      <c r="AF485" s="50"/>
      <c r="AG485" s="33">
        <f t="shared" ref="AG485" si="1511">SUM(W479:W485)</f>
        <v>1223</v>
      </c>
      <c r="AH485" s="33">
        <f t="shared" ref="AH485" si="1512">SUM(D456:D901)</f>
        <v>1118698596.060914</v>
      </c>
      <c r="AI485" s="213">
        <f t="shared" ref="AI485" si="1513">+(AG485-AG478)/AG478</f>
        <v>-0.26502403846153844</v>
      </c>
      <c r="AJ485" s="50"/>
      <c r="AK485" s="111"/>
      <c r="AL485" s="23">
        <f t="shared" ref="AL485" si="1514">+AP485-AP484</f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ref="AR485" si="1515">+AL485/AP484</f>
        <v>1.1997608500704171E-3</v>
      </c>
      <c r="AS485" s="25"/>
      <c r="AT485" s="25"/>
      <c r="AU485" s="24"/>
      <c r="AV485" s="298">
        <f t="shared" ref="AV485" si="1516">+AP485/H485</f>
        <v>0.85586290090180439</v>
      </c>
      <c r="AW485" s="298"/>
      <c r="AX485" s="24">
        <f t="shared" ref="AX485" si="1517">+AP485/BW485</f>
        <v>61351.487394957985</v>
      </c>
      <c r="AY485" s="308"/>
      <c r="AZ485" s="111"/>
      <c r="BA485" s="65">
        <f t="shared" ref="BA485" si="1518">+BC485-BC484</f>
        <v>777468</v>
      </c>
      <c r="BB485" s="66"/>
      <c r="BC485" s="66">
        <v>510480341</v>
      </c>
      <c r="BD485" s="66"/>
      <c r="BE485" s="66">
        <f t="shared" ref="BE485" si="1519">+D485</f>
        <v>19347</v>
      </c>
      <c r="BF485" s="66"/>
      <c r="BG485" s="144">
        <f t="shared" ref="BG485" si="1520">+BE485/BA485</f>
        <v>2.4884625476546945E-2</v>
      </c>
      <c r="BH485" s="66"/>
      <c r="BI485" s="170"/>
      <c r="BJ485" s="66"/>
      <c r="BK485" s="66">
        <f t="shared" ref="BK485" si="1521">SUM(BA479:BA485)</f>
        <v>3875729</v>
      </c>
      <c r="BL485" s="66"/>
      <c r="BM485" s="144">
        <f t="shared" ref="BM485" si="1522">+Q485/BK485</f>
        <v>2.193884040912045E-2</v>
      </c>
      <c r="BN485" s="65">
        <f t="shared" ref="BN485" si="1523">+BC485/BW485</f>
        <v>1072437.6911764706</v>
      </c>
      <c r="BO485" s="66"/>
      <c r="BP485" s="66">
        <f t="shared" ref="BP485" si="1524">+BP484+BE485</f>
        <v>33214501</v>
      </c>
      <c r="BQ485" s="66"/>
      <c r="BR485" s="435">
        <f t="shared" ref="BR485" si="1525">+BP485/BC485</f>
        <v>6.5065191217618307E-2</v>
      </c>
      <c r="BS485" s="66"/>
      <c r="BT485" s="75"/>
      <c r="BU485" s="170"/>
      <c r="BV485" s="1"/>
      <c r="BW485" s="61">
        <f t="shared" si="1175"/>
        <v>476</v>
      </c>
    </row>
    <row r="486" spans="2:75" x14ac:dyDescent="0.3">
      <c r="B486" s="158">
        <f t="shared" si="424"/>
        <v>44386</v>
      </c>
      <c r="C486" s="61"/>
      <c r="D486" s="17">
        <v>27237</v>
      </c>
      <c r="E486" s="16"/>
      <c r="F486" s="16"/>
      <c r="G486" s="16"/>
      <c r="H486" s="16">
        <f t="shared" ref="H486" si="1526">+H485+D486</f>
        <v>34148716</v>
      </c>
      <c r="I486" s="16"/>
      <c r="J486" s="436">
        <f t="shared" ref="J486" si="1527">+D486/H485</f>
        <v>7.9823620775641051E-4</v>
      </c>
      <c r="K486" s="16"/>
      <c r="L486" s="16"/>
      <c r="M486" s="16"/>
      <c r="N486" s="16">
        <f t="shared" ref="N486" si="1528">SUM(D480:D486)</f>
        <v>93867</v>
      </c>
      <c r="O486" s="16">
        <f t="shared" ref="O486" si="1529">+H486/BW486</f>
        <v>71590.599580712791</v>
      </c>
      <c r="P486" s="41"/>
      <c r="Q486" s="17">
        <f t="shared" ref="Q486" si="1530">SUM(D480:D486)</f>
        <v>93867</v>
      </c>
      <c r="R486" s="16"/>
      <c r="S486" s="60">
        <f t="shared" ref="S486" si="1531">+(Q486-Q479)/Q479</f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ref="Z486" si="1532">SUM(W481:W486)</f>
        <v>1171</v>
      </c>
      <c r="AA486" s="33">
        <f t="shared" ref="AA486" si="1533">+AA485+W486</f>
        <v>607299</v>
      </c>
      <c r="AB486" s="33"/>
      <c r="AC486" s="46">
        <f t="shared" ref="AC486" si="1534">+AA486/H486</f>
        <v>1.7783948304234923E-2</v>
      </c>
      <c r="AD486" s="33"/>
      <c r="AE486" s="33">
        <f t="shared" ref="AE486" si="1535">+AA486/BW486</f>
        <v>1273.1635220125786</v>
      </c>
      <c r="AF486" s="50"/>
      <c r="AG486" s="33">
        <f t="shared" ref="AG486" si="1536">SUM(W480:W486)</f>
        <v>1267</v>
      </c>
      <c r="AH486" s="33">
        <f t="shared" ref="AH486" si="1537">SUM(D457:D902)</f>
        <v>1118684395.060914</v>
      </c>
      <c r="AI486" s="213">
        <f t="shared" ref="AI486" si="1538">+(AG486-AG479)/AG479</f>
        <v>-0.20762976860537835</v>
      </c>
      <c r="AJ486" s="50"/>
      <c r="AK486" s="111"/>
      <c r="AL486" s="23">
        <f t="shared" ref="AL486" si="1539">+AP486-AP485</f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ref="AR486" si="1540">+AL486/AP485</f>
        <v>6.7334837546486172E-4</v>
      </c>
      <c r="AS486" s="25"/>
      <c r="AT486" s="25"/>
      <c r="AU486" s="24"/>
      <c r="AV486" s="298">
        <f t="shared" ref="AV486" si="1541">+AP486/H486</f>
        <v>0.8557560992922838</v>
      </c>
      <c r="AW486" s="298"/>
      <c r="AX486" s="24">
        <f t="shared" ref="AX486" si="1542">+AP486/BW486</f>
        <v>61264.092243186584</v>
      </c>
      <c r="AY486" s="308"/>
      <c r="AZ486" s="111"/>
      <c r="BA486" s="65">
        <f t="shared" ref="BA486" si="1543">+BC486-BC485</f>
        <v>947663</v>
      </c>
      <c r="BB486" s="66"/>
      <c r="BC486" s="66">
        <v>511428004</v>
      </c>
      <c r="BD486" s="66"/>
      <c r="BE486" s="66">
        <f t="shared" ref="BE486" si="1544">+D486</f>
        <v>27237</v>
      </c>
      <c r="BF486" s="66"/>
      <c r="BG486" s="144">
        <f t="shared" ref="BG486" si="1545">+BE486/BA486</f>
        <v>2.8741229740952216E-2</v>
      </c>
      <c r="BH486" s="66"/>
      <c r="BI486" s="170"/>
      <c r="BJ486" s="66"/>
      <c r="BK486" s="66">
        <f t="shared" ref="BK486" si="1546">SUM(BA480:BA486)</f>
        <v>4081419</v>
      </c>
      <c r="BL486" s="66"/>
      <c r="BM486" s="144">
        <f t="shared" ref="BM486" si="1547">+Q486/BK486</f>
        <v>2.2998618862704368E-2</v>
      </c>
      <c r="BN486" s="65">
        <f t="shared" ref="BN486" si="1548">+BC486/BW486</f>
        <v>1072176.109014675</v>
      </c>
      <c r="BO486" s="66"/>
      <c r="BP486" s="66">
        <f t="shared" ref="BP486" si="1549">+BP485+BE486</f>
        <v>33241738</v>
      </c>
      <c r="BQ486" s="66"/>
      <c r="BR486" s="435">
        <f t="shared" ref="BR486" si="1550">+BP486/BC486</f>
        <v>6.4997883846814139E-2</v>
      </c>
      <c r="BS486" s="66"/>
      <c r="BT486" s="75"/>
      <c r="BU486" s="170"/>
      <c r="BV486" s="1"/>
      <c r="BW486" s="61">
        <f t="shared" si="1175"/>
        <v>477</v>
      </c>
    </row>
    <row r="487" spans="2:75" x14ac:dyDescent="0.3">
      <c r="B487" s="158">
        <f t="shared" si="424"/>
        <v>44387</v>
      </c>
      <c r="C487" s="61"/>
      <c r="D487" s="17">
        <v>14535</v>
      </c>
      <c r="E487" s="16"/>
      <c r="F487" s="16"/>
      <c r="G487" s="16"/>
      <c r="H487" s="16">
        <f t="shared" ref="H487" si="1551">+H486+D487</f>
        <v>34163251</v>
      </c>
      <c r="I487" s="16"/>
      <c r="J487" s="436">
        <f t="shared" ref="J487" si="1552">+D487/H486</f>
        <v>4.2563825825837784E-4</v>
      </c>
      <c r="K487" s="16"/>
      <c r="L487" s="16"/>
      <c r="M487" s="16"/>
      <c r="N487" s="16">
        <f t="shared" ref="N487" si="1553">SUM(D481:D487)</f>
        <v>100424</v>
      </c>
      <c r="O487" s="16">
        <f t="shared" ref="O487" si="1554">+H487/BW487</f>
        <v>71471.236401673639</v>
      </c>
      <c r="P487" s="41"/>
      <c r="Q487" s="17">
        <f t="shared" ref="Q487" si="1555">SUM(D481:D487)</f>
        <v>100424</v>
      </c>
      <c r="R487" s="16"/>
      <c r="S487" s="60">
        <f t="shared" ref="S487" si="1556">+(Q487-Q480)/Q480</f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ref="Z487" si="1557">SUM(W482:W487)</f>
        <v>1234</v>
      </c>
      <c r="AA487" s="33">
        <f t="shared" ref="AA487" si="1558">+AA486+W487</f>
        <v>607417</v>
      </c>
      <c r="AB487" s="33"/>
      <c r="AC487" s="46">
        <f t="shared" ref="AC487" si="1559">+AA487/H487</f>
        <v>1.7779835999799903E-2</v>
      </c>
      <c r="AD487" s="33"/>
      <c r="AE487" s="33">
        <f t="shared" ref="AE487" si="1560">+AA487/BW487</f>
        <v>1270.7468619246863</v>
      </c>
      <c r="AF487" s="50"/>
      <c r="AG487" s="33">
        <f t="shared" ref="AG487" si="1561">SUM(W481:W487)</f>
        <v>1289</v>
      </c>
      <c r="AH487" s="33">
        <f t="shared" ref="AH487" si="1562">SUM(D458:D903)</f>
        <v>1118667631.060914</v>
      </c>
      <c r="AI487" s="213">
        <f t="shared" ref="AI487" si="1563">+(AG487-AG480)/AG480</f>
        <v>-0.16623544631306597</v>
      </c>
      <c r="AJ487" s="50"/>
      <c r="AK487" s="111"/>
      <c r="AL487" s="23">
        <f t="shared" ref="AL487" si="1564">+AP487-AP486</f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ref="AR487" si="1565">+AL487/AP486</f>
        <v>4.091986263409485E-4</v>
      </c>
      <c r="AS487" s="25"/>
      <c r="AT487" s="25"/>
      <c r="AU487" s="24"/>
      <c r="AV487" s="298">
        <f t="shared" ref="AV487" si="1566">+AP487/H487</f>
        <v>0.85574203696246587</v>
      </c>
      <c r="AW487" s="298"/>
      <c r="AX487" s="24">
        <f t="shared" ref="AX487" si="1567">+AP487/BW487</f>
        <v>61160.941422594144</v>
      </c>
      <c r="AY487" s="308"/>
      <c r="AZ487" s="111"/>
      <c r="BA487" s="65">
        <f t="shared" ref="BA487" si="1568">+BC487-BC486</f>
        <v>242661</v>
      </c>
      <c r="BB487" s="66"/>
      <c r="BC487" s="66">
        <v>511670665</v>
      </c>
      <c r="BD487" s="66"/>
      <c r="BE487" s="66">
        <f t="shared" ref="BE487" si="1569">+D487</f>
        <v>14535</v>
      </c>
      <c r="BF487" s="66"/>
      <c r="BG487" s="144">
        <f t="shared" ref="BG487" si="1570">+BE487/BA487</f>
        <v>5.9898376747808672E-2</v>
      </c>
      <c r="BH487" s="66"/>
      <c r="BI487" s="170"/>
      <c r="BJ487" s="66"/>
      <c r="BK487" s="66">
        <f t="shared" ref="BK487" si="1571">SUM(BA481:BA487)</f>
        <v>4068789</v>
      </c>
      <c r="BL487" s="66"/>
      <c r="BM487" s="144">
        <f t="shared" ref="BM487" si="1572">+Q487/BK487</f>
        <v>2.4681545295172594E-2</v>
      </c>
      <c r="BN487" s="65">
        <f t="shared" ref="BN487" si="1573">+BC487/BW487</f>
        <v>1070440.7217573221</v>
      </c>
      <c r="BO487" s="66"/>
      <c r="BP487" s="66">
        <f t="shared" ref="BP487" si="1574">+BP486+BE487</f>
        <v>33256273</v>
      </c>
      <c r="BQ487" s="66"/>
      <c r="BR487" s="435">
        <f t="shared" ref="BR487" si="1575">+BP487/BC487</f>
        <v>6.4995465393741111E-2</v>
      </c>
      <c r="BS487" s="66"/>
      <c r="BT487" s="75"/>
      <c r="BU487" s="170"/>
      <c r="BV487" s="1"/>
      <c r="BW487" s="61">
        <f t="shared" si="1175"/>
        <v>478</v>
      </c>
    </row>
    <row r="488" spans="2:75" x14ac:dyDescent="0.3">
      <c r="B488" s="347">
        <f t="shared" si="424"/>
        <v>44388</v>
      </c>
      <c r="C488" s="61"/>
      <c r="D488" s="17">
        <v>6642</v>
      </c>
      <c r="E488" s="16"/>
      <c r="F488" s="16"/>
      <c r="G488" s="16"/>
      <c r="H488" s="16">
        <f t="shared" ref="H488" si="1576">+H487+D488</f>
        <v>34169893</v>
      </c>
      <c r="I488" s="16"/>
      <c r="J488" s="436">
        <f t="shared" ref="J488" si="1577">+D488/H487</f>
        <v>1.9441943625330037E-4</v>
      </c>
      <c r="K488" s="16"/>
      <c r="L488" s="16"/>
      <c r="M488" s="16"/>
      <c r="N488" s="16">
        <f t="shared" ref="N488" si="1578">SUM(D482:D488)</f>
        <v>101317</v>
      </c>
      <c r="O488" s="16">
        <f t="shared" ref="O488" si="1579">+H488/BW488</f>
        <v>71335.893528183718</v>
      </c>
      <c r="P488" s="41"/>
      <c r="Q488" s="17">
        <f t="shared" ref="Q488" si="1580">SUM(D482:D488)</f>
        <v>101317</v>
      </c>
      <c r="R488" s="16"/>
      <c r="S488" s="60">
        <f t="shared" ref="S488" si="1581">+(Q488-Q481)/Q481</f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ref="Z488" si="1582">SUM(W483:W488)</f>
        <v>1225</v>
      </c>
      <c r="AA488" s="33">
        <f t="shared" ref="AA488" si="1583">+AA487+W488</f>
        <v>607444</v>
      </c>
      <c r="AB488" s="33"/>
      <c r="AC488" s="46">
        <f t="shared" ref="AC488" si="1584">+AA488/H488</f>
        <v>1.777717009532339E-2</v>
      </c>
      <c r="AD488" s="33"/>
      <c r="AE488" s="33">
        <f t="shared" ref="AE488" si="1585">+AA488/BW488</f>
        <v>1268.1503131524009</v>
      </c>
      <c r="AF488" s="50"/>
      <c r="AG488" s="33">
        <f t="shared" ref="AG488" si="1586">SUM(W482:W488)</f>
        <v>1261</v>
      </c>
      <c r="AH488" s="33">
        <f t="shared" ref="AH488" si="1587">SUM(D459:D904)</f>
        <v>1118651486.060914</v>
      </c>
      <c r="AI488" s="213">
        <f t="shared" ref="AI488" si="1588">+(AG488-AG481)/AG481</f>
        <v>-0.15652173913043479</v>
      </c>
      <c r="AJ488" s="50"/>
      <c r="AK488" s="111"/>
      <c r="AL488" s="23">
        <f t="shared" ref="AL488" si="1589">+AP488-AP487</f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ref="AR488" si="1590">+AL488/AP487</f>
        <v>3.1376849542653256E-4</v>
      </c>
      <c r="AS488" s="25"/>
      <c r="AT488" s="25"/>
      <c r="AU488" s="24"/>
      <c r="AV488" s="298">
        <f t="shared" ref="AV488" si="1591">+AP488/H488</f>
        <v>0.85584414911688489</v>
      </c>
      <c r="AW488" s="298"/>
      <c r="AX488" s="24">
        <f t="shared" ref="AX488" si="1592">+AP488/BW488</f>
        <v>61052.407098121083</v>
      </c>
      <c r="AY488" s="308"/>
      <c r="AZ488" s="111"/>
      <c r="BA488" s="65">
        <f t="shared" ref="BA488" si="1593">+BC488-BC487</f>
        <v>134862</v>
      </c>
      <c r="BB488" s="66"/>
      <c r="BC488" s="66">
        <v>511805527</v>
      </c>
      <c r="BD488" s="66"/>
      <c r="BE488" s="66">
        <f t="shared" ref="BE488" si="1594">+D488</f>
        <v>6642</v>
      </c>
      <c r="BF488" s="66"/>
      <c r="BG488" s="144">
        <f t="shared" ref="BG488" si="1595">+BE488/BA488</f>
        <v>4.9250344796903503E-2</v>
      </c>
      <c r="BH488" s="66"/>
      <c r="BI488" s="170"/>
      <c r="BJ488" s="66"/>
      <c r="BK488" s="66">
        <f t="shared" ref="BK488" si="1596">SUM(BA482:BA488)</f>
        <v>3720515</v>
      </c>
      <c r="BL488" s="66"/>
      <c r="BM488" s="144">
        <f t="shared" ref="BM488" si="1597">+Q488/BK488</f>
        <v>2.7231982669065975E-2</v>
      </c>
      <c r="BN488" s="65">
        <f t="shared" ref="BN488" si="1598">+BC488/BW488</f>
        <v>1068487.5302713988</v>
      </c>
      <c r="BO488" s="66"/>
      <c r="BP488" s="66">
        <f t="shared" ref="BP488" si="1599">+BP487+BE488</f>
        <v>33262915</v>
      </c>
      <c r="BQ488" s="66"/>
      <c r="BR488" s="435">
        <f t="shared" ref="BR488" si="1600">+BP488/BC488</f>
        <v>6.4991316516204795E-2</v>
      </c>
      <c r="BS488" s="66"/>
      <c r="BT488" s="75"/>
      <c r="BU488" s="170"/>
      <c r="BV488" s="1"/>
      <c r="BW488" s="61">
        <f t="shared" si="1175"/>
        <v>479</v>
      </c>
    </row>
    <row r="489" spans="2:75" x14ac:dyDescent="0.3">
      <c r="B489" s="158">
        <f t="shared" si="424"/>
        <v>44389</v>
      </c>
      <c r="C489" s="61"/>
      <c r="D489" s="17">
        <v>19996</v>
      </c>
      <c r="E489" s="16"/>
      <c r="F489" s="16"/>
      <c r="G489" s="16"/>
      <c r="H489" s="16">
        <f t="shared" ref="H489" si="1601">+H488+D489</f>
        <v>34189889</v>
      </c>
      <c r="I489" s="16"/>
      <c r="J489" s="436">
        <f t="shared" ref="J489" si="1602">+D489/H488</f>
        <v>5.8519352109179853E-4</v>
      </c>
      <c r="K489" s="16"/>
      <c r="L489" s="16"/>
      <c r="M489" s="16"/>
      <c r="N489" s="16">
        <f t="shared" ref="N489" si="1603">SUM(D483:D489)</f>
        <v>116181</v>
      </c>
      <c r="O489" s="16">
        <f t="shared" ref="O489" si="1604">+H489/BW489</f>
        <v>71228.93541666666</v>
      </c>
      <c r="P489" s="41"/>
      <c r="Q489" s="17">
        <f t="shared" ref="Q489" si="1605">SUM(D483:D489)</f>
        <v>116181</v>
      </c>
      <c r="R489" s="16"/>
      <c r="S489" s="60">
        <f t="shared" ref="S489" si="1606">+(Q489-Q482)/Q482</f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ref="Z489" si="1607">SUM(W484:W489)</f>
        <v>1186</v>
      </c>
      <c r="AA489" s="33">
        <f t="shared" ref="AA489" si="1608">+AA488+W489</f>
        <v>607607</v>
      </c>
      <c r="AB489" s="33"/>
      <c r="AC489" s="46">
        <f t="shared" ref="AC489" si="1609">+AA489/H489</f>
        <v>1.7771540586165695E-2</v>
      </c>
      <c r="AD489" s="33"/>
      <c r="AE489" s="33">
        <f t="shared" ref="AE489" si="1610">+AA489/BW489</f>
        <v>1265.8479166666666</v>
      </c>
      <c r="AF489" s="50"/>
      <c r="AG489" s="33">
        <f t="shared" ref="AG489" si="1611">SUM(W483:W489)</f>
        <v>1388</v>
      </c>
      <c r="AH489" s="33">
        <f t="shared" ref="AH489" si="1612">SUM(D460:D905)</f>
        <v>1118642059.060914</v>
      </c>
      <c r="AI489" s="213">
        <f t="shared" ref="AI489" si="1613">+(AG489-AG482)/AG482</f>
        <v>1.5362106803218726E-2</v>
      </c>
      <c r="AJ489" s="50"/>
      <c r="AK489" s="111"/>
      <c r="AL489" s="23">
        <f t="shared" ref="AL489" si="1614">+AP489-AP488</f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ref="AR489" si="1615">+AL489/AP488</f>
        <v>1.2838143813130463E-3</v>
      </c>
      <c r="AS489" s="25"/>
      <c r="AT489" s="25"/>
      <c r="AU489" s="24"/>
      <c r="AV489" s="298">
        <f t="shared" ref="AV489" si="1616">+AP489/H489</f>
        <v>0.85644171000379676</v>
      </c>
      <c r="AW489" s="298"/>
      <c r="AX489" s="24">
        <f t="shared" ref="AX489" si="1617">+AP489/BW489</f>
        <v>61003.431250000001</v>
      </c>
      <c r="AY489" s="308"/>
      <c r="AZ489" s="111"/>
      <c r="BA489" s="65">
        <f t="shared" ref="BA489" si="1618">+BC489-BC488</f>
        <v>1358363</v>
      </c>
      <c r="BB489" s="66"/>
      <c r="BC489" s="66">
        <v>513163890</v>
      </c>
      <c r="BD489" s="66"/>
      <c r="BE489" s="66">
        <f t="shared" ref="BE489" si="1619">+D489</f>
        <v>19996</v>
      </c>
      <c r="BF489" s="66"/>
      <c r="BG489" s="144">
        <f t="shared" ref="BG489" si="1620">+BE489/BA489</f>
        <v>1.4720660088650825E-2</v>
      </c>
      <c r="BH489" s="66"/>
      <c r="BI489" s="170"/>
      <c r="BJ489" s="66"/>
      <c r="BK489" s="66">
        <f t="shared" ref="BK489" si="1621">SUM(BA483:BA489)</f>
        <v>4698219</v>
      </c>
      <c r="BL489" s="66"/>
      <c r="BM489" s="144">
        <f t="shared" ref="BM489" si="1622">+Q489/BK489</f>
        <v>2.4728732313244656E-2</v>
      </c>
      <c r="BN489" s="65">
        <f t="shared" ref="BN489" si="1623">+BC489/BW489</f>
        <v>1069091.4375</v>
      </c>
      <c r="BO489" s="66"/>
      <c r="BP489" s="66">
        <f t="shared" ref="BP489" si="1624">+BP488+BE489</f>
        <v>33282911</v>
      </c>
      <c r="BQ489" s="66"/>
      <c r="BR489" s="435">
        <f t="shared" ref="BR489" si="1625">+BP489/BC489</f>
        <v>6.4858248307377978E-2</v>
      </c>
      <c r="BS489" s="66"/>
      <c r="BT489" s="75"/>
      <c r="BU489" s="170"/>
      <c r="BV489" s="1"/>
      <c r="BW489" s="61">
        <f t="shared" si="1175"/>
        <v>480</v>
      </c>
    </row>
    <row r="490" spans="2:75" x14ac:dyDescent="0.3">
      <c r="B490" s="158">
        <f t="shared" si="424"/>
        <v>44390</v>
      </c>
      <c r="C490" s="61"/>
      <c r="D490" s="17">
        <v>39754</v>
      </c>
      <c r="E490" s="16"/>
      <c r="F490" s="16"/>
      <c r="G490" s="16"/>
      <c r="H490" s="16">
        <f t="shared" ref="H490" si="1626">+H489+D490</f>
        <v>34229643</v>
      </c>
      <c r="I490" s="16"/>
      <c r="J490" s="436">
        <f t="shared" ref="J490" si="1627">+D490/H489</f>
        <v>1.1627414174991912E-3</v>
      </c>
      <c r="K490" s="16"/>
      <c r="L490" s="16"/>
      <c r="M490" s="16"/>
      <c r="N490" s="16">
        <f t="shared" ref="N490" si="1628">SUM(D484:D490)</f>
        <v>144323</v>
      </c>
      <c r="O490" s="16">
        <f t="shared" ref="O490" si="1629">+H490/BW490</f>
        <v>71163.498960498953</v>
      </c>
      <c r="P490" s="41"/>
      <c r="Q490" s="17">
        <f t="shared" ref="Q490" si="1630">SUM(D484:D490)</f>
        <v>144323</v>
      </c>
      <c r="R490" s="16"/>
      <c r="S490" s="60">
        <f t="shared" ref="S490" si="1631">+(Q490-Q483)/Q483</f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ref="Z490" si="1632">SUM(W485:W490)</f>
        <v>1106</v>
      </c>
      <c r="AA490" s="33">
        <f t="shared" ref="AA490" si="1633">+AA489+W490</f>
        <v>607778</v>
      </c>
      <c r="AB490" s="33"/>
      <c r="AC490" s="46">
        <f t="shared" ref="AC490" si="1634">+AA490/H490</f>
        <v>1.7755896548497452E-2</v>
      </c>
      <c r="AD490" s="33"/>
      <c r="AE490" s="33">
        <f t="shared" ref="AE490" si="1635">+AA490/BW490</f>
        <v>1263.5717255717257</v>
      </c>
      <c r="AF490" s="50"/>
      <c r="AG490" s="33">
        <f t="shared" ref="AG490" si="1636">SUM(W484:W490)</f>
        <v>1357</v>
      </c>
      <c r="AH490" s="33">
        <f t="shared" ref="AH490" si="1637">SUM(D461:D906)</f>
        <v>1118636774.060914</v>
      </c>
      <c r="AI490" s="213">
        <f t="shared" ref="AI490" si="1638">+(AG490-AG483)/AG483</f>
        <v>6.431372549019608E-2</v>
      </c>
      <c r="AJ490" s="50"/>
      <c r="AK490" s="111" t="s">
        <v>26</v>
      </c>
      <c r="AL490" s="23">
        <f t="shared" ref="AL490" si="1639">+AP490-AP489</f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ref="AR490" si="1640">+AL490/AP489</f>
        <v>6.2677485320412473E-4</v>
      </c>
      <c r="AS490" s="25"/>
      <c r="AT490" s="25"/>
      <c r="AU490" s="24"/>
      <c r="AV490" s="298">
        <f t="shared" ref="AV490" si="1641">+AP490/H490</f>
        <v>0.85598321898945895</v>
      </c>
      <c r="AW490" s="298"/>
      <c r="AX490" s="24">
        <f t="shared" ref="AX490" si="1642">+AP490/BW490</f>
        <v>60914.760914760918</v>
      </c>
      <c r="AY490" s="308"/>
      <c r="AZ490" s="111" t="s">
        <v>26</v>
      </c>
      <c r="BA490" s="65">
        <f t="shared" ref="BA490" si="1643">+BC490-BC489</f>
        <v>536110</v>
      </c>
      <c r="BB490" s="66"/>
      <c r="BC490" s="66">
        <v>513700000</v>
      </c>
      <c r="BD490" s="66"/>
      <c r="BE490" s="66">
        <f t="shared" ref="BE490" si="1644">+D490</f>
        <v>39754</v>
      </c>
      <c r="BF490" s="66"/>
      <c r="BG490" s="144">
        <f t="shared" ref="BG490" si="1645">+BE490/BA490</f>
        <v>7.4152692544440513E-2</v>
      </c>
      <c r="BH490" s="66"/>
      <c r="BI490" s="170"/>
      <c r="BJ490" s="66"/>
      <c r="BK490" s="66">
        <f t="shared" ref="BK490" si="1646">SUM(BA484:BA490)</f>
        <v>4483397</v>
      </c>
      <c r="BL490" s="66"/>
      <c r="BM490" s="144">
        <f t="shared" ref="BM490" si="1647">+Q490/BK490</f>
        <v>3.2190546587777077E-2</v>
      </c>
      <c r="BN490" s="65">
        <f t="shared" ref="BN490" si="1648">+BC490/BW490</f>
        <v>1067983.367983368</v>
      </c>
      <c r="BO490" s="66"/>
      <c r="BP490" s="66">
        <f t="shared" ref="BP490" si="1649">+BP489+BE490</f>
        <v>33322665</v>
      </c>
      <c r="BQ490" s="66"/>
      <c r="BR490" s="435">
        <f t="shared" ref="BR490" si="1650">+BP490/BC490</f>
        <v>6.4867948218804747E-2</v>
      </c>
      <c r="BS490" s="66"/>
      <c r="BT490" s="75"/>
      <c r="BU490" s="170"/>
      <c r="BV490" s="1"/>
      <c r="BW490" s="61">
        <f t="shared" si="1175"/>
        <v>481</v>
      </c>
    </row>
    <row r="491" spans="2:75" x14ac:dyDescent="0.3">
      <c r="B491" s="158">
        <f t="shared" si="424"/>
        <v>44391</v>
      </c>
      <c r="C491" s="61"/>
      <c r="D491" s="17">
        <v>35447</v>
      </c>
      <c r="E491" s="16"/>
      <c r="F491" s="16"/>
      <c r="G491" s="16"/>
      <c r="H491" s="16">
        <f t="shared" ref="H491" si="1651">+H490+D491</f>
        <v>34265090</v>
      </c>
      <c r="I491" s="16"/>
      <c r="J491" s="436">
        <f t="shared" ref="J491" si="1652">+D491/H490</f>
        <v>1.0355644083112406E-3</v>
      </c>
      <c r="K491" s="16"/>
      <c r="L491" s="16"/>
      <c r="M491" s="16"/>
      <c r="N491" s="16">
        <f t="shared" ref="N491" si="1653">SUM(D485:D491)</f>
        <v>162958</v>
      </c>
      <c r="O491" s="16">
        <f t="shared" ref="O491" si="1654">+H491/BW491</f>
        <v>71089.398340248968</v>
      </c>
      <c r="P491" s="41"/>
      <c r="Q491" s="17">
        <f t="shared" ref="Q491" si="1655">SUM(D485:D491)</f>
        <v>162958</v>
      </c>
      <c r="R491" s="16"/>
      <c r="S491" s="60">
        <f t="shared" ref="S491" si="1656">+(Q491-Q484)/Q484</f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ref="Z491" si="1657">SUM(W486:W491)</f>
        <v>1192</v>
      </c>
      <c r="AA491" s="33">
        <f t="shared" ref="AA491" si="1658">+AA490+W491</f>
        <v>608125</v>
      </c>
      <c r="AB491" s="33"/>
      <c r="AC491" s="46">
        <f t="shared" ref="AC491" si="1659">+AA491/H491</f>
        <v>1.7747655120707403E-2</v>
      </c>
      <c r="AD491" s="33"/>
      <c r="AE491" s="33">
        <f t="shared" ref="AE491" si="1660">+AA491/BW491</f>
        <v>1261.6701244813278</v>
      </c>
      <c r="AF491" s="50"/>
      <c r="AG491" s="33">
        <f t="shared" ref="AG491" si="1661">SUM(W485:W491)</f>
        <v>1453</v>
      </c>
      <c r="AH491" s="33">
        <f t="shared" ref="AH491" si="1662">SUM(D462:D907)</f>
        <v>1118625253.060914</v>
      </c>
      <c r="AI491" s="213">
        <f t="shared" ref="AI491" si="1663">+(AG491-AG484)/AG484</f>
        <v>0.13782302270947533</v>
      </c>
      <c r="AJ491" s="50"/>
      <c r="AK491" s="111"/>
      <c r="AL491" s="23">
        <f t="shared" ref="AL491" si="1664">+AP491-AP490</f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ref="AR491" si="1665">+AL491/AP490</f>
        <v>8.2935153583617749E-4</v>
      </c>
      <c r="AS491" s="25"/>
      <c r="AT491" s="25"/>
      <c r="AU491" s="24"/>
      <c r="AV491" s="298">
        <f t="shared" ref="AV491" si="1666">+AP491/H491</f>
        <v>0.85580688683438455</v>
      </c>
      <c r="AW491" s="298"/>
      <c r="AX491" s="24">
        <f t="shared" ref="AX491" si="1667">+AP491/BW491</f>
        <v>60838.796680497922</v>
      </c>
      <c r="AY491" s="308"/>
      <c r="AZ491" s="111"/>
      <c r="BA491" s="65">
        <f t="shared" ref="BA491" si="1668">+BC491-BC490</f>
        <v>874420</v>
      </c>
      <c r="BB491" s="66"/>
      <c r="BC491" s="66">
        <v>514574420</v>
      </c>
      <c r="BD491" s="66"/>
      <c r="BE491" s="66">
        <f t="shared" ref="BE491" si="1669">+D491</f>
        <v>35447</v>
      </c>
      <c r="BF491" s="66"/>
      <c r="BG491" s="144">
        <f t="shared" ref="BG491" si="1670">+BE491/BA491</f>
        <v>4.0537727865327874E-2</v>
      </c>
      <c r="BH491" s="66"/>
      <c r="BI491" s="170"/>
      <c r="BJ491" s="66"/>
      <c r="BK491" s="66">
        <f t="shared" ref="BK491" si="1671">SUM(BA485:BA491)</f>
        <v>4871547</v>
      </c>
      <c r="BL491" s="66"/>
      <c r="BM491" s="144">
        <f t="shared" ref="BM491" si="1672">+Q491/BK491</f>
        <v>3.3450975634639266E-2</v>
      </c>
      <c r="BN491" s="65">
        <f t="shared" ref="BN491" si="1673">+BC491/BW491</f>
        <v>1067581.7842323652</v>
      </c>
      <c r="BO491" s="66"/>
      <c r="BP491" s="66">
        <f t="shared" ref="BP491" si="1674">+BP490+BE491</f>
        <v>33358112</v>
      </c>
      <c r="BQ491" s="66"/>
      <c r="BR491" s="435">
        <f t="shared" ref="BR491" si="1675">+BP491/BC491</f>
        <v>6.4826603700976815E-2</v>
      </c>
      <c r="BS491" s="66"/>
      <c r="BT491" s="75"/>
      <c r="BU491" s="170"/>
      <c r="BV491" s="1"/>
      <c r="BW491" s="61">
        <f t="shared" si="1175"/>
        <v>482</v>
      </c>
    </row>
    <row r="492" spans="2:75" x14ac:dyDescent="0.3">
      <c r="B492" s="158">
        <f t="shared" si="424"/>
        <v>44392</v>
      </c>
      <c r="C492" s="61"/>
      <c r="D492" s="17">
        <v>36674</v>
      </c>
      <c r="E492" s="16"/>
      <c r="F492" s="16"/>
      <c r="G492" s="16"/>
      <c r="H492" s="16">
        <f t="shared" ref="H492" si="1676">+H491+D492</f>
        <v>34301764</v>
      </c>
      <c r="I492" s="16"/>
      <c r="J492" s="436">
        <f t="shared" ref="J492" si="1677">+D492/H491</f>
        <v>1.0703021646813126E-3</v>
      </c>
      <c r="K492" s="16"/>
      <c r="L492" s="16"/>
      <c r="M492" s="16"/>
      <c r="N492" s="16">
        <f t="shared" ref="N492" si="1678">SUM(D486:D492)</f>
        <v>180285</v>
      </c>
      <c r="O492" s="16">
        <f t="shared" ref="O492" si="1679">+H492/BW492</f>
        <v>71018.144927536225</v>
      </c>
      <c r="P492" s="41"/>
      <c r="Q492" s="17">
        <f t="shared" ref="Q492" si="1680">SUM(D486:D492)</f>
        <v>180285</v>
      </c>
      <c r="R492" s="16"/>
      <c r="S492" s="60">
        <f t="shared" ref="S492" si="1681">+(Q492-Q485)/Q485</f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ref="Z492" si="1682">SUM(W487:W492)</f>
        <v>1170</v>
      </c>
      <c r="AA492" s="33">
        <f t="shared" ref="AA492" si="1683">+AA491+W492</f>
        <v>608469</v>
      </c>
      <c r="AB492" s="33"/>
      <c r="AC492" s="46">
        <f t="shared" ref="AC492" si="1684">+AA492/H492</f>
        <v>1.7738708714805453E-2</v>
      </c>
      <c r="AD492" s="33"/>
      <c r="AE492" s="33">
        <f t="shared" ref="AE492" si="1685">+AA492/BW492</f>
        <v>1259.7701863354037</v>
      </c>
      <c r="AF492" s="50"/>
      <c r="AG492" s="33">
        <f t="shared" ref="AG492" si="1686">SUM(W486:W492)</f>
        <v>1536</v>
      </c>
      <c r="AH492" s="33">
        <f t="shared" ref="AH492" si="1687">SUM(D463:D908)</f>
        <v>1118612673.060914</v>
      </c>
      <c r="AI492" s="213">
        <f t="shared" ref="AI492" si="1688">+(AG492-AG485)/AG485</f>
        <v>0.25592804578904332</v>
      </c>
      <c r="AJ492" s="50"/>
      <c r="AK492" s="111"/>
      <c r="AL492" s="23">
        <f t="shared" ref="AL492" si="1689">+AP492-AP491</f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ref="AR492" si="1690">+AL492/AP491</f>
        <v>6.006281479864822E-4</v>
      </c>
      <c r="AS492" s="25"/>
      <c r="AT492" s="25"/>
      <c r="AU492" s="24"/>
      <c r="AV492" s="298">
        <f t="shared" ref="AV492" si="1691">+AP492/H492</f>
        <v>0.85540536632460074</v>
      </c>
      <c r="AW492" s="298"/>
      <c r="AX492" s="24">
        <f t="shared" ref="AX492" si="1692">+AP492/BW492</f>
        <v>60749.302277432711</v>
      </c>
      <c r="AY492" s="308"/>
      <c r="AZ492" s="111"/>
      <c r="BA492" s="65">
        <f t="shared" ref="BA492" si="1693">+BC492-BC491</f>
        <v>637606</v>
      </c>
      <c r="BB492" s="66"/>
      <c r="BC492" s="66">
        <v>515212026</v>
      </c>
      <c r="BD492" s="66"/>
      <c r="BE492" s="66">
        <f t="shared" ref="BE492" si="1694">+D492</f>
        <v>36674</v>
      </c>
      <c r="BF492" s="66"/>
      <c r="BG492" s="144">
        <f t="shared" ref="BG492" si="1695">+BE492/BA492</f>
        <v>5.7518279313557276E-2</v>
      </c>
      <c r="BH492" s="66"/>
      <c r="BI492" s="170"/>
      <c r="BJ492" s="66"/>
      <c r="BK492" s="66">
        <f t="shared" ref="BK492" si="1696">SUM(BA486:BA492)</f>
        <v>4731685</v>
      </c>
      <c r="BL492" s="66"/>
      <c r="BM492" s="144">
        <f t="shared" ref="BM492" si="1697">+Q492/BK492</f>
        <v>3.810164877839501E-2</v>
      </c>
      <c r="BN492" s="65">
        <f t="shared" ref="BN492" si="1698">+BC492/BW492</f>
        <v>1066691.5652173914</v>
      </c>
      <c r="BO492" s="66"/>
      <c r="BP492" s="66">
        <f t="shared" ref="BP492" si="1699">+BP491+BE492</f>
        <v>33394786</v>
      </c>
      <c r="BQ492" s="66"/>
      <c r="BR492" s="435">
        <f t="shared" ref="BR492" si="1700">+BP492/BC492</f>
        <v>6.4817559208138517E-2</v>
      </c>
      <c r="BS492" s="66"/>
      <c r="BT492" s="75"/>
      <c r="BU492" s="170"/>
      <c r="BV492" s="1"/>
      <c r="BW492" s="61">
        <f t="shared" si="1175"/>
        <v>483</v>
      </c>
    </row>
    <row r="493" spans="2:75" x14ac:dyDescent="0.3">
      <c r="B493" s="158">
        <f t="shared" si="424"/>
        <v>44393</v>
      </c>
      <c r="C493" s="61"/>
      <c r="D493" s="17">
        <v>40529</v>
      </c>
      <c r="E493" s="16"/>
      <c r="F493" s="16"/>
      <c r="G493" s="16"/>
      <c r="H493" s="16">
        <f t="shared" ref="H493" si="1701">+H492+D493</f>
        <v>34342293</v>
      </c>
      <c r="I493" s="16"/>
      <c r="J493" s="436">
        <f t="shared" ref="J493" si="1702">+D493/H492</f>
        <v>1.1815427334874089E-3</v>
      </c>
      <c r="K493" s="16"/>
      <c r="L493" s="16"/>
      <c r="M493" s="16"/>
      <c r="N493" s="16">
        <f t="shared" ref="N493" si="1703">SUM(D487:D493)</f>
        <v>193577</v>
      </c>
      <c r="O493" s="16">
        <f t="shared" ref="O493" si="1704">+H493/BW493</f>
        <v>70955.150826446275</v>
      </c>
      <c r="P493" s="41"/>
      <c r="Q493" s="17">
        <f t="shared" ref="Q493" si="1705">SUM(D487:D493)</f>
        <v>193577</v>
      </c>
      <c r="R493" s="16"/>
      <c r="S493" s="60">
        <f t="shared" ref="S493" si="1706">+(Q493-Q486)/Q486</f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ref="Z493" si="1707">SUM(W488:W493)</f>
        <v>1345</v>
      </c>
      <c r="AA493" s="33">
        <f t="shared" ref="AA493" si="1708">+AA492+W493</f>
        <v>608762</v>
      </c>
      <c r="AB493" s="33"/>
      <c r="AC493" s="46">
        <f t="shared" ref="AC493" si="1709">+AA493/H493</f>
        <v>1.7726306161327084E-2</v>
      </c>
      <c r="AD493" s="33"/>
      <c r="AE493" s="33">
        <f t="shared" ref="AE493" si="1710">+AA493/BW493</f>
        <v>1257.7727272727273</v>
      </c>
      <c r="AF493" s="50"/>
      <c r="AG493" s="33">
        <f t="shared" ref="AG493" si="1711">SUM(W487:W493)</f>
        <v>1463</v>
      </c>
      <c r="AH493" s="33">
        <f t="shared" ref="AH493" si="1712">SUM(D464:D909)</f>
        <v>1118598610.060914</v>
      </c>
      <c r="AI493" s="213">
        <f t="shared" ref="AI493" si="1713">+(AG493-AG486)/AG486</f>
        <v>0.15469613259668508</v>
      </c>
      <c r="AJ493" s="50"/>
      <c r="AK493" s="111"/>
      <c r="AL493" s="23">
        <f t="shared" ref="AL493" si="1714">+AP493-AP492</f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ref="AR493" si="1715">+AL493/AP492</f>
        <v>5.6635707426438075E-4</v>
      </c>
      <c r="AS493" s="25"/>
      <c r="AT493" s="25"/>
      <c r="AU493" s="24"/>
      <c r="AV493" s="298">
        <f t="shared" ref="AV493" si="1716">+AP493/H493</f>
        <v>0.85487975424355034</v>
      </c>
      <c r="AW493" s="298"/>
      <c r="AX493" s="24">
        <f t="shared" ref="AX493" si="1717">+AP493/BW493</f>
        <v>60658.121900826445</v>
      </c>
      <c r="AY493" s="308"/>
      <c r="AZ493" s="111"/>
      <c r="BA493" s="65">
        <f t="shared" ref="BA493" si="1718">+BC493-BC492</f>
        <v>852776</v>
      </c>
      <c r="BB493" s="66"/>
      <c r="BC493" s="66">
        <v>516064802</v>
      </c>
      <c r="BD493" s="66"/>
      <c r="BE493" s="66">
        <f t="shared" ref="BE493" si="1719">+D493</f>
        <v>40529</v>
      </c>
      <c r="BF493" s="66"/>
      <c r="BG493" s="144">
        <f t="shared" ref="BG493" si="1720">+BE493/BA493</f>
        <v>4.7525962269107012E-2</v>
      </c>
      <c r="BH493" s="66"/>
      <c r="BI493" s="170"/>
      <c r="BJ493" s="66"/>
      <c r="BK493" s="66">
        <f t="shared" ref="BK493" si="1721">SUM(BA487:BA493)</f>
        <v>4636798</v>
      </c>
      <c r="BL493" s="66"/>
      <c r="BM493" s="144">
        <f t="shared" ref="BM493" si="1722">+Q493/BK493</f>
        <v>4.1747990747062952E-2</v>
      </c>
      <c r="BN493" s="65">
        <f t="shared" ref="BN493" si="1723">+BC493/BW493</f>
        <v>1066249.5909090908</v>
      </c>
      <c r="BO493" s="66"/>
      <c r="BP493" s="66">
        <f t="shared" ref="BP493" si="1724">+BP492+BE493</f>
        <v>33435315</v>
      </c>
      <c r="BQ493" s="66"/>
      <c r="BR493" s="435">
        <f t="shared" ref="BR493" si="1725">+BP493/BC493</f>
        <v>6.478898555069447E-2</v>
      </c>
      <c r="BS493" s="66"/>
      <c r="BT493" s="75"/>
      <c r="BU493" s="170"/>
      <c r="BV493" s="1"/>
      <c r="BW493" s="61">
        <f t="shared" si="1175"/>
        <v>484</v>
      </c>
    </row>
    <row r="494" spans="2:75" x14ac:dyDescent="0.3">
      <c r="B494" s="158">
        <f t="shared" si="424"/>
        <v>44394</v>
      </c>
      <c r="C494" s="61"/>
      <c r="D494" s="17">
        <v>24081</v>
      </c>
      <c r="E494" s="16"/>
      <c r="F494" s="16"/>
      <c r="G494" s="16"/>
      <c r="H494" s="16">
        <f t="shared" ref="H494" si="1726">+H493+D494</f>
        <v>34366374</v>
      </c>
      <c r="I494" s="16"/>
      <c r="J494" s="436">
        <f t="shared" ref="J494" si="1727">+D494/H493</f>
        <v>7.0120536214631911E-4</v>
      </c>
      <c r="K494" s="16"/>
      <c r="L494" s="16"/>
      <c r="M494" s="16"/>
      <c r="N494" s="16">
        <f t="shared" ref="N494" si="1728">SUM(D488:D494)</f>
        <v>203123</v>
      </c>
      <c r="O494" s="16">
        <f t="shared" ref="O494" si="1729">+H494/BW494</f>
        <v>70858.503092783503</v>
      </c>
      <c r="P494" s="41"/>
      <c r="Q494" s="17">
        <f t="shared" ref="Q494" si="1730">SUM(D488:D494)</f>
        <v>203123</v>
      </c>
      <c r="R494" s="16"/>
      <c r="S494" s="60">
        <f t="shared" ref="S494" si="1731">+(Q494-Q487)/Q487</f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ref="Z494" si="1732">SUM(W489:W494)</f>
        <v>1431</v>
      </c>
      <c r="AA494" s="33">
        <f t="shared" ref="AA494" si="1733">+AA493+W494</f>
        <v>608875</v>
      </c>
      <c r="AB494" s="33"/>
      <c r="AC494" s="46">
        <f t="shared" ref="AC494" si="1734">+AA494/H494</f>
        <v>1.7717173187954016E-2</v>
      </c>
      <c r="AD494" s="33"/>
      <c r="AE494" s="33">
        <f t="shared" ref="AE494" si="1735">+AA494/BW494</f>
        <v>1255.4123711340205</v>
      </c>
      <c r="AF494" s="50"/>
      <c r="AG494" s="33">
        <f t="shared" ref="AG494" si="1736">SUM(W488:W494)</f>
        <v>1458</v>
      </c>
      <c r="AH494" s="33">
        <f t="shared" ref="AH494" si="1737">SUM(D465:D910)</f>
        <v>1118584877.060914</v>
      </c>
      <c r="AI494" s="213">
        <f t="shared" ref="AI494" si="1738">+(AG494-AG487)/AG487</f>
        <v>0.13110938712179984</v>
      </c>
      <c r="AJ494" s="50"/>
      <c r="AK494" s="111"/>
      <c r="AL494" s="23">
        <f t="shared" ref="AL494" si="1739">+AP494-AP493</f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ref="AR494" si="1740">+AL494/AP493</f>
        <v>3.6275656980248774E-4</v>
      </c>
      <c r="AS494" s="25"/>
      <c r="AT494" s="25"/>
      <c r="AU494" s="24"/>
      <c r="AV494" s="298">
        <f t="shared" ref="AV494" si="1741">+AP494/H494</f>
        <v>0.8545906239628307</v>
      </c>
      <c r="AW494" s="298"/>
      <c r="AX494" s="24">
        <f t="shared" ref="AX494" si="1742">+AP494/BW494</f>
        <v>60555.01237113402</v>
      </c>
      <c r="AY494" s="308"/>
      <c r="AZ494" s="111"/>
      <c r="BA494" s="65">
        <f t="shared" ref="BA494" si="1743">+BC494-BC493</f>
        <v>212860</v>
      </c>
      <c r="BB494" s="66"/>
      <c r="BC494" s="66">
        <v>516277662</v>
      </c>
      <c r="BD494" s="66"/>
      <c r="BE494" s="66">
        <f t="shared" ref="BE494" si="1744">+D494</f>
        <v>24081</v>
      </c>
      <c r="BF494" s="66"/>
      <c r="BG494" s="144">
        <f t="shared" ref="BG494" si="1745">+BE494/BA494</f>
        <v>0.11313069623226533</v>
      </c>
      <c r="BH494" s="66"/>
      <c r="BI494" s="170"/>
      <c r="BJ494" s="66"/>
      <c r="BK494" s="66">
        <f t="shared" ref="BK494" si="1746">SUM(BA488:BA494)</f>
        <v>4606997</v>
      </c>
      <c r="BL494" s="66"/>
      <c r="BM494" s="144">
        <f t="shared" ref="BM494" si="1747">+Q494/BK494</f>
        <v>4.409010902329652E-2</v>
      </c>
      <c r="BN494" s="65">
        <f t="shared" ref="BN494" si="1748">+BC494/BW494</f>
        <v>1064490.024742268</v>
      </c>
      <c r="BO494" s="66"/>
      <c r="BP494" s="66">
        <f t="shared" ref="BP494" si="1749">+BP493+BE494</f>
        <v>33459396</v>
      </c>
      <c r="BQ494" s="66"/>
      <c r="BR494" s="435">
        <f t="shared" ref="BR494" si="1750">+BP494/BC494</f>
        <v>6.480891671815156E-2</v>
      </c>
      <c r="BS494" s="66"/>
      <c r="BT494" s="75"/>
      <c r="BU494" s="170"/>
      <c r="BV494" s="1"/>
      <c r="BW494" s="61">
        <f t="shared" si="1175"/>
        <v>485</v>
      </c>
    </row>
    <row r="495" spans="2:75" x14ac:dyDescent="0.3">
      <c r="B495" s="347">
        <f t="shared" si="424"/>
        <v>44395</v>
      </c>
      <c r="C495" s="61"/>
      <c r="D495" s="17">
        <v>22278</v>
      </c>
      <c r="E495" s="16"/>
      <c r="F495" s="16"/>
      <c r="G495" s="16"/>
      <c r="H495" s="16">
        <f t="shared" ref="H495" si="1751">+H494+D495</f>
        <v>34388652</v>
      </c>
      <c r="I495" s="16"/>
      <c r="J495" s="436">
        <f t="shared" ref="J495" si="1752">+D495/H494</f>
        <v>6.4824994338943064E-4</v>
      </c>
      <c r="K495" s="16"/>
      <c r="L495" s="16"/>
      <c r="M495" s="16"/>
      <c r="N495" s="16">
        <f t="shared" ref="N495" si="1753">SUM(D489:D495)</f>
        <v>218759</v>
      </c>
      <c r="O495" s="16">
        <f t="shared" ref="O495" si="1754">+H495/BW495</f>
        <v>70758.543209876545</v>
      </c>
      <c r="P495" s="41"/>
      <c r="Q495" s="17">
        <f t="shared" ref="Q495" si="1755">SUM(D489:D495)</f>
        <v>218759</v>
      </c>
      <c r="R495" s="16"/>
      <c r="S495" s="60">
        <f t="shared" ref="S495" si="1756">+(Q495-Q488)/Q488</f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ref="Z495" si="1757">SUM(W490:W495)</f>
        <v>1350</v>
      </c>
      <c r="AA495" s="33">
        <f t="shared" ref="AA495" si="1758">+AA494+W495</f>
        <v>608957</v>
      </c>
      <c r="AB495" s="33"/>
      <c r="AC495" s="46">
        <f t="shared" ref="AC495" si="1759">+AA495/H495</f>
        <v>1.7708079979407161E-2</v>
      </c>
      <c r="AD495" s="33"/>
      <c r="AE495" s="33">
        <f t="shared" ref="AE495" si="1760">+AA495/BW495</f>
        <v>1252.9979423868313</v>
      </c>
      <c r="AF495" s="50"/>
      <c r="AG495" s="33">
        <f t="shared" ref="AG495" si="1761">SUM(W489:W495)</f>
        <v>1513</v>
      </c>
      <c r="AH495" s="33">
        <f t="shared" ref="AH495" si="1762">SUM(D466:D911)</f>
        <v>1118571488.060914</v>
      </c>
      <c r="AI495" s="213">
        <f t="shared" ref="AI495" si="1763">+(AG495-AG488)/AG488</f>
        <v>0.19984139571768439</v>
      </c>
      <c r="AJ495" s="50"/>
      <c r="AK495" s="111"/>
      <c r="AL495" s="23">
        <f t="shared" ref="AL495" si="1764">+AP495-AP494</f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ref="AR495" si="1765">+AL495/AP494</f>
        <v>3.8652763248658519E-4</v>
      </c>
      <c r="AS495" s="25"/>
      <c r="AT495" s="25"/>
      <c r="AU495" s="24"/>
      <c r="AV495" s="298">
        <f t="shared" ref="AV495" si="1766">+AP495/H495</f>
        <v>0.85436710342702582</v>
      </c>
      <c r="AW495" s="298"/>
      <c r="AX495" s="24">
        <f t="shared" ref="AX495" si="1767">+AP495/BW495</f>
        <v>60453.771604938273</v>
      </c>
      <c r="AY495" s="308"/>
      <c r="AZ495" s="111"/>
      <c r="BA495" s="65">
        <f t="shared" ref="BA495" si="1768">+BC495-BC494</f>
        <v>1092874</v>
      </c>
      <c r="BB495" s="66"/>
      <c r="BC495" s="66">
        <v>517370536</v>
      </c>
      <c r="BD495" s="66"/>
      <c r="BE495" s="66">
        <f t="shared" ref="BE495" si="1769">+D495</f>
        <v>22278</v>
      </c>
      <c r="BF495" s="66"/>
      <c r="BG495" s="144">
        <f t="shared" ref="BG495" si="1770">+BE495/BA495</f>
        <v>2.0384783607259392E-2</v>
      </c>
      <c r="BH495" s="66"/>
      <c r="BI495" s="170"/>
      <c r="BJ495" s="66"/>
      <c r="BK495" s="66">
        <f t="shared" ref="BK495" si="1771">SUM(BA489:BA495)</f>
        <v>5565009</v>
      </c>
      <c r="BL495" s="66"/>
      <c r="BM495" s="144">
        <f t="shared" ref="BM495" si="1772">+Q495/BK495</f>
        <v>3.9309729777615814E-2</v>
      </c>
      <c r="BN495" s="65">
        <f t="shared" ref="BN495" si="1773">+BC495/BW495</f>
        <v>1064548.4279835392</v>
      </c>
      <c r="BO495" s="66"/>
      <c r="BP495" s="66">
        <f t="shared" ref="BP495" si="1774">+BP494+BE495</f>
        <v>33481674</v>
      </c>
      <c r="BQ495" s="66"/>
      <c r="BR495" s="435">
        <f t="shared" ref="BR495" si="1775">+BP495/BC495</f>
        <v>6.4715076855478296E-2</v>
      </c>
      <c r="BS495" s="66"/>
      <c r="BT495" s="75"/>
      <c r="BU495" s="170"/>
      <c r="BV495" s="1"/>
      <c r="BW495" s="61">
        <f t="shared" si="1175"/>
        <v>486</v>
      </c>
    </row>
    <row r="496" spans="2:75" x14ac:dyDescent="0.3">
      <c r="B496" s="158">
        <f t="shared" si="424"/>
        <v>44396</v>
      </c>
      <c r="C496" s="61"/>
      <c r="D496" s="17">
        <v>32576</v>
      </c>
      <c r="E496" s="16"/>
      <c r="F496" s="16"/>
      <c r="G496" s="16"/>
      <c r="H496" s="16">
        <f t="shared" ref="H496" si="1776">+H495+D496</f>
        <v>34421228</v>
      </c>
      <c r="I496" s="16"/>
      <c r="J496" s="436">
        <f t="shared" ref="J496" si="1777">+D496/H495</f>
        <v>9.4728923948516502E-4</v>
      </c>
      <c r="K496" s="16"/>
      <c r="L496" s="16"/>
      <c r="M496" s="16"/>
      <c r="N496" s="16">
        <f t="shared" ref="N496" si="1778">SUM(D490:D496)</f>
        <v>231339</v>
      </c>
      <c r="O496" s="16">
        <f t="shared" ref="O496" si="1779">+H496/BW496</f>
        <v>70680.139630390142</v>
      </c>
      <c r="P496" s="41"/>
      <c r="Q496" s="17">
        <f t="shared" ref="Q496" si="1780">SUM(D490:D496)</f>
        <v>231339</v>
      </c>
      <c r="R496" s="16"/>
      <c r="S496" s="60">
        <f t="shared" ref="S496" si="1781">+(Q496-Q489)/Q489</f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ref="Z496" si="1782">SUM(W491:W496)</f>
        <v>1316</v>
      </c>
      <c r="AA496" s="33">
        <f t="shared" ref="AA496" si="1783">+AA495+W496</f>
        <v>609094</v>
      </c>
      <c r="AB496" s="33"/>
      <c r="AC496" s="46">
        <f t="shared" ref="AC496" si="1784">+AA496/H496</f>
        <v>1.7695301283266244E-2</v>
      </c>
      <c r="AD496" s="33"/>
      <c r="AE496" s="33">
        <f t="shared" ref="AE496" si="1785">+AA496/BW496</f>
        <v>1250.7063655030802</v>
      </c>
      <c r="AF496" s="50"/>
      <c r="AG496" s="33">
        <f t="shared" ref="AG496" si="1786">SUM(W490:W496)</f>
        <v>1487</v>
      </c>
      <c r="AH496" s="33">
        <f t="shared" ref="AH496" si="1787">SUM(D467:D912)</f>
        <v>1118563706.060914</v>
      </c>
      <c r="AI496" s="213">
        <f t="shared" ref="AI496" si="1788">+(AG496-AG489)/AG489</f>
        <v>7.1325648414985593E-2</v>
      </c>
      <c r="AJ496" s="50"/>
      <c r="AK496" s="111"/>
      <c r="AL496" s="23">
        <f t="shared" ref="AL496" si="1789">+AP496-AP495</f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ref="AR496" si="1790">+AL496/AP495</f>
        <v>1.0695176973133877E-3</v>
      </c>
      <c r="AS496" s="25"/>
      <c r="AT496" s="25"/>
      <c r="AU496" s="24"/>
      <c r="AV496" s="298">
        <f t="shared" ref="AV496" si="1791">+AP496/H496</f>
        <v>0.85447143257062186</v>
      </c>
      <c r="AW496" s="298"/>
      <c r="AX496" s="24">
        <f t="shared" ref="AX496" si="1792">+AP496/BW496</f>
        <v>60394.160164271045</v>
      </c>
      <c r="AY496" s="308"/>
      <c r="AZ496" s="111"/>
      <c r="BA496" s="65">
        <f t="shared" ref="BA496" si="1793">+BC496-BC495</f>
        <v>614626</v>
      </c>
      <c r="BB496" s="66"/>
      <c r="BC496" s="66">
        <v>517985162</v>
      </c>
      <c r="BD496" s="66"/>
      <c r="BE496" s="66">
        <f t="shared" ref="BE496" si="1794">+D496</f>
        <v>32576</v>
      </c>
      <c r="BF496" s="66"/>
      <c r="BG496" s="144">
        <f t="shared" ref="BG496" si="1795">+BE496/BA496</f>
        <v>5.3001337398678218E-2</v>
      </c>
      <c r="BH496" s="66"/>
      <c r="BI496" s="170"/>
      <c r="BJ496" s="66"/>
      <c r="BK496" s="66">
        <f t="shared" ref="BK496" si="1796">SUM(BA490:BA496)</f>
        <v>4821272</v>
      </c>
      <c r="BL496" s="66"/>
      <c r="BM496" s="144">
        <f t="shared" ref="BM496" si="1797">+Q496/BK496</f>
        <v>4.7982980425082838E-2</v>
      </c>
      <c r="BN496" s="65">
        <f t="shared" ref="BN496" si="1798">+BC496/BW496</f>
        <v>1063624.5626283367</v>
      </c>
      <c r="BO496" s="66"/>
      <c r="BP496" s="66">
        <f t="shared" ref="BP496" si="1799">+BP495+BE496</f>
        <v>33514250</v>
      </c>
      <c r="BQ496" s="66"/>
      <c r="BR496" s="435">
        <f t="shared" ref="BR496" si="1800">+BP496/BC496</f>
        <v>6.4701177675819219E-2</v>
      </c>
      <c r="BS496" s="66"/>
      <c r="BT496" s="75"/>
      <c r="BU496" s="170"/>
      <c r="BV496" s="1"/>
      <c r="BW496" s="61">
        <f t="shared" si="1175"/>
        <v>487</v>
      </c>
    </row>
    <row r="497" spans="2:75" x14ac:dyDescent="0.3">
      <c r="B497" s="158">
        <f t="shared" si="424"/>
        <v>44397</v>
      </c>
      <c r="C497" s="61"/>
      <c r="D497" s="17">
        <v>44232</v>
      </c>
      <c r="E497" s="16"/>
      <c r="F497" s="16"/>
      <c r="G497" s="16"/>
      <c r="H497" s="16">
        <f t="shared" ref="H497" si="1801">+H496+D497</f>
        <v>34465460</v>
      </c>
      <c r="I497" s="16"/>
      <c r="J497" s="436">
        <f t="shared" ref="J497" si="1802">+D497/H496</f>
        <v>1.2850209760093393E-3</v>
      </c>
      <c r="K497" s="16"/>
      <c r="L497" s="16"/>
      <c r="M497" s="16"/>
      <c r="N497" s="16">
        <f t="shared" ref="N497" si="1803">SUM(D491:D497)</f>
        <v>235817</v>
      </c>
      <c r="O497" s="16">
        <f t="shared" ref="O497" si="1804">+H497/BW497</f>
        <v>70625.942622950824</v>
      </c>
      <c r="P497" s="41"/>
      <c r="Q497" s="17">
        <f t="shared" ref="Q497" si="1805">SUM(D491:D497)</f>
        <v>235817</v>
      </c>
      <c r="R497" s="16"/>
      <c r="S497" s="60">
        <f t="shared" ref="S497" si="1806">+(Q497-Q490)/Q490</f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ref="Z497" si="1807">SUM(W492:W497)</f>
        <v>1225</v>
      </c>
      <c r="AA497" s="33">
        <f t="shared" ref="AA497" si="1808">+AA496+W497</f>
        <v>609350</v>
      </c>
      <c r="AB497" s="33"/>
      <c r="AC497" s="46">
        <f t="shared" ref="AC497" si="1809">+AA497/H497</f>
        <v>1.7680019358511392E-2</v>
      </c>
      <c r="AD497" s="33"/>
      <c r="AE497" s="33">
        <f t="shared" ref="AE497" si="1810">+AA497/BW497</f>
        <v>1248.6680327868853</v>
      </c>
      <c r="AF497" s="50"/>
      <c r="AG497" s="33">
        <f t="shared" ref="AG497" si="1811">SUM(W491:W497)</f>
        <v>1572</v>
      </c>
      <c r="AH497" s="33">
        <f t="shared" ref="AH497" si="1812">SUM(D468:D913)</f>
        <v>1118559284.060914</v>
      </c>
      <c r="AI497" s="213">
        <f t="shared" ref="AI497" si="1813">+(AG497-AG490)/AG490</f>
        <v>0.15843773028739869</v>
      </c>
      <c r="AJ497" s="50"/>
      <c r="AK497" s="111"/>
      <c r="AL497" s="23">
        <f t="shared" ref="AL497" si="1814">+AP497-AP496</f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ref="AR497" si="1815">+AL497/AP496</f>
        <v>7.8930486636114917E-4</v>
      </c>
      <c r="AS497" s="25"/>
      <c r="AT497" s="25"/>
      <c r="AU497" s="24"/>
      <c r="AV497" s="298">
        <f t="shared" ref="AV497" si="1816">+AP497/H497</f>
        <v>0.85404840092080592</v>
      </c>
      <c r="AW497" s="298"/>
      <c r="AX497" s="24">
        <f t="shared" ref="AX497" si="1817">+AP497/BW497</f>
        <v>60317.973360655735</v>
      </c>
      <c r="AY497" s="308"/>
      <c r="AZ497" s="111"/>
      <c r="BA497" s="65">
        <f t="shared" ref="BA497" si="1818">+BC497-BC496</f>
        <v>673069</v>
      </c>
      <c r="BB497" s="66"/>
      <c r="BC497" s="66">
        <v>518658231</v>
      </c>
      <c r="BD497" s="66"/>
      <c r="BE497" s="66">
        <f t="shared" ref="BE497" si="1819">+D497</f>
        <v>44232</v>
      </c>
      <c r="BF497" s="66"/>
      <c r="BG497" s="144">
        <f t="shared" ref="BG497" si="1820">+BE497/BA497</f>
        <v>6.571688786736575E-2</v>
      </c>
      <c r="BH497" s="66"/>
      <c r="BI497" s="170"/>
      <c r="BJ497" s="66"/>
      <c r="BK497" s="66">
        <f t="shared" ref="BK497" si="1821">SUM(BA491:BA497)</f>
        <v>4958231</v>
      </c>
      <c r="BL497" s="66"/>
      <c r="BM497" s="144">
        <f t="shared" ref="BM497" si="1822">+Q497/BK497</f>
        <v>4.7560712681599546E-2</v>
      </c>
      <c r="BN497" s="65">
        <f t="shared" ref="BN497" si="1823">+BC497/BW497</f>
        <v>1062824.2438524591</v>
      </c>
      <c r="BO497" s="66"/>
      <c r="BP497" s="66">
        <f t="shared" ref="BP497" si="1824">+BP496+BE497</f>
        <v>33558482</v>
      </c>
      <c r="BQ497" s="66"/>
      <c r="BR497" s="435">
        <f t="shared" ref="BR497" si="1825">+BP497/BC497</f>
        <v>6.4702495775103203E-2</v>
      </c>
      <c r="BS497" s="66"/>
      <c r="BT497" s="75"/>
      <c r="BU497" s="170"/>
      <c r="BV497" s="1"/>
      <c r="BW497" s="61">
        <f t="shared" si="1175"/>
        <v>488</v>
      </c>
    </row>
    <row r="498" spans="2:75" x14ac:dyDescent="0.3">
      <c r="B498" s="158">
        <f t="shared" si="424"/>
        <v>44398</v>
      </c>
      <c r="C498" s="61"/>
      <c r="D498" s="17">
        <v>56525</v>
      </c>
      <c r="E498" s="16"/>
      <c r="F498" s="16"/>
      <c r="G498" s="16"/>
      <c r="H498" s="16">
        <f t="shared" ref="H498" si="1826">+H497+D498</f>
        <v>34521985</v>
      </c>
      <c r="I498" s="16"/>
      <c r="J498" s="436">
        <f t="shared" ref="J498" si="1827">+D498/H497</f>
        <v>1.6400477463524351E-3</v>
      </c>
      <c r="K498" s="16"/>
      <c r="L498" s="16"/>
      <c r="M498" s="16"/>
      <c r="N498" s="16">
        <f t="shared" ref="N498" si="1828">SUM(D492:D498)</f>
        <v>256895</v>
      </c>
      <c r="O498" s="16">
        <f t="shared" ref="O498" si="1829">+H498/BW498</f>
        <v>70597.106339468301</v>
      </c>
      <c r="P498" s="41"/>
      <c r="Q498" s="17">
        <f t="shared" ref="Q498" si="1830">SUM(D492:D498)</f>
        <v>256895</v>
      </c>
      <c r="R498" s="16"/>
      <c r="S498" s="60">
        <f t="shared" ref="S498" si="1831">+(Q498-Q491)/Q491</f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ref="Z498" si="1832">SUM(W493:W498)</f>
        <v>1297</v>
      </c>
      <c r="AA498" s="33">
        <f t="shared" ref="AA498" si="1833">+AA497+W498</f>
        <v>609766</v>
      </c>
      <c r="AB498" s="33"/>
      <c r="AC498" s="46">
        <f t="shared" ref="AC498" si="1834">+AA498/H498</f>
        <v>1.7663121051700821E-2</v>
      </c>
      <c r="AD498" s="33"/>
      <c r="AE498" s="33">
        <f t="shared" ref="AE498" si="1835">+AA498/BW498</f>
        <v>1246.9652351738241</v>
      </c>
      <c r="AF498" s="50"/>
      <c r="AG498" s="33">
        <f t="shared" ref="AG498" si="1836">SUM(W492:W498)</f>
        <v>1641</v>
      </c>
      <c r="AH498" s="33">
        <f t="shared" ref="AH498" si="1837">SUM(D469:D914)</f>
        <v>1118549529.060914</v>
      </c>
      <c r="AI498" s="213">
        <f t="shared" ref="AI498" si="1838">+(AG498-AG491)/AG491</f>
        <v>0.12938747419132829</v>
      </c>
      <c r="AJ498" s="50"/>
      <c r="AK498" s="111"/>
      <c r="AL498" s="23">
        <f t="shared" ref="AL498" si="1839">+AP498-AP497</f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ref="AR498" si="1840">+AL498/AP497</f>
        <v>7.8925989592518425E-4</v>
      </c>
      <c r="AS498" s="25"/>
      <c r="AT498" s="25"/>
      <c r="AU498" s="24"/>
      <c r="AV498" s="298">
        <f t="shared" ref="AV498" si="1841">+AP498/H498</f>
        <v>0.85332297664806933</v>
      </c>
      <c r="AW498" s="298"/>
      <c r="AX498" s="24">
        <f t="shared" ref="AX498" si="1842">+AP498/BW498</f>
        <v>60242.132924335376</v>
      </c>
      <c r="AY498" s="308"/>
      <c r="AZ498" s="111"/>
      <c r="BA498" s="65">
        <f t="shared" ref="BA498" si="1843">+BC498-BC497</f>
        <v>822020</v>
      </c>
      <c r="BB498" s="66"/>
      <c r="BC498" s="66">
        <v>519480251</v>
      </c>
      <c r="BD498" s="66"/>
      <c r="BE498" s="66">
        <f t="shared" ref="BE498" si="1844">+D498</f>
        <v>56525</v>
      </c>
      <c r="BF498" s="66"/>
      <c r="BG498" s="144">
        <f t="shared" ref="BG498" si="1845">+BE498/BA498</f>
        <v>6.8763533733972412E-2</v>
      </c>
      <c r="BH498" s="66"/>
      <c r="BI498" s="170"/>
      <c r="BJ498" s="66"/>
      <c r="BK498" s="66">
        <f t="shared" ref="BK498" si="1846">SUM(BA492:BA498)</f>
        <v>4905831</v>
      </c>
      <c r="BL498" s="66"/>
      <c r="BM498" s="144">
        <f t="shared" ref="BM498" si="1847">+Q498/BK498</f>
        <v>5.2365236389105126E-2</v>
      </c>
      <c r="BN498" s="65">
        <f t="shared" ref="BN498" si="1848">+BC498/BW498</f>
        <v>1062331.8016359918</v>
      </c>
      <c r="BO498" s="66"/>
      <c r="BP498" s="66">
        <f t="shared" ref="BP498" si="1849">+BP497+BE498</f>
        <v>33615007</v>
      </c>
      <c r="BQ498" s="66"/>
      <c r="BR498" s="435">
        <f t="shared" ref="BR498" si="1850">+BP498/BC498</f>
        <v>6.4708921918188569E-2</v>
      </c>
      <c r="BS498" s="66"/>
      <c r="BT498" s="75"/>
      <c r="BU498" s="170"/>
      <c r="BV498" s="1"/>
      <c r="BW498" s="61">
        <f t="shared" si="1175"/>
        <v>489</v>
      </c>
    </row>
    <row r="499" spans="2:75" x14ac:dyDescent="0.3">
      <c r="B499" s="158">
        <f t="shared" si="424"/>
        <v>44399</v>
      </c>
      <c r="C499" s="61"/>
      <c r="D499" s="17">
        <v>61651</v>
      </c>
      <c r="E499" s="16"/>
      <c r="F499" s="16"/>
      <c r="G499" s="16"/>
      <c r="H499" s="16">
        <f t="shared" ref="H499" si="1851">+H498+D499</f>
        <v>34583636</v>
      </c>
      <c r="I499" s="16"/>
      <c r="J499" s="436">
        <f t="shared" ref="J499" si="1852">+D499/H498</f>
        <v>1.7858474824086737E-3</v>
      </c>
      <c r="K499" s="16"/>
      <c r="L499" s="16"/>
      <c r="M499" s="16"/>
      <c r="N499" s="16">
        <f t="shared" ref="N499" si="1853">SUM(D493:D499)</f>
        <v>281872</v>
      </c>
      <c r="O499" s="16">
        <f t="shared" ref="O499" si="1854">+H499/BW499</f>
        <v>70578.848979591843</v>
      </c>
      <c r="P499" s="41"/>
      <c r="Q499" s="17">
        <f t="shared" ref="Q499" si="1855">SUM(D493:D499)</f>
        <v>281872</v>
      </c>
      <c r="R499" s="16"/>
      <c r="S499" s="60">
        <f t="shared" ref="S499" si="1856">+(Q499-Q492)/Q492</f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ref="Z499" si="1857">SUM(W494:W499)</f>
        <v>1369</v>
      </c>
      <c r="AA499" s="33">
        <f t="shared" ref="AA499" si="1858">+AA498+W499</f>
        <v>610131</v>
      </c>
      <c r="AB499" s="33"/>
      <c r="AC499" s="46">
        <f t="shared" ref="AC499" si="1859">+AA499/H499</f>
        <v>1.7642187767648261E-2</v>
      </c>
      <c r="AD499" s="33"/>
      <c r="AE499" s="33">
        <f t="shared" ref="AE499" si="1860">+AA499/BW499</f>
        <v>1245.165306122449</v>
      </c>
      <c r="AF499" s="50"/>
      <c r="AG499" s="33">
        <f t="shared" ref="AG499" si="1861">SUM(W493:W499)</f>
        <v>1662</v>
      </c>
      <c r="AH499" s="33">
        <f t="shared" ref="AH499" si="1862">SUM(D470:D915)</f>
        <v>1118536655.060914</v>
      </c>
      <c r="AI499" s="213">
        <f t="shared" ref="AI499" si="1863">+(AG499-AG492)/AG492</f>
        <v>8.203125E-2</v>
      </c>
      <c r="AJ499" s="50"/>
      <c r="AK499" s="111"/>
      <c r="AL499" s="23">
        <f t="shared" ref="AL499" si="1864">+AP499-AP498</f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ref="AR499" si="1865">+AL499/AP498</f>
        <v>6.7111581031734817E-4</v>
      </c>
      <c r="AS499" s="25"/>
      <c r="AT499" s="25"/>
      <c r="AU499" s="24"/>
      <c r="AV499" s="298">
        <f t="shared" ref="AV499" si="1866">+AP499/H499</f>
        <v>0.85237344621600808</v>
      </c>
      <c r="AW499" s="298"/>
      <c r="AX499" s="24">
        <f t="shared" ref="AX499" si="1867">+AP499/BW499</f>
        <v>60159.53673469388</v>
      </c>
      <c r="AY499" s="308"/>
      <c r="AZ499" s="111"/>
      <c r="BA499" s="65">
        <f t="shared" ref="BA499" si="1868">+BC499-BC498</f>
        <v>931237</v>
      </c>
      <c r="BB499" s="66"/>
      <c r="BC499" s="66">
        <v>520411488</v>
      </c>
      <c r="BD499" s="66"/>
      <c r="BE499" s="66">
        <f t="shared" ref="BE499" si="1869">+D499</f>
        <v>61651</v>
      </c>
      <c r="BF499" s="66"/>
      <c r="BG499" s="144">
        <f t="shared" ref="BG499" si="1870">+BE499/BA499</f>
        <v>6.6203340288240264E-2</v>
      </c>
      <c r="BH499" s="66"/>
      <c r="BI499" s="170"/>
      <c r="BJ499" s="66"/>
      <c r="BK499" s="66">
        <f t="shared" ref="BK499" si="1871">SUM(BA493:BA499)</f>
        <v>5199462</v>
      </c>
      <c r="BL499" s="66"/>
      <c r="BM499" s="144">
        <f t="shared" ref="BM499" si="1872">+Q499/BK499</f>
        <v>5.4211762678523276E-2</v>
      </c>
      <c r="BN499" s="65">
        <f t="shared" ref="BN499" si="1873">+BC499/BW499</f>
        <v>1062064.2612244899</v>
      </c>
      <c r="BO499" s="66"/>
      <c r="BP499" s="66">
        <f t="shared" ref="BP499" si="1874">+BP498+BE499</f>
        <v>33676658</v>
      </c>
      <c r="BQ499" s="66"/>
      <c r="BR499" s="435">
        <f t="shared" ref="BR499" si="1875">+BP499/BC499</f>
        <v>6.4711596066841626E-2</v>
      </c>
      <c r="BS499" s="66"/>
      <c r="BT499" s="75"/>
      <c r="BU499" s="170"/>
      <c r="BV499" s="1"/>
      <c r="BW499" s="61">
        <f t="shared" si="1175"/>
        <v>490</v>
      </c>
    </row>
    <row r="500" spans="2:75" x14ac:dyDescent="0.3">
      <c r="B500" s="158">
        <f t="shared" si="424"/>
        <v>44400</v>
      </c>
      <c r="C500" s="61"/>
      <c r="D500" s="17">
        <v>67485</v>
      </c>
      <c r="E500" s="16"/>
      <c r="F500" s="16"/>
      <c r="G500" s="16"/>
      <c r="H500" s="16">
        <f t="shared" ref="H500" si="1876">+H499+D500</f>
        <v>34651121</v>
      </c>
      <c r="I500" s="16"/>
      <c r="J500" s="436">
        <f t="shared" ref="J500" si="1877">+D500/H499</f>
        <v>1.9513564160807152E-3</v>
      </c>
      <c r="K500" s="16"/>
      <c r="L500" s="16"/>
      <c r="M500" s="16"/>
      <c r="N500" s="16">
        <f t="shared" ref="N500" si="1878">SUM(D494:D500)</f>
        <v>308828</v>
      </c>
      <c r="O500" s="16">
        <f t="shared" ref="O500" si="1879">+H500/BW500</f>
        <v>70572.547861507133</v>
      </c>
      <c r="P500" s="41"/>
      <c r="Q500" s="17">
        <f t="shared" ref="Q500" si="1880">SUM(D494:D500)</f>
        <v>308828</v>
      </c>
      <c r="R500" s="16"/>
      <c r="S500" s="60">
        <f t="shared" ref="S500" si="1881">+(Q500-Q493)/Q493</f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ref="Z500" si="1882">SUM(W495:W500)</f>
        <v>1684</v>
      </c>
      <c r="AA500" s="33">
        <f t="shared" ref="AA500" si="1883">+AA499+W500</f>
        <v>610559</v>
      </c>
      <c r="AB500" s="33"/>
      <c r="AC500" s="46">
        <f t="shared" ref="AC500" si="1884">+AA500/H500</f>
        <v>1.7620180311049678E-2</v>
      </c>
      <c r="AD500" s="33"/>
      <c r="AE500" s="33">
        <f t="shared" ref="AE500" si="1885">+AA500/BW500</f>
        <v>1243.5010183299389</v>
      </c>
      <c r="AF500" s="50"/>
      <c r="AG500" s="33">
        <f t="shared" ref="AG500" si="1886">SUM(W494:W500)</f>
        <v>1797</v>
      </c>
      <c r="AH500" s="33">
        <f t="shared" ref="AH500" si="1887">SUM(D471:D916)</f>
        <v>1118523290.060914</v>
      </c>
      <c r="AI500" s="213">
        <f t="shared" ref="AI500" si="1888">+(AG500-AG493)/AG493</f>
        <v>0.22829801777170197</v>
      </c>
      <c r="AJ500" s="50"/>
      <c r="AK500" s="111"/>
      <c r="AL500" s="23">
        <f t="shared" ref="AL500" si="1889">+AP500-AP499</f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ref="AR500" si="1890">+AL500/AP499</f>
        <v>6.6835892441502399E-4</v>
      </c>
      <c r="AS500" s="25"/>
      <c r="AT500" s="25"/>
      <c r="AU500" s="24"/>
      <c r="AV500" s="298">
        <f t="shared" ref="AV500" si="1891">+AP500/H500</f>
        <v>0.85128198305619029</v>
      </c>
      <c r="AW500" s="298"/>
      <c r="AX500" s="24">
        <f t="shared" ref="AX500" si="1892">+AP500/BW500</f>
        <v>60077.138492871687</v>
      </c>
      <c r="AY500" s="308"/>
      <c r="AZ500" s="111"/>
      <c r="BA500" s="65">
        <f t="shared" ref="BA500" si="1893">+BC500-BC499</f>
        <v>930368</v>
      </c>
      <c r="BB500" s="66"/>
      <c r="BC500" s="66">
        <v>521341856</v>
      </c>
      <c r="BD500" s="66"/>
      <c r="BE500" s="66">
        <f t="shared" ref="BE500" si="1894">+D500</f>
        <v>67485</v>
      </c>
      <c r="BF500" s="66"/>
      <c r="BG500" s="144">
        <f t="shared" ref="BG500" si="1895">+BE500/BA500</f>
        <v>7.2535813785512826E-2</v>
      </c>
      <c r="BH500" s="66"/>
      <c r="BI500" s="170"/>
      <c r="BJ500" s="66"/>
      <c r="BK500" s="66">
        <f t="shared" ref="BK500" si="1896">SUM(BA494:BA500)</f>
        <v>5277054</v>
      </c>
      <c r="BL500" s="66"/>
      <c r="BM500" s="144">
        <f t="shared" ref="BM500" si="1897">+Q500/BK500</f>
        <v>5.8522804579979666E-2</v>
      </c>
      <c r="BN500" s="65">
        <f t="shared" ref="BN500" si="1898">+BC500/BW500</f>
        <v>1061796.0407331975</v>
      </c>
      <c r="BO500" s="66"/>
      <c r="BP500" s="66">
        <f t="shared" ref="BP500" si="1899">+BP499+BE500</f>
        <v>33744143</v>
      </c>
      <c r="BQ500" s="66"/>
      <c r="BR500" s="435">
        <f t="shared" ref="BR500" si="1900">+BP500/BC500</f>
        <v>6.4725558885492598E-2</v>
      </c>
      <c r="BS500" s="66"/>
      <c r="BT500" s="75"/>
      <c r="BU500" s="170"/>
      <c r="BV500" s="1"/>
      <c r="BW500" s="61">
        <f t="shared" si="1175"/>
        <v>491</v>
      </c>
    </row>
    <row r="501" spans="2:75" x14ac:dyDescent="0.3">
      <c r="B501" s="158">
        <f t="shared" si="424"/>
        <v>44401</v>
      </c>
      <c r="C501" s="61"/>
      <c r="D501" s="17">
        <v>36779</v>
      </c>
      <c r="E501" s="16"/>
      <c r="F501" s="16"/>
      <c r="G501" s="16"/>
      <c r="H501" s="16">
        <f t="shared" ref="H501" si="1901">+H500+D501</f>
        <v>34687900</v>
      </c>
      <c r="I501" s="16"/>
      <c r="J501" s="436">
        <f t="shared" ref="J501" si="1902">+D501/H500</f>
        <v>1.061408662651924E-3</v>
      </c>
      <c r="K501" s="16"/>
      <c r="L501" s="16"/>
      <c r="M501" s="16"/>
      <c r="N501" s="16">
        <f t="shared" ref="N501" si="1903">SUM(D495:D501)</f>
        <v>321526</v>
      </c>
      <c r="O501" s="16">
        <f t="shared" ref="O501" si="1904">+H501/BW501</f>
        <v>70503.861788617884</v>
      </c>
      <c r="P501" s="41"/>
      <c r="Q501" s="17">
        <f t="shared" ref="Q501" si="1905">SUM(D495:D501)</f>
        <v>321526</v>
      </c>
      <c r="R501" s="16"/>
      <c r="S501" s="60">
        <f t="shared" ref="S501" si="1906">+(Q501-Q494)/Q494</f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ref="Z501" si="1907">SUM(W496:W501)</f>
        <v>1753</v>
      </c>
      <c r="AA501" s="33">
        <f t="shared" ref="AA501" si="1908">+AA500+W501</f>
        <v>610710</v>
      </c>
      <c r="AB501" s="33"/>
      <c r="AC501" s="46">
        <f t="shared" ref="AC501" si="1909">+AA501/H501</f>
        <v>1.7605851031627744E-2</v>
      </c>
      <c r="AD501" s="33"/>
      <c r="AE501" s="33">
        <f t="shared" ref="AE501" si="1910">+AA501/BW501</f>
        <v>1241.280487804878</v>
      </c>
      <c r="AF501" s="50"/>
      <c r="AG501" s="33">
        <f t="shared" ref="AG501" si="1911">SUM(W495:W501)</f>
        <v>1835</v>
      </c>
      <c r="AH501" s="33">
        <f t="shared" ref="AH501" si="1912">SUM(D472:D917)</f>
        <v>1118507830.060914</v>
      </c>
      <c r="AI501" s="213">
        <f t="shared" ref="AI501" si="1913">+(AG501-AG494)/AG494</f>
        <v>0.25857338820301784</v>
      </c>
      <c r="AJ501" s="50"/>
      <c r="AK501" s="111"/>
      <c r="AL501" s="23">
        <f t="shared" ref="AL501" si="1914">+AP501-AP500</f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ref="AR501" si="1915">+AL501/AP500</f>
        <v>3.1351410906717855E-4</v>
      </c>
      <c r="AS501" s="25"/>
      <c r="AT501" s="25"/>
      <c r="AU501" s="24"/>
      <c r="AV501" s="298">
        <f t="shared" ref="AV501" si="1916">+AP501/H501</f>
        <v>0.85064598894715449</v>
      </c>
      <c r="AW501" s="298"/>
      <c r="AX501" s="24">
        <f t="shared" ref="AX501" si="1917">+AP501/BW501</f>
        <v>59973.827235772354</v>
      </c>
      <c r="AY501" s="308"/>
      <c r="AZ501" s="111"/>
      <c r="BA501" s="65">
        <f t="shared" ref="BA501" si="1918">+BC501-BC500</f>
        <v>393453</v>
      </c>
      <c r="BB501" s="66"/>
      <c r="BC501" s="66">
        <v>521735309</v>
      </c>
      <c r="BD501" s="66"/>
      <c r="BE501" s="66">
        <f t="shared" ref="BE501" si="1919">+D501</f>
        <v>36779</v>
      </c>
      <c r="BF501" s="66"/>
      <c r="BG501" s="144">
        <f t="shared" ref="BG501" si="1920">+BE501/BA501</f>
        <v>9.3477492864459027E-2</v>
      </c>
      <c r="BH501" s="66"/>
      <c r="BI501" s="170"/>
      <c r="BJ501" s="66"/>
      <c r="BK501" s="66">
        <f t="shared" ref="BK501" si="1921">SUM(BA495:BA501)</f>
        <v>5457647</v>
      </c>
      <c r="BL501" s="66"/>
      <c r="BM501" s="144">
        <f t="shared" ref="BM501" si="1922">+Q501/BK501</f>
        <v>5.8912934456918892E-2</v>
      </c>
      <c r="BN501" s="65">
        <f t="shared" ref="BN501" si="1923">+BC501/BW501</f>
        <v>1060437.6199186991</v>
      </c>
      <c r="BO501" s="66"/>
      <c r="BP501" s="66">
        <f t="shared" ref="BP501" si="1924">+BP500+BE501</f>
        <v>33780922</v>
      </c>
      <c r="BQ501" s="66"/>
      <c r="BR501" s="435">
        <f t="shared" ref="BR501" si="1925">+BP501/BC501</f>
        <v>6.4747241402440717E-2</v>
      </c>
      <c r="BS501" s="66"/>
      <c r="BT501" s="75"/>
      <c r="BU501" s="170"/>
      <c r="BV501" s="1"/>
      <c r="BW501" s="61">
        <f t="shared" si="1175"/>
        <v>492</v>
      </c>
    </row>
    <row r="502" spans="2:75" x14ac:dyDescent="0.3">
      <c r="B502" s="347">
        <f t="shared" si="424"/>
        <v>44402</v>
      </c>
      <c r="C502" s="61"/>
      <c r="D502" s="17">
        <v>13818</v>
      </c>
      <c r="E502" s="16"/>
      <c r="F502" s="16"/>
      <c r="G502" s="16"/>
      <c r="H502" s="16">
        <f t="shared" ref="H502" si="1926">+H501+D502</f>
        <v>34701718</v>
      </c>
      <c r="I502" s="16"/>
      <c r="J502" s="436">
        <f t="shared" ref="J502" si="1927">+D502/H501</f>
        <v>3.9835216314622676E-4</v>
      </c>
      <c r="K502" s="16"/>
      <c r="L502" s="16"/>
      <c r="M502" s="16"/>
      <c r="N502" s="16">
        <f t="shared" ref="N502" si="1928">SUM(D496:D502)</f>
        <v>313066</v>
      </c>
      <c r="O502" s="16">
        <f t="shared" ref="O502" si="1929">+H502/BW502</f>
        <v>70388.880324543614</v>
      </c>
      <c r="P502" s="41"/>
      <c r="Q502" s="17">
        <f t="shared" ref="Q502" si="1930">SUM(D496:D502)</f>
        <v>313066</v>
      </c>
      <c r="R502" s="16"/>
      <c r="S502" s="60">
        <f t="shared" ref="S502" si="1931">+(Q502-Q495)/Q495</f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ref="Z502" si="1932">SUM(W497:W502)</f>
        <v>1665</v>
      </c>
      <c r="AA502" s="33">
        <f t="shared" ref="AA502" si="1933">+AA501+W502</f>
        <v>610759</v>
      </c>
      <c r="AB502" s="33"/>
      <c r="AC502" s="46">
        <f t="shared" ref="AC502" si="1934">+AA502/H502</f>
        <v>1.7600252529283995E-2</v>
      </c>
      <c r="AD502" s="33"/>
      <c r="AE502" s="33">
        <f t="shared" ref="AE502" si="1935">+AA502/BW502</f>
        <v>1238.8620689655172</v>
      </c>
      <c r="AF502" s="50"/>
      <c r="AG502" s="33">
        <f t="shared" ref="AG502" si="1936">SUM(W496:W502)</f>
        <v>1802</v>
      </c>
      <c r="AH502" s="33">
        <f t="shared" ref="AH502" si="1937">SUM(D473:D918)</f>
        <v>1118492293.060914</v>
      </c>
      <c r="AI502" s="213">
        <f t="shared" ref="AI502" si="1938">+(AG502-AG495)/AG495</f>
        <v>0.19101123595505617</v>
      </c>
      <c r="AJ502" s="50"/>
      <c r="AK502" s="111"/>
      <c r="AL502" s="23">
        <f t="shared" ref="AL502" si="1939">+AP502-AP501</f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ref="AR502" si="1940">+AL502/AP501</f>
        <v>1.6219812416141011E-4</v>
      </c>
      <c r="AS502" s="25"/>
      <c r="AT502" s="25"/>
      <c r="AU502" s="24"/>
      <c r="AV502" s="298">
        <f t="shared" ref="AV502" si="1941">+AP502/H502</f>
        <v>0.85044518545162517</v>
      </c>
      <c r="AW502" s="298"/>
      <c r="AX502" s="24">
        <f t="shared" ref="AX502" si="1942">+AP502/BW502</f>
        <v>59861.884381338743</v>
      </c>
      <c r="AY502" s="308"/>
      <c r="AZ502" s="111"/>
      <c r="BA502" s="65">
        <f t="shared" ref="BA502" si="1943">+BC502-BC501</f>
        <v>1873647</v>
      </c>
      <c r="BB502" s="66"/>
      <c r="BC502" s="66">
        <v>523608956</v>
      </c>
      <c r="BD502" s="66"/>
      <c r="BE502" s="66">
        <f t="shared" ref="BE502" si="1944">+D502</f>
        <v>13818</v>
      </c>
      <c r="BF502" s="66"/>
      <c r="BG502" s="144">
        <f t="shared" ref="BG502" si="1945">+BE502/BA502</f>
        <v>7.3749217435301311E-3</v>
      </c>
      <c r="BH502" s="66"/>
      <c r="BI502" s="170"/>
      <c r="BJ502" s="66"/>
      <c r="BK502" s="66">
        <f t="shared" ref="BK502" si="1946">SUM(BA496:BA502)</f>
        <v>6238420</v>
      </c>
      <c r="BL502" s="66"/>
      <c r="BM502" s="144">
        <f t="shared" ref="BM502" si="1947">+Q502/BK502</f>
        <v>5.0183540063028782E-2</v>
      </c>
      <c r="BN502" s="65">
        <f t="shared" ref="BN502" si="1948">+BC502/BW502</f>
        <v>1062087.1318458419</v>
      </c>
      <c r="BO502" s="66"/>
      <c r="BP502" s="66">
        <f t="shared" ref="BP502" si="1949">+BP501+BE502</f>
        <v>33794740</v>
      </c>
      <c r="BQ502" s="66"/>
      <c r="BR502" s="435">
        <f t="shared" ref="BR502" si="1950">+BP502/BC502</f>
        <v>6.4541944160328685E-2</v>
      </c>
      <c r="BS502" s="66"/>
      <c r="BT502" s="75"/>
      <c r="BU502" s="170"/>
      <c r="BV502" s="1"/>
      <c r="BW502" s="61">
        <f t="shared" si="1175"/>
        <v>493</v>
      </c>
    </row>
    <row r="503" spans="2:75" x14ac:dyDescent="0.3">
      <c r="B503" s="158">
        <f t="shared" si="424"/>
        <v>44403</v>
      </c>
      <c r="C503" s="61"/>
      <c r="D503" s="17">
        <v>35816</v>
      </c>
      <c r="E503" s="16"/>
      <c r="F503" s="16"/>
      <c r="G503" s="16"/>
      <c r="H503" s="16">
        <f t="shared" ref="H503" si="1951">+H502+D503</f>
        <v>34737534</v>
      </c>
      <c r="I503" s="16"/>
      <c r="J503" s="436">
        <f t="shared" ref="J503" si="1952">+D503/H502</f>
        <v>1.0321102834159393E-3</v>
      </c>
      <c r="K503" s="16"/>
      <c r="L503" s="16"/>
      <c r="M503" s="16"/>
      <c r="N503" s="16">
        <f t="shared" ref="N503" si="1953">SUM(D497:D503)</f>
        <v>316306</v>
      </c>
      <c r="O503" s="16">
        <f t="shared" ref="O503" si="1954">+H503/BW503</f>
        <v>70318.894736842107</v>
      </c>
      <c r="P503" s="41"/>
      <c r="Q503" s="17">
        <f t="shared" ref="Q503" si="1955">SUM(D497:D503)</f>
        <v>316306</v>
      </c>
      <c r="R503" s="16"/>
      <c r="S503" s="60">
        <f t="shared" ref="S503" si="1956">+(Q503-Q496)/Q496</f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ref="Z503" si="1957">SUM(W498:W503)</f>
        <v>1541</v>
      </c>
      <c r="AA503" s="33">
        <f t="shared" ref="AA503" si="1958">+AA502+W503</f>
        <v>610891</v>
      </c>
      <c r="AB503" s="33"/>
      <c r="AC503" s="46">
        <f t="shared" ref="AC503" si="1959">+AA503/H503</f>
        <v>1.7585905781337272E-2</v>
      </c>
      <c r="AD503" s="33"/>
      <c r="AE503" s="33">
        <f t="shared" ref="AE503" si="1960">+AA503/BW503</f>
        <v>1236.6214574898786</v>
      </c>
      <c r="AF503" s="50"/>
      <c r="AG503" s="33">
        <f t="shared" ref="AG503" si="1961">SUM(W497:W503)</f>
        <v>1797</v>
      </c>
      <c r="AH503" s="33">
        <f t="shared" ref="AH503" si="1962">SUM(D474:D919)</f>
        <v>1118485707.060914</v>
      </c>
      <c r="AI503" s="213">
        <f t="shared" ref="AI503" si="1963">+(AG503-AG496)/AG496</f>
        <v>0.20847343644922664</v>
      </c>
      <c r="AJ503" s="50"/>
      <c r="AK503" s="111"/>
      <c r="AL503" s="23">
        <f t="shared" ref="AL503" si="1964">+AP503-AP502</f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ref="AR503" si="1965">+AL503/AP502</f>
        <v>1.2387880431591193E-3</v>
      </c>
      <c r="AS503" s="25"/>
      <c r="AT503" s="25"/>
      <c r="AU503" s="24"/>
      <c r="AV503" s="298">
        <f t="shared" ref="AV503" si="1966">+AP503/H503</f>
        <v>0.85062077233231348</v>
      </c>
      <c r="AW503" s="298"/>
      <c r="AX503" s="24">
        <f t="shared" ref="AX503" si="1967">+AP503/BW503</f>
        <v>59814.712550607284</v>
      </c>
      <c r="AY503" s="308"/>
      <c r="AZ503" s="111"/>
      <c r="BA503" s="65">
        <f t="shared" ref="BA503" si="1968">+BC503-BC502</f>
        <v>2374930</v>
      </c>
      <c r="BB503" s="66"/>
      <c r="BC503" s="66">
        <v>525983886</v>
      </c>
      <c r="BD503" s="66"/>
      <c r="BE503" s="66">
        <f t="shared" ref="BE503" si="1969">+D503</f>
        <v>35816</v>
      </c>
      <c r="BF503" s="66"/>
      <c r="BG503" s="144">
        <f t="shared" ref="BG503" si="1970">+BE503/BA503</f>
        <v>1.5080865541300165E-2</v>
      </c>
      <c r="BH503" s="66"/>
      <c r="BI503" s="170"/>
      <c r="BJ503" s="66"/>
      <c r="BK503" s="66">
        <f t="shared" ref="BK503" si="1971">SUM(BA497:BA503)</f>
        <v>7998724</v>
      </c>
      <c r="BL503" s="66"/>
      <c r="BM503" s="144">
        <f t="shared" ref="BM503" si="1972">+Q503/BK503</f>
        <v>3.9544557356898428E-2</v>
      </c>
      <c r="BN503" s="65">
        <f t="shared" ref="BN503" si="1973">+BC503/BW503</f>
        <v>1064744.7085020242</v>
      </c>
      <c r="BO503" s="66"/>
      <c r="BP503" s="66">
        <f t="shared" ref="BP503" si="1974">+BP502+BE503</f>
        <v>33830556</v>
      </c>
      <c r="BQ503" s="66"/>
      <c r="BR503" s="435">
        <f t="shared" ref="BR503" si="1975">+BP503/BC503</f>
        <v>6.4318616787435196E-2</v>
      </c>
      <c r="BS503" s="66"/>
      <c r="BT503" s="75"/>
      <c r="BU503" s="170"/>
      <c r="BV503" s="1"/>
      <c r="BW503" s="61">
        <f t="shared" si="1175"/>
        <v>494</v>
      </c>
    </row>
    <row r="504" spans="2:75" x14ac:dyDescent="0.3">
      <c r="B504" s="158">
        <f t="shared" si="424"/>
        <v>44404</v>
      </c>
      <c r="C504" s="61"/>
      <c r="D504" s="17">
        <v>61581</v>
      </c>
      <c r="E504" s="16"/>
      <c r="F504" s="16"/>
      <c r="G504" s="16"/>
      <c r="H504" s="16">
        <f t="shared" ref="H504" si="1976">+H503+D504</f>
        <v>34799115</v>
      </c>
      <c r="I504" s="16"/>
      <c r="J504" s="436">
        <f t="shared" ref="J504" si="1977">+D504/H503</f>
        <v>1.7727510536585584E-3</v>
      </c>
      <c r="K504" s="16"/>
      <c r="L504" s="16"/>
      <c r="M504" s="16"/>
      <c r="N504" s="16">
        <f t="shared" ref="N504" si="1978">SUM(D498:D504)</f>
        <v>333655</v>
      </c>
      <c r="O504" s="16">
        <f t="shared" ref="O504" si="1979">+H504/BW504</f>
        <v>70301.242424242431</v>
      </c>
      <c r="P504" s="41"/>
      <c r="Q504" s="17">
        <f t="shared" ref="Q504" si="1980">SUM(D498:D504)</f>
        <v>333655</v>
      </c>
      <c r="R504" s="16"/>
      <c r="S504" s="60">
        <f t="shared" ref="S504" si="1981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" si="1982">SUM(W499:W504)</f>
        <v>1464</v>
      </c>
      <c r="AA504" s="33">
        <f t="shared" ref="AA504" si="1983">+AA503+W504</f>
        <v>611230</v>
      </c>
      <c r="AB504" s="33"/>
      <c r="AC504" s="46">
        <f t="shared" ref="AC504" si="1984">+AA504/H504</f>
        <v>1.7564527143865583E-2</v>
      </c>
      <c r="AD504" s="33"/>
      <c r="AE504" s="33">
        <f t="shared" ref="AE504" si="1985">+AA504/BW504</f>
        <v>1234.8080808080808</v>
      </c>
      <c r="AF504" s="50"/>
      <c r="AG504" s="33">
        <f t="shared" ref="AG504" si="1986">SUM(W498:W504)</f>
        <v>1880</v>
      </c>
      <c r="AH504" s="33">
        <f t="shared" ref="AH504" si="1987">SUM(D475:D920)</f>
        <v>1118478401.060914</v>
      </c>
      <c r="AI504" s="213">
        <f t="shared" ref="AI504" si="1988">+(AG504-AG497)/AG497</f>
        <v>0.19592875318066158</v>
      </c>
      <c r="AJ504" s="50"/>
      <c r="AK504" s="111"/>
      <c r="AL504" s="23">
        <f t="shared" ref="AL504" si="1989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" si="1990">+AL504/AP503</f>
        <v>7.7723149640109934E-4</v>
      </c>
      <c r="AS504" s="25"/>
      <c r="AT504" s="25"/>
      <c r="AU504" s="24"/>
      <c r="AV504" s="298">
        <f t="shared" ref="AV504" si="1991">+AP504/H504</f>
        <v>0.84977546124377012</v>
      </c>
      <c r="AW504" s="298"/>
      <c r="AX504" s="24">
        <f t="shared" ref="AX504" si="1992">+AP504/BW504</f>
        <v>59740.270707070704</v>
      </c>
      <c r="AY504" s="308"/>
      <c r="AZ504" s="111"/>
      <c r="BA504" s="65">
        <f t="shared" ref="BA504:BA505" si="1993">+BC504-BC503</f>
        <v>892346</v>
      </c>
      <c r="BB504" s="66"/>
      <c r="BC504" s="66">
        <v>526876232</v>
      </c>
      <c r="BD504" s="66"/>
      <c r="BE504" s="66">
        <f t="shared" ref="BE504" si="1994">+D504</f>
        <v>61581</v>
      </c>
      <c r="BF504" s="66"/>
      <c r="BG504" s="144">
        <f t="shared" ref="BG504" si="1995">+BE504/BA504</f>
        <v>6.9010226974738492E-2</v>
      </c>
      <c r="BH504" s="66"/>
      <c r="BI504" s="170"/>
      <c r="BJ504" s="66"/>
      <c r="BK504" s="66">
        <f t="shared" ref="BK504" si="1996">SUM(BA498:BA504)</f>
        <v>8218001</v>
      </c>
      <c r="BL504" s="66"/>
      <c r="BM504" s="144">
        <f t="shared" ref="BM504" si="1997">+Q504/BK504</f>
        <v>4.060050613281746E-2</v>
      </c>
      <c r="BN504" s="65">
        <f t="shared" ref="BN504" si="1998">+BC504/BW504</f>
        <v>1064396.4282828283</v>
      </c>
      <c r="BO504" s="66"/>
      <c r="BP504" s="66">
        <f t="shared" ref="BP504" si="1999">+BP503+BE504</f>
        <v>33892137</v>
      </c>
      <c r="BQ504" s="66"/>
      <c r="BR504" s="435">
        <f t="shared" ref="BR504" si="2000">+BP504/BC504</f>
        <v>6.4326562751458483E-2</v>
      </c>
      <c r="BS504" s="66"/>
      <c r="BT504" s="75"/>
      <c r="BU504" s="170"/>
      <c r="BV504" s="1"/>
      <c r="BW504" s="61">
        <f t="shared" si="1175"/>
        <v>495</v>
      </c>
    </row>
    <row r="505" spans="2:75" x14ac:dyDescent="0.3">
      <c r="B505" s="158">
        <f t="shared" si="424"/>
        <v>44405</v>
      </c>
      <c r="C505" s="61"/>
      <c r="D505" s="17">
        <v>84534</v>
      </c>
      <c r="E505" s="16"/>
      <c r="F505" s="16"/>
      <c r="G505" s="16"/>
      <c r="H505" s="16">
        <f t="shared" ref="H505" si="2001">+H504+D505</f>
        <v>34883649</v>
      </c>
      <c r="I505" s="16"/>
      <c r="J505" s="436">
        <f t="shared" ref="J505" si="2002">+D505/H504</f>
        <v>2.4291997080960249E-3</v>
      </c>
      <c r="K505" s="16"/>
      <c r="L505" s="16"/>
      <c r="M505" s="16"/>
      <c r="N505" s="16">
        <f t="shared" ref="N505" si="2003">SUM(D499:D505)</f>
        <v>361664</v>
      </c>
      <c r="O505" s="16">
        <f t="shared" ref="O505" si="2004">+H505/BW505</f>
        <v>70329.9375</v>
      </c>
      <c r="P505" s="41"/>
      <c r="Q505" s="17">
        <f t="shared" ref="Q505" si="2005">SUM(D499:D505)</f>
        <v>361664</v>
      </c>
      <c r="R505" s="16"/>
      <c r="S505" s="60">
        <f t="shared" ref="S505" si="2006">+(Q505-Q498)/Q498</f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ref="Z505" si="2007">SUM(W500:W505)</f>
        <v>1582</v>
      </c>
      <c r="AA505" s="33">
        <f t="shared" ref="AA505" si="2008">+AA504+W505</f>
        <v>611713</v>
      </c>
      <c r="AB505" s="33"/>
      <c r="AC505" s="46">
        <f t="shared" ref="AC505" si="2009">+AA505/H505</f>
        <v>1.7535808825504463E-2</v>
      </c>
      <c r="AD505" s="33"/>
      <c r="AE505" s="33">
        <f t="shared" ref="AE505" si="2010">+AA505/BW505</f>
        <v>1233.2923387096773</v>
      </c>
      <c r="AF505" s="50"/>
      <c r="AG505" s="33">
        <f t="shared" ref="AG505" si="2011">SUM(W499:W505)</f>
        <v>1947</v>
      </c>
      <c r="AH505" s="33">
        <f t="shared" ref="AH505" si="2012">SUM(D476:D921)</f>
        <v>1118466419.060914</v>
      </c>
      <c r="AI505" s="213">
        <f t="shared" ref="AI505" si="2013">+(AG505-AG498)/AG498</f>
        <v>0.18647166361974407</v>
      </c>
      <c r="AJ505" s="50"/>
      <c r="AK505" s="111"/>
      <c r="AL505" s="23">
        <f t="shared" ref="AL505" si="2014">+AP505-AP504</f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ref="AR505" si="2015">+AL505/AP504</f>
        <v>1.0998452087240679E-3</v>
      </c>
      <c r="AS505" s="25"/>
      <c r="AT505" s="25"/>
      <c r="AU505" s="24"/>
      <c r="AV505" s="298">
        <f t="shared" ref="AV505" si="2016">+AP505/H505</f>
        <v>0.84864854591330163</v>
      </c>
      <c r="AW505" s="298"/>
      <c r="AX505" s="24">
        <f t="shared" ref="AX505" si="2017">+AP505/BW505</f>
        <v>59685.399193548386</v>
      </c>
      <c r="AY505" s="308"/>
      <c r="AZ505" s="111"/>
      <c r="BA505" s="65">
        <f t="shared" si="1993"/>
        <v>204920</v>
      </c>
      <c r="BB505" s="66"/>
      <c r="BC505" s="66">
        <v>527081152</v>
      </c>
      <c r="BD505" s="66"/>
      <c r="BE505" s="66">
        <f t="shared" ref="BE505" si="2018">+D505</f>
        <v>84534</v>
      </c>
      <c r="BF505" s="66"/>
      <c r="BG505" s="144">
        <f t="shared" ref="BG505" si="2019">+BE505/BA505</f>
        <v>0.41252195978918604</v>
      </c>
      <c r="BH505" s="66"/>
      <c r="BI505" s="170"/>
      <c r="BJ505" s="66"/>
      <c r="BK505" s="66">
        <f t="shared" ref="BK505" si="2020">SUM(BA499:BA505)</f>
        <v>7600901</v>
      </c>
      <c r="BL505" s="66"/>
      <c r="BM505" s="144">
        <f t="shared" ref="BM505" si="2021">+Q505/BK505</f>
        <v>4.7581727482044561E-2</v>
      </c>
      <c r="BN505" s="65">
        <f t="shared" ref="BN505" si="2022">+BC505/BW505</f>
        <v>1062663.6129032257</v>
      </c>
      <c r="BO505" s="66"/>
      <c r="BP505" s="66">
        <f t="shared" ref="BP505" si="2023">+BP504+BE505</f>
        <v>33976671</v>
      </c>
      <c r="BQ505" s="66"/>
      <c r="BR505" s="435">
        <f t="shared" ref="BR505" si="2024">+BP505/BC505</f>
        <v>6.4461935075986174E-2</v>
      </c>
      <c r="BS505" s="66"/>
      <c r="BT505" s="75"/>
      <c r="BU505" s="170"/>
      <c r="BV505" s="1"/>
      <c r="BW505" s="61">
        <f t="shared" si="1175"/>
        <v>496</v>
      </c>
    </row>
    <row r="506" spans="2:75" x14ac:dyDescent="0.3">
      <c r="B506" s="158">
        <f t="shared" si="424"/>
        <v>44406</v>
      </c>
      <c r="C506" s="61"/>
      <c r="D506" s="17">
        <v>84513</v>
      </c>
      <c r="E506" s="16"/>
      <c r="F506" s="16"/>
      <c r="G506" s="16"/>
      <c r="H506" s="16">
        <f t="shared" ref="H506" si="2025">+H505+D506</f>
        <v>34968162</v>
      </c>
      <c r="I506" s="16"/>
      <c r="J506" s="436">
        <f t="shared" ref="J506" si="2026">+D506/H505</f>
        <v>2.422710995630073E-3</v>
      </c>
      <c r="K506" s="16"/>
      <c r="L506" s="16"/>
      <c r="M506" s="16"/>
      <c r="N506" s="16">
        <f t="shared" ref="N506" si="2027">SUM(D500:D506)</f>
        <v>384526</v>
      </c>
      <c r="O506" s="16">
        <f t="shared" ref="O506" si="2028">+H506/BW506</f>
        <v>70358.474849094564</v>
      </c>
      <c r="P506" s="41"/>
      <c r="Q506" s="17">
        <f t="shared" ref="Q506" si="2029">SUM(D500:D506)</f>
        <v>384526</v>
      </c>
      <c r="R506" s="16"/>
      <c r="S506" s="60">
        <f t="shared" ref="S506" si="2030">+(Q506-Q499)/Q499</f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ref="Z506" si="2031">SUM(W501:W506)</f>
        <v>1639</v>
      </c>
      <c r="AA506" s="33">
        <f t="shared" ref="AA506" si="2032">+AA505+W506</f>
        <v>612198</v>
      </c>
      <c r="AB506" s="33"/>
      <c r="AC506" s="46">
        <f t="shared" ref="AC506" si="2033">+AA506/H506</f>
        <v>1.7507297066400002E-2</v>
      </c>
      <c r="AD506" s="33"/>
      <c r="AE506" s="33">
        <f t="shared" ref="AE506" si="2034">+AA506/BW506</f>
        <v>1231.7867203219316</v>
      </c>
      <c r="AF506" s="50"/>
      <c r="AG506" s="33">
        <f t="shared" ref="AG506" si="2035">SUM(W500:W506)</f>
        <v>2067</v>
      </c>
      <c r="AH506" s="33">
        <f t="shared" ref="AH506" si="2036">SUM(D477:D922)</f>
        <v>1118454992.060914</v>
      </c>
      <c r="AI506" s="213">
        <f t="shared" ref="AI506" si="2037">+(AG506-AG499)/AG499</f>
        <v>0.24368231046931407</v>
      </c>
      <c r="AJ506" s="50"/>
      <c r="AK506" s="111" t="s">
        <v>26</v>
      </c>
      <c r="AL506" s="23">
        <f t="shared" ref="AL506" si="2038">+AP506-AP505</f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ref="AR506" si="2039">+AL506/AP505</f>
        <v>1.5552650088207799E-3</v>
      </c>
      <c r="AS506" s="25"/>
      <c r="AT506" s="25"/>
      <c r="AU506" s="24"/>
      <c r="AV506" s="298">
        <f t="shared" ref="AV506" si="2040">+AP506/H506</f>
        <v>0.84791416832260158</v>
      </c>
      <c r="AW506" s="298"/>
      <c r="AX506" s="24">
        <f t="shared" ref="AX506" si="2041">+AP506/BW506</f>
        <v>59657.947686116699</v>
      </c>
      <c r="AY506" s="308"/>
      <c r="AZ506" s="111" t="s">
        <v>26</v>
      </c>
      <c r="BA506" s="65">
        <f t="shared" ref="BA506" si="2042">+BC506-BC505</f>
        <v>218848</v>
      </c>
      <c r="BB506" s="66"/>
      <c r="BC506" s="66">
        <v>527300000</v>
      </c>
      <c r="BD506" s="66"/>
      <c r="BE506" s="66">
        <f t="shared" ref="BE506" si="2043">+D506</f>
        <v>84513</v>
      </c>
      <c r="BF506" s="66"/>
      <c r="BG506" s="144">
        <f t="shared" ref="BG506" si="2044">+BE506/BA506</f>
        <v>0.38617213773943559</v>
      </c>
      <c r="BH506" s="66"/>
      <c r="BI506" s="170"/>
      <c r="BJ506" s="66"/>
      <c r="BK506" s="66">
        <f t="shared" ref="BK506" si="2045">SUM(BA500:BA506)</f>
        <v>6888512</v>
      </c>
      <c r="BL506" s="66"/>
      <c r="BM506" s="144">
        <f t="shared" ref="BM506" si="2046">+Q506/BK506</f>
        <v>5.5821344290319881E-2</v>
      </c>
      <c r="BN506" s="65">
        <f t="shared" ref="BN506" si="2047">+BC506/BW506</f>
        <v>1060965.7947686117</v>
      </c>
      <c r="BO506" s="66"/>
      <c r="BP506" s="66">
        <f t="shared" ref="BP506" si="2048">+BP505+BE506</f>
        <v>34061184</v>
      </c>
      <c r="BQ506" s="66"/>
      <c r="BR506" s="435">
        <f t="shared" ref="BR506" si="2049">+BP506/BC506</f>
        <v>6.4595456097098422E-2</v>
      </c>
      <c r="BS506" s="66"/>
      <c r="BT506" s="75"/>
      <c r="BU506" s="170"/>
      <c r="BV506" s="1"/>
      <c r="BW506" s="61">
        <f t="shared" si="1175"/>
        <v>497</v>
      </c>
    </row>
    <row r="507" spans="2:75" x14ac:dyDescent="0.3">
      <c r="B507" s="158">
        <f t="shared" si="424"/>
        <v>44407</v>
      </c>
      <c r="C507" s="61"/>
      <c r="D507" s="17">
        <v>101098</v>
      </c>
      <c r="E507" s="16"/>
      <c r="F507" s="16"/>
      <c r="G507" s="16"/>
      <c r="H507" s="16">
        <f t="shared" ref="H507" si="2050">+H506+D507</f>
        <v>35069260</v>
      </c>
      <c r="I507" s="16"/>
      <c r="J507" s="436">
        <f t="shared" ref="J507" si="2051">+D507/H506</f>
        <v>2.8911442357193382E-3</v>
      </c>
      <c r="K507" s="16"/>
      <c r="L507" s="16"/>
      <c r="M507" s="16"/>
      <c r="N507" s="16">
        <f t="shared" ref="N507" si="2052">SUM(D501:D507)</f>
        <v>418139</v>
      </c>
      <c r="O507" s="16">
        <f t="shared" ref="O507" si="2053">+H507/BW507</f>
        <v>70420.200803212851</v>
      </c>
      <c r="P507" s="41"/>
      <c r="Q507" s="17">
        <f t="shared" ref="Q507" si="2054">SUM(D501:D507)</f>
        <v>418139</v>
      </c>
      <c r="R507" s="16"/>
      <c r="S507" s="60">
        <f t="shared" ref="S507" si="2055">+(Q507-Q500)/Q500</f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ref="Z507" si="2056">SUM(W502:W507)</f>
        <v>1917</v>
      </c>
      <c r="AA507" s="33">
        <f t="shared" ref="AA507" si="2057">+AA506+W507</f>
        <v>612627</v>
      </c>
      <c r="AB507" s="33"/>
      <c r="AC507" s="46">
        <f t="shared" ref="AC507" si="2058">+AA507/H507</f>
        <v>1.7469059797668957E-2</v>
      </c>
      <c r="AD507" s="33"/>
      <c r="AE507" s="33">
        <f t="shared" ref="AE507" si="2059">+AA507/BW507</f>
        <v>1230.1746987951808</v>
      </c>
      <c r="AF507" s="50"/>
      <c r="AG507" s="33">
        <f t="shared" ref="AG507" si="2060">SUM(W501:W507)</f>
        <v>2068</v>
      </c>
      <c r="AH507" s="33">
        <f t="shared" ref="AH507" si="2061">SUM(D478:D923)</f>
        <v>1118440795.060914</v>
      </c>
      <c r="AI507" s="213">
        <f t="shared" ref="AI507" si="2062">+(AG507-AG500)/AG500</f>
        <v>0.15080690038953812</v>
      </c>
      <c r="AJ507" s="50"/>
      <c r="AK507" s="111" t="s">
        <v>26</v>
      </c>
      <c r="AL507" s="23">
        <f t="shared" ref="AL507" si="2063">+AP507-AP506</f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ref="AR507" si="2064">+AL507/AP506</f>
        <v>6.8735244519392918E-5</v>
      </c>
      <c r="AS507" s="25"/>
      <c r="AT507" s="25"/>
      <c r="AU507" s="24"/>
      <c r="AV507" s="298">
        <f t="shared" ref="AV507" si="2065">+AP507/H507</f>
        <v>0.84552790677647605</v>
      </c>
      <c r="AW507" s="298"/>
      <c r="AX507" s="24">
        <f t="shared" ref="AX507" si="2066">+AP507/BW507</f>
        <v>59542.244979919677</v>
      </c>
      <c r="AY507" s="308"/>
      <c r="AZ507" s="111" t="s">
        <v>26</v>
      </c>
      <c r="BA507" s="65">
        <f t="shared" ref="BA507" si="2067">+BC507-BC506</f>
        <v>1878910</v>
      </c>
      <c r="BB507" s="66"/>
      <c r="BC507" s="66">
        <v>529178910</v>
      </c>
      <c r="BD507" s="66"/>
      <c r="BE507" s="66">
        <f t="shared" ref="BE507" si="2068">+D507</f>
        <v>101098</v>
      </c>
      <c r="BF507" s="66"/>
      <c r="BG507" s="144">
        <f t="shared" ref="BG507" si="2069">+BE507/BA507</f>
        <v>5.3806728369107618E-2</v>
      </c>
      <c r="BH507" s="66"/>
      <c r="BI507" s="170"/>
      <c r="BJ507" s="66"/>
      <c r="BK507" s="66">
        <f t="shared" ref="BK507" si="2070">SUM(BA501:BA507)</f>
        <v>7837054</v>
      </c>
      <c r="BL507" s="66"/>
      <c r="BM507" s="144">
        <f t="shared" ref="BM507" si="2071">+Q507/BK507</f>
        <v>5.3354104743950977E-2</v>
      </c>
      <c r="BN507" s="65">
        <f t="shared" ref="BN507" si="2072">+BC507/BW507</f>
        <v>1062608.2530120481</v>
      </c>
      <c r="BO507" s="66"/>
      <c r="BP507" s="66">
        <f t="shared" ref="BP507" si="2073">+BP506+BE507</f>
        <v>34162282</v>
      </c>
      <c r="BQ507" s="66"/>
      <c r="BR507" s="435">
        <f t="shared" ref="BR507" si="2074">+BP507/BC507</f>
        <v>6.4557149490330215E-2</v>
      </c>
      <c r="BS507" s="66"/>
      <c r="BT507" s="75"/>
      <c r="BU507" s="170"/>
      <c r="BV507" s="1"/>
      <c r="BW507" s="61">
        <f t="shared" si="1175"/>
        <v>498</v>
      </c>
    </row>
    <row r="508" spans="2:75" x14ac:dyDescent="0.3">
      <c r="B508" s="158">
        <f t="shared" si="424"/>
        <v>44408</v>
      </c>
      <c r="C508" s="61"/>
      <c r="D508" s="17">
        <v>51898</v>
      </c>
      <c r="E508" s="16"/>
      <c r="F508" s="16"/>
      <c r="G508" s="16"/>
      <c r="H508" s="16">
        <f t="shared" ref="H508" si="2075">+H507+D508</f>
        <v>35121158</v>
      </c>
      <c r="I508" s="16"/>
      <c r="J508" s="436">
        <f t="shared" ref="J508" si="2076">+D508/H507</f>
        <v>1.4798715456214361E-3</v>
      </c>
      <c r="K508" s="16"/>
      <c r="L508" s="16"/>
      <c r="M508" s="16"/>
      <c r="N508" s="16">
        <f t="shared" ref="N508" si="2077">SUM(D502:D508)</f>
        <v>433258</v>
      </c>
      <c r="O508" s="16">
        <f t="shared" ref="O508" si="2078">+H508/BW508</f>
        <v>70383.082164328662</v>
      </c>
      <c r="P508" s="41"/>
      <c r="Q508" s="17">
        <f t="shared" ref="Q508" si="2079">SUM(D502:D508)</f>
        <v>433258</v>
      </c>
      <c r="R508" s="16"/>
      <c r="S508" s="60">
        <f t="shared" ref="S508" si="2080">+(Q508-Q501)/Q501</f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ref="Z508" si="2081">SUM(W503:W508)</f>
        <v>2109</v>
      </c>
      <c r="AA508" s="33">
        <f t="shared" ref="AA508" si="2082">+AA507+W508</f>
        <v>612868</v>
      </c>
      <c r="AB508" s="33"/>
      <c r="AC508" s="46">
        <f t="shared" ref="AC508" si="2083">+AA508/H508</f>
        <v>1.7450107994730697E-2</v>
      </c>
      <c r="AD508" s="33"/>
      <c r="AE508" s="33">
        <f t="shared" ref="AE508" si="2084">+AA508/BW508</f>
        <v>1228.1923847695391</v>
      </c>
      <c r="AF508" s="50"/>
      <c r="AG508" s="33">
        <f t="shared" ref="AG508" si="2085">SUM(W502:W508)</f>
        <v>2158</v>
      </c>
      <c r="AH508" s="33">
        <f t="shared" ref="AH508" si="2086">SUM(D479:D924)</f>
        <v>1118423846.060914</v>
      </c>
      <c r="AI508" s="213">
        <f t="shared" ref="AI508" si="2087">+(AG508-AG501)/AG501</f>
        <v>0.17602179836512261</v>
      </c>
      <c r="AJ508" s="50"/>
      <c r="AK508" s="111"/>
      <c r="AL508" s="23">
        <f t="shared" ref="AL508" si="2088">+AP508-AP507</f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ref="AR508" si="2089">+AL508/AP507</f>
        <v>4.7480716165276734E-4</v>
      </c>
      <c r="AS508" s="25"/>
      <c r="AT508" s="25"/>
      <c r="AU508" s="24"/>
      <c r="AV508" s="298">
        <f t="shared" ref="AV508" si="2090">+AP508/H508</f>
        <v>0.84467935254298843</v>
      </c>
      <c r="AW508" s="298"/>
      <c r="AX508" s="24">
        <f t="shared" ref="AX508" si="2091">+AP508/BW508</f>
        <v>59451.136272545089</v>
      </c>
      <c r="AY508" s="308"/>
      <c r="AZ508" s="111"/>
      <c r="BA508" s="65">
        <f t="shared" ref="BA508" si="2092">+BC508-BC507</f>
        <v>500910</v>
      </c>
      <c r="BB508" s="66"/>
      <c r="BC508" s="66">
        <v>529679820</v>
      </c>
      <c r="BD508" s="66"/>
      <c r="BE508" s="66">
        <f t="shared" ref="BE508" si="2093">+D508</f>
        <v>51898</v>
      </c>
      <c r="BF508" s="66"/>
      <c r="BG508" s="144">
        <f t="shared" ref="BG508" si="2094">+BE508/BA508</f>
        <v>0.10360743446926593</v>
      </c>
      <c r="BH508" s="66"/>
      <c r="BI508" s="170"/>
      <c r="BJ508" s="66"/>
      <c r="BK508" s="66">
        <f t="shared" ref="BK508" si="2095">SUM(BA502:BA508)</f>
        <v>7944511</v>
      </c>
      <c r="BL508" s="66"/>
      <c r="BM508" s="144">
        <f t="shared" ref="BM508" si="2096">+Q508/BK508</f>
        <v>5.4535515150019934E-2</v>
      </c>
      <c r="BN508" s="65">
        <f t="shared" ref="BN508" si="2097">+BC508/BW508</f>
        <v>1061482.6052104209</v>
      </c>
      <c r="BO508" s="66"/>
      <c r="BP508" s="66">
        <f t="shared" ref="BP508" si="2098">+BP507+BE508</f>
        <v>34214180</v>
      </c>
      <c r="BQ508" s="66"/>
      <c r="BR508" s="435">
        <f t="shared" ref="BR508" si="2099">+BP508/BC508</f>
        <v>6.4594078739869679E-2</v>
      </c>
      <c r="BS508" s="66"/>
      <c r="BT508" s="75"/>
      <c r="BU508" s="170"/>
      <c r="BV508" s="1"/>
      <c r="BW508" s="61">
        <f t="shared" si="1175"/>
        <v>499</v>
      </c>
    </row>
    <row r="509" spans="2:75" x14ac:dyDescent="0.3">
      <c r="B509" s="347">
        <f t="shared" si="424"/>
        <v>44409</v>
      </c>
      <c r="C509" s="61"/>
      <c r="D509" s="17">
        <v>21768</v>
      </c>
      <c r="E509" s="16"/>
      <c r="F509" s="16"/>
      <c r="G509" s="16"/>
      <c r="H509" s="16">
        <f t="shared" ref="H509" si="2100">+H508+D509</f>
        <v>35142926</v>
      </c>
      <c r="I509" s="16"/>
      <c r="J509" s="436">
        <f t="shared" ref="J509" si="2101">+D509/H508</f>
        <v>6.1979733128389447E-4</v>
      </c>
      <c r="K509" s="16"/>
      <c r="L509" s="16"/>
      <c r="M509" s="16"/>
      <c r="N509" s="16">
        <f t="shared" ref="N509" si="2102">SUM(D503:D509)</f>
        <v>441208</v>
      </c>
      <c r="O509" s="16">
        <f t="shared" ref="O509" si="2103">+H509/BW509</f>
        <v>70285.851999999999</v>
      </c>
      <c r="P509" s="41"/>
      <c r="Q509" s="17">
        <f t="shared" ref="Q509" si="2104">SUM(D503:D509)</f>
        <v>441208</v>
      </c>
      <c r="R509" s="16"/>
      <c r="S509" s="60">
        <f t="shared" ref="S509" si="2105">+(Q509-Q502)/Q502</f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ref="Z509" si="2106">SUM(W504:W509)</f>
        <v>2041</v>
      </c>
      <c r="AA509" s="33">
        <f t="shared" ref="AA509" si="2107">+AA508+W509</f>
        <v>612932</v>
      </c>
      <c r="AB509" s="33"/>
      <c r="AC509" s="46">
        <f t="shared" ref="AC509" si="2108">+AA509/H509</f>
        <v>1.7441120298292749E-2</v>
      </c>
      <c r="AD509" s="33"/>
      <c r="AE509" s="33">
        <f t="shared" ref="AE509" si="2109">+AA509/BW509</f>
        <v>1225.864</v>
      </c>
      <c r="AF509" s="50"/>
      <c r="AG509" s="33">
        <f t="shared" ref="AG509" si="2110">SUM(W503:W509)</f>
        <v>2173</v>
      </c>
      <c r="AH509" s="33">
        <f t="shared" ref="AH509" si="2111">SUM(D480:D925)</f>
        <v>1118405447.060914</v>
      </c>
      <c r="AI509" s="213">
        <f t="shared" ref="AI509" si="2112">+(AG509-AG502)/AG502</f>
        <v>0.20588235294117646</v>
      </c>
      <c r="AJ509" s="50"/>
      <c r="AK509" s="111"/>
      <c r="AL509" s="23">
        <f t="shared" ref="AL509" si="2113">+AP509-AP508</f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ref="AR509" si="2114">+AL509/AP508</f>
        <v>2.4179099677925492E-4</v>
      </c>
      <c r="AS509" s="25"/>
      <c r="AT509" s="25"/>
      <c r="AU509" s="24"/>
      <c r="AV509" s="298">
        <f t="shared" ref="AV509" si="2115">+AP509/H509</f>
        <v>0.84436025617218102</v>
      </c>
      <c r="AW509" s="298"/>
      <c r="AX509" s="24">
        <f t="shared" ref="AX509" si="2116">+AP509/BW509</f>
        <v>59346.58</v>
      </c>
      <c r="AY509" s="308"/>
      <c r="AZ509" s="111"/>
      <c r="BA509" s="65">
        <f t="shared" ref="BA509" si="2117">+BC509-BC508</f>
        <v>238229</v>
      </c>
      <c r="BB509" s="66"/>
      <c r="BC509" s="66">
        <v>529918049</v>
      </c>
      <c r="BD509" s="66"/>
      <c r="BE509" s="66">
        <f t="shared" ref="BE509" si="2118">+D509</f>
        <v>21768</v>
      </c>
      <c r="BF509" s="66"/>
      <c r="BG509" s="144">
        <f t="shared" ref="BG509" si="2119">+BE509/BA509</f>
        <v>9.1374265937396365E-2</v>
      </c>
      <c r="BH509" s="66"/>
      <c r="BI509" s="170"/>
      <c r="BJ509" s="66"/>
      <c r="BK509" s="66">
        <f t="shared" ref="BK509" si="2120">SUM(BA503:BA509)</f>
        <v>6309093</v>
      </c>
      <c r="BL509" s="66"/>
      <c r="BM509" s="144">
        <f t="shared" ref="BM509" si="2121">+Q509/BK509</f>
        <v>6.9932080570059757E-2</v>
      </c>
      <c r="BN509" s="65">
        <f t="shared" ref="BN509" si="2122">+BC509/BW509</f>
        <v>1059836.098</v>
      </c>
      <c r="BO509" s="66"/>
      <c r="BP509" s="66">
        <f t="shared" ref="BP509" si="2123">+BP508+BE509</f>
        <v>34235948</v>
      </c>
      <c r="BQ509" s="66"/>
      <c r="BR509" s="435">
        <f t="shared" ref="BR509" si="2124">+BP509/BC509</f>
        <v>6.4606117992406786E-2</v>
      </c>
      <c r="BS509" s="66"/>
      <c r="BT509" s="75"/>
      <c r="BU509" s="170"/>
      <c r="BV509" s="1"/>
      <c r="BW509" s="61">
        <f t="shared" si="1175"/>
        <v>500</v>
      </c>
    </row>
    <row r="510" spans="2:75" x14ac:dyDescent="0.3">
      <c r="B510" s="158">
        <f t="shared" si="424"/>
        <v>44410</v>
      </c>
      <c r="C510" s="61"/>
      <c r="D510" s="17">
        <v>56369</v>
      </c>
      <c r="E510" s="16"/>
      <c r="F510" s="16"/>
      <c r="G510" s="16"/>
      <c r="H510" s="16">
        <f t="shared" ref="H510" si="2125">+H509+D510</f>
        <v>35199295</v>
      </c>
      <c r="I510" s="16"/>
      <c r="J510" s="436">
        <f t="shared" ref="J510" si="2126">+D510/H509</f>
        <v>1.6039927921767242E-3</v>
      </c>
      <c r="K510" s="16"/>
      <c r="L510" s="16"/>
      <c r="M510" s="16"/>
      <c r="N510" s="16">
        <f t="shared" ref="N510" si="2127">SUM(D504:D510)</f>
        <v>461761</v>
      </c>
      <c r="O510" s="16">
        <f t="shared" ref="O510" si="2128">+H510/BW510</f>
        <v>70258.073852295405</v>
      </c>
      <c r="P510" s="41"/>
      <c r="Q510" s="17">
        <f t="shared" ref="Q510" si="2129">SUM(D504:D510)</f>
        <v>461761</v>
      </c>
      <c r="R510" s="16"/>
      <c r="S510" s="60">
        <f t="shared" ref="S510" si="2130">+(Q510-Q503)/Q503</f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ref="Z510" si="2131">SUM(W505:W510)</f>
        <v>1915</v>
      </c>
      <c r="AA510" s="33">
        <f t="shared" ref="AA510" si="2132">+AA509+W510</f>
        <v>613145</v>
      </c>
      <c r="AB510" s="33"/>
      <c r="AC510" s="46">
        <f t="shared" ref="AC510" si="2133">+AA510/H510</f>
        <v>1.7419240925137847E-2</v>
      </c>
      <c r="AD510" s="33"/>
      <c r="AE510" s="33">
        <f t="shared" ref="AE510" si="2134">+AA510/BW510</f>
        <v>1223.8423153692615</v>
      </c>
      <c r="AF510" s="50"/>
      <c r="AG510" s="33">
        <f t="shared" ref="AG510" si="2135">SUM(W504:W510)</f>
        <v>2254</v>
      </c>
      <c r="AH510" s="33">
        <f t="shared" ref="AH510" si="2136">SUM(D481:D926)</f>
        <v>1118397469.060914</v>
      </c>
      <c r="AI510" s="213">
        <f t="shared" ref="AI510" si="2137">+(AG510-AG503)/AG503</f>
        <v>0.25431274346132443</v>
      </c>
      <c r="AJ510" s="50"/>
      <c r="AK510" s="111"/>
      <c r="AL510" s="23">
        <f t="shared" ref="AL510" si="2138">+AP510-AP509</f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ref="AR510" si="2139">+AL510/AP509</f>
        <v>1.4911390007646607E-3</v>
      </c>
      <c r="AS510" s="25"/>
      <c r="AT510" s="25"/>
      <c r="AU510" s="24"/>
      <c r="AV510" s="298">
        <f t="shared" ref="AV510" si="2140">+AP510/H510</f>
        <v>0.84426511951446759</v>
      </c>
      <c r="AW510" s="298"/>
      <c r="AX510" s="24">
        <f t="shared" ref="AX510" si="2141">+AP510/BW510</f>
        <v>59316.441117764472</v>
      </c>
      <c r="AY510" s="308"/>
      <c r="AZ510" s="111"/>
      <c r="BA510" s="65">
        <f t="shared" ref="BA510" si="2142">+BC510-BC509</f>
        <v>2223019</v>
      </c>
      <c r="BB510" s="66"/>
      <c r="BC510" s="66">
        <v>532141068</v>
      </c>
      <c r="BD510" s="66"/>
      <c r="BE510" s="66">
        <f t="shared" ref="BE510" si="2143">+D510</f>
        <v>56369</v>
      </c>
      <c r="BF510" s="66"/>
      <c r="BG510" s="144">
        <f t="shared" ref="BG510" si="2144">+BE510/BA510</f>
        <v>2.5356958262614939E-2</v>
      </c>
      <c r="BH510" s="66"/>
      <c r="BI510" s="170"/>
      <c r="BJ510" s="66"/>
      <c r="BK510" s="66">
        <f t="shared" ref="BK510" si="2145">SUM(BA504:BA510)</f>
        <v>6157182</v>
      </c>
      <c r="BL510" s="66"/>
      <c r="BM510" s="144">
        <f t="shared" ref="BM510" si="2146">+Q510/BK510</f>
        <v>7.4995509309291164E-2</v>
      </c>
      <c r="BN510" s="65">
        <f t="shared" ref="BN510" si="2147">+BC510/BW510</f>
        <v>1062157.8203592815</v>
      </c>
      <c r="BO510" s="66"/>
      <c r="BP510" s="66">
        <f t="shared" ref="BP510" si="2148">+BP509+BE510</f>
        <v>34292317</v>
      </c>
      <c r="BQ510" s="66"/>
      <c r="BR510" s="435">
        <f t="shared" ref="BR510" si="2149">+BP510/BC510</f>
        <v>6.4442154650616063E-2</v>
      </c>
      <c r="BS510" s="66"/>
      <c r="BT510" s="75"/>
      <c r="BU510" s="170"/>
      <c r="BV510" s="1"/>
      <c r="BW510" s="61">
        <f t="shared" si="1175"/>
        <v>501</v>
      </c>
    </row>
    <row r="511" spans="2:75" x14ac:dyDescent="0.3">
      <c r="B511" s="158">
        <f t="shared" si="424"/>
        <v>44411</v>
      </c>
      <c r="C511" s="61"/>
      <c r="D511" s="17">
        <v>104758</v>
      </c>
      <c r="E511" s="16"/>
      <c r="F511" s="16"/>
      <c r="G511" s="16"/>
      <c r="H511" s="16">
        <f t="shared" ref="H511" si="2150">+H510+D511</f>
        <v>35304053</v>
      </c>
      <c r="I511" s="16"/>
      <c r="J511" s="436">
        <f t="shared" ref="J511" si="2151">+D511/H510</f>
        <v>2.9761391527870088E-3</v>
      </c>
      <c r="K511" s="16"/>
      <c r="L511" s="16"/>
      <c r="M511" s="16"/>
      <c r="N511" s="16">
        <f t="shared" ref="N511" si="2152">SUM(D505:D511)</f>
        <v>504938</v>
      </c>
      <c r="O511" s="16">
        <f t="shared" ref="O511" si="2153">+H511/BW511</f>
        <v>70326.798804780876</v>
      </c>
      <c r="P511" s="41"/>
      <c r="Q511" s="17">
        <f t="shared" ref="Q511" si="2154">SUM(D505:D511)</f>
        <v>504938</v>
      </c>
      <c r="R511" s="16"/>
      <c r="S511" s="60">
        <f t="shared" ref="S511" si="2155">+(Q511-Q504)/Q504</f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ref="Z511" si="2156">SUM(W506:W511)</f>
        <v>1948</v>
      </c>
      <c r="AA511" s="33">
        <f t="shared" ref="AA511" si="2157">+AA510+W511</f>
        <v>613661</v>
      </c>
      <c r="AB511" s="33"/>
      <c r="AC511" s="46">
        <f t="shared" ref="AC511" si="2158">+AA511/H511</f>
        <v>1.7382168557247519E-2</v>
      </c>
      <c r="AD511" s="33"/>
      <c r="AE511" s="33">
        <f t="shared" ref="AE511" si="2159">+AA511/BW511</f>
        <v>1222.4322709163346</v>
      </c>
      <c r="AF511" s="50"/>
      <c r="AG511" s="33">
        <f t="shared" ref="AG511" si="2160">SUM(W505:W511)</f>
        <v>2431</v>
      </c>
      <c r="AH511" s="33">
        <f t="shared" ref="AH511" si="2161">SUM(D482:D927)</f>
        <v>1118391720.060914</v>
      </c>
      <c r="AI511" s="213">
        <f t="shared" ref="AI511" si="2162">+(AG511-AG504)/AG504</f>
        <v>0.29308510638297874</v>
      </c>
      <c r="AJ511" s="50"/>
      <c r="AK511" s="111"/>
      <c r="AL511" s="23">
        <f t="shared" ref="AL511" si="2163">+AP511-AP510</f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ref="AR511" si="2164">+AL511/AP510</f>
        <v>1.3140052622799797E-3</v>
      </c>
      <c r="AS511" s="25"/>
      <c r="AT511" s="25"/>
      <c r="AU511" s="24"/>
      <c r="AV511" s="298">
        <f t="shared" ref="AV511" si="2165">+AP511/H511</f>
        <v>0.84286600181571225</v>
      </c>
      <c r="AW511" s="298"/>
      <c r="AX511" s="24">
        <f t="shared" ref="AX511" si="2166">+AP511/BW511</f>
        <v>59276.067729083668</v>
      </c>
      <c r="AY511" s="308"/>
      <c r="AZ511" s="111"/>
      <c r="BA511" s="65">
        <f t="shared" ref="BA511" si="2167">+BC511-BC510</f>
        <v>7084250</v>
      </c>
      <c r="BB511" s="66"/>
      <c r="BC511" s="66">
        <v>539225318</v>
      </c>
      <c r="BD511" s="66"/>
      <c r="BE511" s="66">
        <f t="shared" ref="BE511" si="2168">+D511</f>
        <v>104758</v>
      </c>
      <c r="BF511" s="66"/>
      <c r="BG511" s="144">
        <f t="shared" ref="BG511" si="2169">+BE511/BA511</f>
        <v>1.4787451035748314E-2</v>
      </c>
      <c r="BH511" s="66"/>
      <c r="BI511" s="170"/>
      <c r="BJ511" s="66"/>
      <c r="BK511" s="66">
        <f t="shared" ref="BK511" si="2170">SUM(BA505:BA511)</f>
        <v>12349086</v>
      </c>
      <c r="BL511" s="66"/>
      <c r="BM511" s="144">
        <f t="shared" ref="BM511" si="2171">+Q511/BK511</f>
        <v>4.0888694110641062E-2</v>
      </c>
      <c r="BN511" s="65">
        <f t="shared" ref="BN511" si="2172">+BC511/BW511</f>
        <v>1074154.0199203186</v>
      </c>
      <c r="BO511" s="66"/>
      <c r="BP511" s="66">
        <f t="shared" ref="BP511" si="2173">+BP510+BE511</f>
        <v>34397075</v>
      </c>
      <c r="BQ511" s="66"/>
      <c r="BR511" s="435">
        <f t="shared" ref="BR511" si="2174">+BP511/BC511</f>
        <v>6.378979964735261E-2</v>
      </c>
      <c r="BS511" s="66"/>
      <c r="BT511" s="75"/>
      <c r="BU511" s="170"/>
      <c r="BV511" s="1"/>
      <c r="BW511" s="61">
        <f t="shared" si="1175"/>
        <v>502</v>
      </c>
    </row>
    <row r="512" spans="2:75" x14ac:dyDescent="0.3">
      <c r="B512" s="158">
        <f t="shared" si="424"/>
        <v>44412</v>
      </c>
      <c r="C512" s="61"/>
      <c r="D512" s="17">
        <v>112279</v>
      </c>
      <c r="E512" s="16"/>
      <c r="F512" s="16"/>
      <c r="G512" s="16"/>
      <c r="H512" s="16">
        <f t="shared" ref="H512" si="2175">+H511+D512</f>
        <v>35416332</v>
      </c>
      <c r="I512" s="16"/>
      <c r="J512" s="436">
        <f t="shared" ref="J512" si="2176">+D512/H511</f>
        <v>3.1803430614609604E-3</v>
      </c>
      <c r="K512" s="16"/>
      <c r="L512" s="16"/>
      <c r="M512" s="16"/>
      <c r="N512" s="16">
        <f t="shared" ref="N512" si="2177">SUM(D506:D512)</f>
        <v>532683</v>
      </c>
      <c r="O512" s="16">
        <f t="shared" ref="O512" si="2178">+H512/BW512</f>
        <v>70410.202783300192</v>
      </c>
      <c r="P512" s="41"/>
      <c r="Q512" s="17">
        <f t="shared" ref="Q512" si="2179">SUM(D506:D512)</f>
        <v>532683</v>
      </c>
      <c r="R512" s="16"/>
      <c r="S512" s="60">
        <f t="shared" ref="S512" si="2180">+(Q512-Q505)/Q505</f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ref="Z512" si="2181">SUM(W507:W512)</f>
        <v>2119</v>
      </c>
      <c r="AA512" s="33">
        <f t="shared" ref="AA512" si="2182">+AA511+W512</f>
        <v>614317</v>
      </c>
      <c r="AB512" s="33"/>
      <c r="AC512" s="46">
        <f t="shared" ref="AC512" si="2183">+AA512/H512</f>
        <v>1.7345585082046328E-2</v>
      </c>
      <c r="AD512" s="33"/>
      <c r="AE512" s="33">
        <f t="shared" ref="AE512" si="2184">+AA512/BW512</f>
        <v>1221.3061630218688</v>
      </c>
      <c r="AF512" s="50"/>
      <c r="AG512" s="33">
        <f t="shared" ref="AG512" si="2185">SUM(W506:W512)</f>
        <v>2604</v>
      </c>
      <c r="AH512" s="33">
        <f t="shared" ref="AH512" si="2186">SUM(D483:D928)</f>
        <v>1118386588.060914</v>
      </c>
      <c r="AI512" s="213">
        <f t="shared" ref="AI512" si="2187">+(AG512-AG505)/AG505</f>
        <v>0.33744221879815101</v>
      </c>
      <c r="AJ512" s="50"/>
      <c r="AK512" s="111"/>
      <c r="AL512" s="23">
        <f t="shared" ref="AL512" si="2188">+AP512-AP511</f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ref="AR512" si="2189">+AL512/AP511</f>
        <v>1.0327125564740525E-3</v>
      </c>
      <c r="AS512" s="25"/>
      <c r="AT512" s="25"/>
      <c r="AU512" s="24"/>
      <c r="AV512" s="298">
        <f t="shared" ref="AV512" si="2190">+AP512/H512</f>
        <v>0.84106157577244312</v>
      </c>
      <c r="AW512" s="298"/>
      <c r="AX512" s="24">
        <f t="shared" ref="AX512" si="2191">+AP512/BW512</f>
        <v>59219.316103379722</v>
      </c>
      <c r="AY512" s="308"/>
      <c r="AZ512" s="111"/>
      <c r="BA512" s="65">
        <f t="shared" ref="BA512" si="2192">+BC512-BC511</f>
        <v>1157031</v>
      </c>
      <c r="BB512" s="66"/>
      <c r="BC512" s="66">
        <v>540382349</v>
      </c>
      <c r="BD512" s="66"/>
      <c r="BE512" s="66">
        <f t="shared" ref="BE512" si="2193">+D512</f>
        <v>112279</v>
      </c>
      <c r="BF512" s="66"/>
      <c r="BG512" s="144">
        <f t="shared" ref="BG512" si="2194">+BE512/BA512</f>
        <v>9.7040615160700103E-2</v>
      </c>
      <c r="BH512" s="66"/>
      <c r="BI512" s="170"/>
      <c r="BJ512" s="66"/>
      <c r="BK512" s="66">
        <f t="shared" ref="BK512" si="2195">SUM(BA506:BA512)</f>
        <v>13301197</v>
      </c>
      <c r="BL512" s="66"/>
      <c r="BM512" s="144">
        <f t="shared" ref="BM512" si="2196">+Q512/BK512</f>
        <v>4.0047749086040904E-2</v>
      </c>
      <c r="BN512" s="65">
        <f t="shared" ref="BN512" si="2197">+BC512/BW512</f>
        <v>1074318.7852882703</v>
      </c>
      <c r="BO512" s="66"/>
      <c r="BP512" s="66">
        <f t="shared" ref="BP512" si="2198">+BP511+BE512</f>
        <v>34509354</v>
      </c>
      <c r="BQ512" s="66"/>
      <c r="BR512" s="435">
        <f t="shared" ref="BR512" si="2199">+BP512/BC512</f>
        <v>6.3860994097718018E-2</v>
      </c>
      <c r="BS512" s="66"/>
      <c r="BT512" s="75"/>
      <c r="BU512" s="170"/>
      <c r="BV512" s="1"/>
      <c r="BW512" s="61">
        <f t="shared" si="1175"/>
        <v>503</v>
      </c>
    </row>
    <row r="513" spans="2:75" x14ac:dyDescent="0.3">
      <c r="B513" s="158">
        <f t="shared" si="424"/>
        <v>44413</v>
      </c>
      <c r="C513" s="61"/>
      <c r="D513" s="17">
        <v>120945</v>
      </c>
      <c r="E513" s="16"/>
      <c r="F513" s="16"/>
      <c r="G513" s="16"/>
      <c r="H513" s="16">
        <f t="shared" ref="H513" si="2200">+H512+D513</f>
        <v>35537277</v>
      </c>
      <c r="I513" s="16"/>
      <c r="J513" s="436">
        <f t="shared" ref="J513" si="2201">+D513/H512</f>
        <v>3.4149499163267389E-3</v>
      </c>
      <c r="K513" s="16"/>
      <c r="L513" s="16"/>
      <c r="M513" s="16"/>
      <c r="N513" s="16">
        <f t="shared" ref="N513" si="2202">SUM(D507:D513)</f>
        <v>569115</v>
      </c>
      <c r="O513" s="16">
        <f t="shared" ref="O513" si="2203">+H513/BW513</f>
        <v>70510.470238095237</v>
      </c>
      <c r="P513" s="41"/>
      <c r="Q513" s="17">
        <f t="shared" ref="Q513" si="2204">SUM(D507:D513)</f>
        <v>569115</v>
      </c>
      <c r="R513" s="16"/>
      <c r="S513" s="60">
        <f t="shared" ref="S513" si="2205">+(Q513-Q506)/Q506</f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ref="Z513" si="2206">SUM(W508:W513)</f>
        <v>2249</v>
      </c>
      <c r="AA513" s="33">
        <f t="shared" ref="AA513" si="2207">+AA512+W513</f>
        <v>614876</v>
      </c>
      <c r="AB513" s="33"/>
      <c r="AC513" s="46">
        <f t="shared" ref="AC513" si="2208">+AA513/H513</f>
        <v>1.7302282332999235E-2</v>
      </c>
      <c r="AD513" s="33"/>
      <c r="AE513" s="33">
        <f t="shared" ref="AE513" si="2209">+AA513/BW513</f>
        <v>1219.9920634920634</v>
      </c>
      <c r="AF513" s="50"/>
      <c r="AG513" s="33">
        <f t="shared" ref="AG513" si="2210">SUM(W507:W513)</f>
        <v>2678</v>
      </c>
      <c r="AH513" s="33">
        <f t="shared" ref="AH513" si="2211">SUM(D484:D929)</f>
        <v>1118374976.060914</v>
      </c>
      <c r="AI513" s="213">
        <f t="shared" ref="AI513" si="2212">+(AG513-AG506)/AG506</f>
        <v>0.29559748427672955</v>
      </c>
      <c r="AJ513" s="50"/>
      <c r="AK513" s="111" t="s">
        <v>26</v>
      </c>
      <c r="AL513" s="23">
        <f t="shared" ref="AL513" si="2213">+AP513-AP512</f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ref="AR513" si="2214">+AL513/AP512</f>
        <v>4.258188283899093E-4</v>
      </c>
      <c r="AS513" s="25"/>
      <c r="AT513" s="25"/>
      <c r="AU513" s="24"/>
      <c r="AV513" s="298">
        <f t="shared" ref="AV513" si="2215">+AP513/H513</f>
        <v>0.83855608858270148</v>
      </c>
      <c r="AW513" s="298"/>
      <c r="AX513" s="24">
        <f t="shared" ref="AX513" si="2216">+AP513/BW513</f>
        <v>59126.984126984127</v>
      </c>
      <c r="AY513" s="308"/>
      <c r="AZ513" s="111" t="s">
        <v>26</v>
      </c>
      <c r="BA513" s="65">
        <f t="shared" ref="BA513" si="2217">+BC513-BC512</f>
        <v>1100613</v>
      </c>
      <c r="BB513" s="66"/>
      <c r="BC513" s="66">
        <v>541482962</v>
      </c>
      <c r="BD513" s="66"/>
      <c r="BE513" s="66">
        <f t="shared" ref="BE513" si="2218">+D513</f>
        <v>120945</v>
      </c>
      <c r="BF513" s="66"/>
      <c r="BG513" s="144">
        <f t="shared" ref="BG513" si="2219">+BE513/BA513</f>
        <v>0.10988876198990925</v>
      </c>
      <c r="BH513" s="66"/>
      <c r="BI513" s="170"/>
      <c r="BJ513" s="66"/>
      <c r="BK513" s="66">
        <f t="shared" ref="BK513" si="2220">SUM(BA507:BA513)</f>
        <v>14182962</v>
      </c>
      <c r="BL513" s="66"/>
      <c r="BM513" s="144">
        <f t="shared" ref="BM513" si="2221">+Q513/BK513</f>
        <v>4.0126667476088562E-2</v>
      </c>
      <c r="BN513" s="65">
        <f t="shared" ref="BN513" si="2222">+BC513/BW513</f>
        <v>1074370.9563492064</v>
      </c>
      <c r="BO513" s="66"/>
      <c r="BP513" s="66">
        <f t="shared" ref="BP513" si="2223">+BP512+BE513</f>
        <v>34630299</v>
      </c>
      <c r="BQ513" s="66"/>
      <c r="BR513" s="435">
        <f t="shared" ref="BR513" si="2224">+BP513/BC513</f>
        <v>6.3954549690891288E-2</v>
      </c>
      <c r="BS513" s="66"/>
      <c r="BT513" s="75"/>
      <c r="BU513" s="170"/>
      <c r="BV513" s="1"/>
      <c r="BW513" s="61">
        <f t="shared" si="1175"/>
        <v>504</v>
      </c>
    </row>
    <row r="514" spans="2:75" x14ac:dyDescent="0.3">
      <c r="B514" s="158">
        <f t="shared" si="424"/>
        <v>44414</v>
      </c>
      <c r="C514" s="61"/>
      <c r="D514" s="17">
        <v>130706</v>
      </c>
      <c r="E514" s="16"/>
      <c r="F514" s="16"/>
      <c r="G514" s="16"/>
      <c r="H514" s="16">
        <f t="shared" ref="H514" si="2225">+H513+D514</f>
        <v>35667983</v>
      </c>
      <c r="I514" s="16"/>
      <c r="J514" s="436">
        <f t="shared" ref="J514" si="2226">+D514/H513</f>
        <v>3.67799705081512E-3</v>
      </c>
      <c r="K514" s="16"/>
      <c r="L514" s="16"/>
      <c r="M514" s="16"/>
      <c r="N514" s="16">
        <f t="shared" ref="N514" si="2227">SUM(D508:D514)</f>
        <v>598723</v>
      </c>
      <c r="O514" s="16">
        <f t="shared" ref="O514" si="2228">+H514/BW514</f>
        <v>70629.669306930693</v>
      </c>
      <c r="P514" s="41"/>
      <c r="Q514" s="17">
        <f t="shared" ref="Q514" si="2229">SUM(D508:D514)</f>
        <v>598723</v>
      </c>
      <c r="R514" s="16"/>
      <c r="S514" s="60">
        <f t="shared" ref="S514" si="2230">+(Q514-Q507)/Q507</f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ref="Z514" si="2231">SUM(W509:W514)</f>
        <v>2758</v>
      </c>
      <c r="AA514" s="33">
        <f t="shared" ref="AA514" si="2232">+AA513+W514</f>
        <v>615626</v>
      </c>
      <c r="AB514" s="33"/>
      <c r="AC514" s="46">
        <f t="shared" ref="AC514" si="2233">+AA514/H514</f>
        <v>1.7259905052663057E-2</v>
      </c>
      <c r="AD514" s="33"/>
      <c r="AE514" s="33">
        <f t="shared" ref="AE514" si="2234">+AA514/BW514</f>
        <v>1219.0613861386139</v>
      </c>
      <c r="AF514" s="50"/>
      <c r="AG514" s="33">
        <f t="shared" ref="AG514" si="2235">SUM(W508:W514)</f>
        <v>2999</v>
      </c>
      <c r="AH514" s="33">
        <f t="shared" ref="AH514" si="2236">SUM(D485:D930)</f>
        <v>1118358164.060914</v>
      </c>
      <c r="AI514" s="213">
        <f t="shared" ref="AI514" si="2237">+(AG514-AG507)/AG507</f>
        <v>0.45019342359767894</v>
      </c>
      <c r="AJ514" s="50"/>
      <c r="AK514" s="111"/>
      <c r="AL514" s="23">
        <f t="shared" ref="AL514" si="2238">+AP514-AP513</f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ref="AR514" si="2239">+AL514/AP513</f>
        <v>1.1567785234899328E-3</v>
      </c>
      <c r="AS514" s="25"/>
      <c r="AT514" s="25"/>
      <c r="AU514" s="24"/>
      <c r="AV514" s="298">
        <f t="shared" ref="AV514" si="2240">+AP514/H514</f>
        <v>0.83644965290019346</v>
      </c>
      <c r="AW514" s="298"/>
      <c r="AX514" s="24">
        <f t="shared" ref="AX514" si="2241">+AP514/BW514</f>
        <v>59078.162376237626</v>
      </c>
      <c r="AY514" s="308"/>
      <c r="AZ514" s="111"/>
      <c r="BA514" s="65">
        <f t="shared" ref="BA514" si="2242">+BC514-BC513</f>
        <v>1408885</v>
      </c>
      <c r="BB514" s="66"/>
      <c r="BC514" s="66">
        <v>542891847</v>
      </c>
      <c r="BD514" s="66"/>
      <c r="BE514" s="66">
        <f t="shared" ref="BE514" si="2243">+D514</f>
        <v>130706</v>
      </c>
      <c r="BF514" s="66"/>
      <c r="BG514" s="144">
        <f t="shared" ref="BG514" si="2244">+BE514/BA514</f>
        <v>9.2772653552277151E-2</v>
      </c>
      <c r="BH514" s="66"/>
      <c r="BI514" s="170"/>
      <c r="BJ514" s="66"/>
      <c r="BK514" s="66">
        <f t="shared" ref="BK514" si="2245">SUM(BA508:BA514)</f>
        <v>13712937</v>
      </c>
      <c r="BL514" s="66"/>
      <c r="BM514" s="144">
        <f t="shared" ref="BM514" si="2246">+Q514/BK514</f>
        <v>4.3661179220760661E-2</v>
      </c>
      <c r="BN514" s="65">
        <f t="shared" ref="BN514" si="2247">+BC514/BW514</f>
        <v>1075033.3603960397</v>
      </c>
      <c r="BO514" s="66"/>
      <c r="BP514" s="66">
        <f t="shared" ref="BP514" si="2248">+BP513+BE514</f>
        <v>34761005</v>
      </c>
      <c r="BQ514" s="66"/>
      <c r="BR514" s="435">
        <f t="shared" ref="BR514" si="2249">+BP514/BC514</f>
        <v>6.4029336951895693E-2</v>
      </c>
      <c r="BS514" s="66"/>
      <c r="BT514" s="75"/>
      <c r="BU514" s="170"/>
      <c r="BV514" s="1"/>
      <c r="BW514" s="61">
        <f t="shared" si="1175"/>
        <v>505</v>
      </c>
    </row>
    <row r="515" spans="2:75" x14ac:dyDescent="0.3">
      <c r="B515" s="158">
        <f t="shared" si="424"/>
        <v>44415</v>
      </c>
      <c r="C515" s="61"/>
      <c r="D515" s="17">
        <v>68950</v>
      </c>
      <c r="E515" s="16"/>
      <c r="F515" s="16"/>
      <c r="G515" s="16"/>
      <c r="H515" s="16">
        <f t="shared" ref="H515" si="2250">+H514+D515</f>
        <v>35736933</v>
      </c>
      <c r="I515" s="16"/>
      <c r="J515" s="436">
        <f t="shared" ref="J515" si="2251">+D515/H514</f>
        <v>1.9331062258272356E-3</v>
      </c>
      <c r="K515" s="16"/>
      <c r="L515" s="16"/>
      <c r="M515" s="16"/>
      <c r="N515" s="16">
        <f t="shared" ref="N515" si="2252">SUM(D509:D515)</f>
        <v>615775</v>
      </c>
      <c r="O515" s="16">
        <f t="shared" ref="O515" si="2253">+H515/BW515</f>
        <v>70626.349802371536</v>
      </c>
      <c r="P515" s="41"/>
      <c r="Q515" s="17">
        <f t="shared" ref="Q515" si="2254">SUM(D509:D515)</f>
        <v>615775</v>
      </c>
      <c r="R515" s="16"/>
      <c r="S515" s="60">
        <f t="shared" ref="S515" si="2255">+(Q515-Q508)/Q508</f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ref="Z515" si="2256">SUM(W510:W515)</f>
        <v>3014</v>
      </c>
      <c r="AA515" s="33">
        <f t="shared" ref="AA515" si="2257">+AA514+W515</f>
        <v>615946</v>
      </c>
      <c r="AB515" s="33"/>
      <c r="AC515" s="46">
        <f t="shared" ref="AC515" si="2258">+AA515/H515</f>
        <v>1.7235558518689895E-2</v>
      </c>
      <c r="AD515" s="33"/>
      <c r="AE515" s="33">
        <f t="shared" ref="AE515" si="2259">+AA515/BW515</f>
        <v>1217.2845849802372</v>
      </c>
      <c r="AF515" s="50"/>
      <c r="AG515" s="33">
        <f t="shared" ref="AG515" si="2260">SUM(W509:W515)</f>
        <v>3078</v>
      </c>
      <c r="AH515" s="33">
        <f t="shared" ref="AH515" si="2261">SUM(D486:D931)</f>
        <v>1118338817.060914</v>
      </c>
      <c r="AI515" s="213">
        <f t="shared" ref="AI515" si="2262">+(AG515-AG508)/AG508</f>
        <v>0.42632066728452273</v>
      </c>
      <c r="AJ515" s="50"/>
      <c r="AK515" s="111"/>
      <c r="AL515" s="23">
        <f t="shared" ref="AL515" si="2263">+AP515-AP514</f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ref="AR515" si="2264">+AL515/AP514</f>
        <v>5.8090520254556544E-4</v>
      </c>
      <c r="AS515" s="25"/>
      <c r="AT515" s="25"/>
      <c r="AU515" s="24"/>
      <c r="AV515" s="298">
        <f t="shared" ref="AV515" si="2265">+AP515/H515</f>
        <v>0.83532078704123824</v>
      </c>
      <c r="AW515" s="298"/>
      <c r="AX515" s="24">
        <f t="shared" ref="AX515" si="2266">+AP515/BW515</f>
        <v>58995.6581027668</v>
      </c>
      <c r="AY515" s="308"/>
      <c r="AZ515" s="111"/>
      <c r="BA515" s="65">
        <f t="shared" ref="BA515" si="2267">+BC515-BC514</f>
        <v>836734</v>
      </c>
      <c r="BB515" s="66"/>
      <c r="BC515" s="66">
        <v>543728581</v>
      </c>
      <c r="BD515" s="66"/>
      <c r="BE515" s="66">
        <f t="shared" ref="BE515" si="2268">+D515</f>
        <v>68950</v>
      </c>
      <c r="BF515" s="66"/>
      <c r="BG515" s="144">
        <f t="shared" ref="BG515" si="2269">+BE515/BA515</f>
        <v>8.2403726871383254E-2</v>
      </c>
      <c r="BH515" s="66"/>
      <c r="BI515" s="170"/>
      <c r="BJ515" s="66"/>
      <c r="BK515" s="66">
        <f t="shared" ref="BK515" si="2270">SUM(BA509:BA515)</f>
        <v>14048761</v>
      </c>
      <c r="BL515" s="66"/>
      <c r="BM515" s="144">
        <f t="shared" ref="BM515" si="2271">+Q515/BK515</f>
        <v>4.3831267397886543E-2</v>
      </c>
      <c r="BN515" s="65">
        <f t="shared" ref="BN515" si="2272">+BC515/BW515</f>
        <v>1074562.4130434783</v>
      </c>
      <c r="BO515" s="66"/>
      <c r="BP515" s="66">
        <f t="shared" ref="BP515" si="2273">+BP514+BE515</f>
        <v>34829955</v>
      </c>
      <c r="BQ515" s="66"/>
      <c r="BR515" s="435">
        <f t="shared" ref="BR515" si="2274">+BP515/BC515</f>
        <v>6.4057612965539509E-2</v>
      </c>
      <c r="BS515" s="66"/>
      <c r="BT515" s="75"/>
      <c r="BU515" s="170"/>
      <c r="BV515" s="1"/>
      <c r="BW515" s="61">
        <f t="shared" si="1175"/>
        <v>506</v>
      </c>
    </row>
    <row r="516" spans="2:75" x14ac:dyDescent="0.3">
      <c r="B516" s="347">
        <f t="shared" si="424"/>
        <v>44416</v>
      </c>
      <c r="C516" s="61"/>
      <c r="D516" s="17">
        <v>24390</v>
      </c>
      <c r="E516" s="16"/>
      <c r="F516" s="16"/>
      <c r="G516" s="16"/>
      <c r="H516" s="16">
        <f t="shared" ref="H516" si="2275">+H515+D516</f>
        <v>35761323</v>
      </c>
      <c r="I516" s="16"/>
      <c r="J516" s="436">
        <f t="shared" ref="J516" si="2276">+D516/H515</f>
        <v>6.8248721847507176E-4</v>
      </c>
      <c r="K516" s="16"/>
      <c r="L516" s="16"/>
      <c r="M516" s="16"/>
      <c r="N516" s="16">
        <f t="shared" ref="N516" si="2277">SUM(D510:D516)</f>
        <v>618397</v>
      </c>
      <c r="O516" s="16">
        <f t="shared" ref="O516" si="2278">+H516/BW516</f>
        <v>70535.153846153844</v>
      </c>
      <c r="P516" s="41"/>
      <c r="Q516" s="17">
        <f t="shared" ref="Q516" si="2279">SUM(D510:D516)</f>
        <v>618397</v>
      </c>
      <c r="R516" s="16"/>
      <c r="S516" s="60">
        <f t="shared" ref="S516" si="2280">+(Q516-Q509)/Q509</f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ref="Z516" si="2281">SUM(W511:W516)</f>
        <v>2930</v>
      </c>
      <c r="AA516" s="33">
        <f t="shared" ref="AA516" si="2282">+AA515+W516</f>
        <v>616075</v>
      </c>
      <c r="AB516" s="33"/>
      <c r="AC516" s="46">
        <f t="shared" ref="AC516" si="2283">+AA516/H516</f>
        <v>1.7227410742046652E-2</v>
      </c>
      <c r="AD516" s="33"/>
      <c r="AE516" s="33">
        <f t="shared" ref="AE516" si="2284">+AA516/BW516</f>
        <v>1215.1380670611441</v>
      </c>
      <c r="AF516" s="50"/>
      <c r="AG516" s="33">
        <f t="shared" ref="AG516" si="2285">SUM(W510:W516)</f>
        <v>3143</v>
      </c>
      <c r="AH516" s="33">
        <f t="shared" ref="AH516" si="2286">SUM(D487:D932)</f>
        <v>1118311580.060914</v>
      </c>
      <c r="AI516" s="213">
        <f t="shared" ref="AI516" si="2287">+(AG516-AG509)/AG509</f>
        <v>0.44638748274275197</v>
      </c>
      <c r="AJ516" s="50"/>
      <c r="AK516" s="111"/>
      <c r="AL516" s="23">
        <f t="shared" ref="AL516" si="2288">+AP516-AP515</f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ref="AR516" si="2289">+AL516/AP515</f>
        <v>2.4316789173504862E-4</v>
      </c>
      <c r="AS516" s="25"/>
      <c r="AT516" s="25"/>
      <c r="AU516" s="24"/>
      <c r="AV516" s="298">
        <f t="shared" ref="AV516" si="2290">+AP516/H516</f>
        <v>0.8349540647587339</v>
      </c>
      <c r="AW516" s="298"/>
      <c r="AX516" s="24">
        <f t="shared" ref="AX516" si="2291">+AP516/BW516</f>
        <v>58893.613412228799</v>
      </c>
      <c r="AY516" s="308"/>
      <c r="AZ516" s="111"/>
      <c r="BA516" s="65">
        <f t="shared" ref="BA516" si="2292">+BC516-BC515</f>
        <v>652881</v>
      </c>
      <c r="BB516" s="66"/>
      <c r="BC516" s="66">
        <v>544381462</v>
      </c>
      <c r="BD516" s="66"/>
      <c r="BE516" s="66">
        <f t="shared" ref="BE516" si="2293">+D516</f>
        <v>24390</v>
      </c>
      <c r="BF516" s="66"/>
      <c r="BG516" s="144">
        <f t="shared" ref="BG516" si="2294">+BE516/BA516</f>
        <v>3.73574970017507E-2</v>
      </c>
      <c r="BH516" s="66"/>
      <c r="BI516" s="170"/>
      <c r="BJ516" s="66"/>
      <c r="BK516" s="66">
        <f t="shared" ref="BK516" si="2295">SUM(BA510:BA516)</f>
        <v>14463413</v>
      </c>
      <c r="BL516" s="66"/>
      <c r="BM516" s="144">
        <f t="shared" ref="BM516" si="2296">+Q516/BK516</f>
        <v>4.2755952554213862E-2</v>
      </c>
      <c r="BN516" s="65">
        <f t="shared" ref="BN516" si="2297">+BC516/BW516</f>
        <v>1073730.6942800789</v>
      </c>
      <c r="BO516" s="66"/>
      <c r="BP516" s="66">
        <f t="shared" ref="BP516" si="2298">+BP515+BE516</f>
        <v>34854345</v>
      </c>
      <c r="BQ516" s="66"/>
      <c r="BR516" s="435">
        <f t="shared" ref="BR516" si="2299">+BP516/BC516</f>
        <v>6.4025591304944174E-2</v>
      </c>
      <c r="BS516" s="66"/>
      <c r="BT516" s="75"/>
      <c r="BU516" s="170"/>
      <c r="BV516" s="1"/>
      <c r="BW516" s="61">
        <f t="shared" si="1175"/>
        <v>507</v>
      </c>
    </row>
    <row r="517" spans="2:75" x14ac:dyDescent="0.3">
      <c r="B517" s="158">
        <f t="shared" si="424"/>
        <v>44417</v>
      </c>
      <c r="C517" s="61"/>
      <c r="D517" s="17">
        <v>102375</v>
      </c>
      <c r="E517" s="16"/>
      <c r="F517" s="16"/>
      <c r="G517" s="16"/>
      <c r="H517" s="16">
        <f t="shared" ref="H517" si="2300">+H516+D517</f>
        <v>35863698</v>
      </c>
      <c r="I517" s="16"/>
      <c r="J517" s="436">
        <f t="shared" ref="J517" si="2301">+D517/H516</f>
        <v>2.8627296590788883E-3</v>
      </c>
      <c r="K517" s="16"/>
      <c r="L517" s="16"/>
      <c r="M517" s="16"/>
      <c r="N517" s="16">
        <f t="shared" ref="N517" si="2302">SUM(D511:D517)</f>
        <v>664403</v>
      </c>
      <c r="O517" s="16">
        <f t="shared" ref="O517" si="2303">+H517/BW517</f>
        <v>70597.830708661422</v>
      </c>
      <c r="P517" s="41"/>
      <c r="Q517" s="17">
        <f t="shared" ref="Q517" si="2304">SUM(D511:D517)</f>
        <v>664403</v>
      </c>
      <c r="R517" s="16"/>
      <c r="S517" s="60">
        <f t="shared" ref="S517" si="2305">+(Q517-Q510)/Q510</f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ref="Z517" si="2306">SUM(W512:W517)</f>
        <v>2740</v>
      </c>
      <c r="AA517" s="33">
        <f t="shared" ref="AA517" si="2307">+AA516+W517</f>
        <v>616401</v>
      </c>
      <c r="AB517" s="33"/>
      <c r="AC517" s="46">
        <f t="shared" ref="AC517" si="2308">+AA517/H517</f>
        <v>1.7187324073496268E-2</v>
      </c>
      <c r="AD517" s="33"/>
      <c r="AE517" s="33">
        <f t="shared" ref="AE517" si="2309">+AA517/BW517</f>
        <v>1213.3877952755906</v>
      </c>
      <c r="AF517" s="50"/>
      <c r="AG517" s="33">
        <f t="shared" ref="AG517" si="2310">SUM(W511:W517)</f>
        <v>3256</v>
      </c>
      <c r="AH517" s="33">
        <f t="shared" ref="AH517" si="2311">SUM(D488:D933)</f>
        <v>1118297045.060914</v>
      </c>
      <c r="AI517" s="213">
        <f t="shared" ref="AI517" si="2312">+(AG517-AG510)/AG510</f>
        <v>0.44454303460514638</v>
      </c>
      <c r="AJ517" s="50"/>
      <c r="AK517" s="111"/>
      <c r="AL517" s="23">
        <f t="shared" ref="AL517" si="2313">+AP517-AP516</f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ref="AR517" si="2314">+AL517/AP516</f>
        <v>2.1520434901806358E-3</v>
      </c>
      <c r="AS517" s="25"/>
      <c r="AT517" s="25"/>
      <c r="AU517" s="24"/>
      <c r="AV517" s="298">
        <f t="shared" ref="AV517" si="2315">+AP517/H517</f>
        <v>0.83436236832018829</v>
      </c>
      <c r="AW517" s="298"/>
      <c r="AX517" s="24">
        <f t="shared" ref="AX517" si="2316">+AP517/BW517</f>
        <v>58904.173228346459</v>
      </c>
      <c r="AY517" s="308"/>
      <c r="AZ517" s="111"/>
      <c r="BA517" s="65">
        <f t="shared" ref="BA517" si="2317">+BC517-BC516</f>
        <v>2240677</v>
      </c>
      <c r="BB517" s="66"/>
      <c r="BC517" s="66">
        <v>546622139</v>
      </c>
      <c r="BD517" s="66"/>
      <c r="BE517" s="66">
        <f t="shared" ref="BE517" si="2318">+D517</f>
        <v>102375</v>
      </c>
      <c r="BF517" s="66"/>
      <c r="BG517" s="144">
        <f t="shared" ref="BG517" si="2319">+BE517/BA517</f>
        <v>4.5689316220053136E-2</v>
      </c>
      <c r="BH517" s="66"/>
      <c r="BI517" s="170"/>
      <c r="BJ517" s="66"/>
      <c r="BK517" s="66">
        <f t="shared" ref="BK517" si="2320">SUM(BA511:BA517)</f>
        <v>14481071</v>
      </c>
      <c r="BL517" s="66"/>
      <c r="BM517" s="144">
        <f t="shared" ref="BM517" si="2321">+Q517/BK517</f>
        <v>4.5880791551950822E-2</v>
      </c>
      <c r="BN517" s="65">
        <f t="shared" ref="BN517" si="2322">+BC517/BW517</f>
        <v>1076027.8326771653</v>
      </c>
      <c r="BO517" s="66"/>
      <c r="BP517" s="66">
        <f t="shared" ref="BP517" si="2323">+BP516+BE517</f>
        <v>34956720</v>
      </c>
      <c r="BQ517" s="66"/>
      <c r="BR517" s="435">
        <f t="shared" ref="BR517" si="2324">+BP517/BC517</f>
        <v>6.3950428469564793E-2</v>
      </c>
      <c r="BS517" s="66"/>
      <c r="BT517" s="75"/>
      <c r="BU517" s="170"/>
      <c r="BV517" s="1"/>
      <c r="BW517" s="61">
        <f t="shared" si="1175"/>
        <v>508</v>
      </c>
    </row>
    <row r="518" spans="2:75" x14ac:dyDescent="0.3">
      <c r="B518" s="158">
        <f t="shared" si="424"/>
        <v>44418</v>
      </c>
      <c r="C518" s="61"/>
      <c r="D518" s="17">
        <v>101254</v>
      </c>
      <c r="E518" s="16"/>
      <c r="F518" s="16"/>
      <c r="G518" s="16"/>
      <c r="H518" s="16">
        <f t="shared" ref="H518" si="2325">+H517+D518</f>
        <v>35964952</v>
      </c>
      <c r="I518" s="16"/>
      <c r="J518" s="436">
        <f t="shared" ref="J518" si="2326">+D518/H517</f>
        <v>2.8233005977241947E-3</v>
      </c>
      <c r="K518" s="16"/>
      <c r="L518" s="16"/>
      <c r="M518" s="16"/>
      <c r="N518" s="16">
        <f t="shared" ref="N518" si="2327">SUM(D512:D518)</f>
        <v>660899</v>
      </c>
      <c r="O518" s="16">
        <f t="shared" ref="O518" si="2328">+H518/BW518</f>
        <v>70658.05893909627</v>
      </c>
      <c r="P518" s="41"/>
      <c r="Q518" s="17">
        <f t="shared" ref="Q518" si="2329">SUM(D512:D518)</f>
        <v>660899</v>
      </c>
      <c r="R518" s="16"/>
      <c r="S518" s="60">
        <f t="shared" ref="S518" si="2330">+(Q518-Q511)/Q511</f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ref="Z518" si="2331">SUM(W513:W518)</f>
        <v>2741</v>
      </c>
      <c r="AA518" s="33">
        <f t="shared" ref="AA518" si="2332">+AA517+W518</f>
        <v>617058</v>
      </c>
      <c r="AB518" s="33"/>
      <c r="AC518" s="46">
        <f t="shared" ref="AC518" si="2333">+AA518/H518</f>
        <v>1.7157203490776242E-2</v>
      </c>
      <c r="AD518" s="33"/>
      <c r="AE518" s="33">
        <f t="shared" ref="AE518" si="2334">+AA518/BW518</f>
        <v>1212.294695481336</v>
      </c>
      <c r="AF518" s="50"/>
      <c r="AG518" s="33">
        <f t="shared" ref="AG518" si="2335">SUM(W512:W518)</f>
        <v>3397</v>
      </c>
      <c r="AH518" s="33">
        <f t="shared" ref="AH518" si="2336">SUM(D489:D934)</f>
        <v>1118290403.060914</v>
      </c>
      <c r="AI518" s="213">
        <f t="shared" ref="AI518" si="2337">+(AG518-AG511)/AG511</f>
        <v>0.39736733854380912</v>
      </c>
      <c r="AJ518" s="50"/>
      <c r="AK518" s="111"/>
      <c r="AL518" s="23">
        <f t="shared" ref="AL518" si="2338">+AP518-AP517</f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ref="AR518" si="2339">+AL518/AP517</f>
        <v>1.4370397402427271E-3</v>
      </c>
      <c r="AS518" s="25"/>
      <c r="AT518" s="25"/>
      <c r="AU518" s="24"/>
      <c r="AV518" s="298">
        <f t="shared" ref="AV518" si="2340">+AP518/H518</f>
        <v>0.83320898078774019</v>
      </c>
      <c r="AW518" s="298"/>
      <c r="AX518" s="24">
        <f t="shared" ref="AX518" si="2341">+AP518/BW518</f>
        <v>58872.929273084483</v>
      </c>
      <c r="AY518" s="308"/>
      <c r="AZ518" s="111"/>
      <c r="BA518" s="65">
        <f t="shared" ref="BA518" si="2342">+BC518-BC517</f>
        <v>1026783</v>
      </c>
      <c r="BB518" s="66"/>
      <c r="BC518" s="66">
        <v>547648922</v>
      </c>
      <c r="BD518" s="66"/>
      <c r="BE518" s="66">
        <f t="shared" ref="BE518" si="2343">+D518</f>
        <v>101254</v>
      </c>
      <c r="BF518" s="66"/>
      <c r="BG518" s="144">
        <f t="shared" ref="BG518" si="2344">+BE518/BA518</f>
        <v>9.8612851985278291E-2</v>
      </c>
      <c r="BH518" s="66"/>
      <c r="BI518" s="170"/>
      <c r="BJ518" s="66"/>
      <c r="BK518" s="66">
        <f t="shared" ref="BK518" si="2345">SUM(BA512:BA518)</f>
        <v>8423604</v>
      </c>
      <c r="BL518" s="66"/>
      <c r="BM518" s="144">
        <f t="shared" ref="BM518" si="2346">+Q518/BK518</f>
        <v>7.845798544186075E-2</v>
      </c>
      <c r="BN518" s="65">
        <f t="shared" ref="BN518" si="2347">+BC518/BW518</f>
        <v>1075931.0844793713</v>
      </c>
      <c r="BO518" s="66"/>
      <c r="BP518" s="66">
        <f t="shared" ref="BP518" si="2348">+BP517+BE518</f>
        <v>35057974</v>
      </c>
      <c r="BQ518" s="66"/>
      <c r="BR518" s="435">
        <f t="shared" ref="BR518" si="2349">+BP518/BC518</f>
        <v>6.4015416796529362E-2</v>
      </c>
      <c r="BS518" s="66"/>
      <c r="BT518" s="75"/>
      <c r="BU518" s="170"/>
      <c r="BV518" s="1"/>
      <c r="BW518" s="61">
        <f t="shared" si="1175"/>
        <v>509</v>
      </c>
    </row>
    <row r="519" spans="2:75" x14ac:dyDescent="0.3">
      <c r="B519" s="158">
        <f t="shared" ref="B519:B529" si="2350">1+B518</f>
        <v>44419</v>
      </c>
      <c r="C519" s="61"/>
      <c r="D519" s="17">
        <v>144635</v>
      </c>
      <c r="E519" s="16"/>
      <c r="F519" s="16"/>
      <c r="G519" s="16"/>
      <c r="H519" s="16">
        <f t="shared" ref="H519" si="2351">+H518+D519</f>
        <v>36109587</v>
      </c>
      <c r="I519" s="16"/>
      <c r="J519" s="436">
        <f t="shared" ref="J519" si="2352">+D519/H518</f>
        <v>4.021554095220258E-3</v>
      </c>
      <c r="K519" s="16"/>
      <c r="L519" s="16"/>
      <c r="M519" s="16"/>
      <c r="N519" s="16">
        <f t="shared" ref="N519" si="2353">SUM(D513:D519)</f>
        <v>693255</v>
      </c>
      <c r="O519" s="16">
        <f t="shared" ref="O519" si="2354">+H519/BW519</f>
        <v>70803.111764705885</v>
      </c>
      <c r="P519" s="41"/>
      <c r="Q519" s="17">
        <f t="shared" ref="Q519" si="2355">SUM(D513:D519)</f>
        <v>693255</v>
      </c>
      <c r="R519" s="16"/>
      <c r="S519" s="60">
        <f t="shared" ref="S519" si="2356">+(Q519-Q512)/Q512</f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ref="Z519" si="2357">SUM(W514:W519)</f>
        <v>2796</v>
      </c>
      <c r="AA519" s="33">
        <f t="shared" ref="AA519" si="2358">+AA518+W519</f>
        <v>617672</v>
      </c>
      <c r="AB519" s="33"/>
      <c r="AC519" s="46">
        <f t="shared" ref="AC519" si="2359">+AA519/H519</f>
        <v>1.7105485033656019E-2</v>
      </c>
      <c r="AD519" s="33"/>
      <c r="AE519" s="33">
        <f t="shared" ref="AE519" si="2360">+AA519/BW519</f>
        <v>1211.1215686274509</v>
      </c>
      <c r="AF519" s="50"/>
      <c r="AG519" s="33">
        <f t="shared" ref="AG519" si="2361">SUM(W513:W519)</f>
        <v>3355</v>
      </c>
      <c r="AH519" s="33">
        <f t="shared" ref="AH519" si="2362">SUM(D490:D935)</f>
        <v>1118270407.060914</v>
      </c>
      <c r="AI519" s="213">
        <f t="shared" ref="AI519" si="2363">+(AG519-AG512)/AG512</f>
        <v>0.28840245775729645</v>
      </c>
      <c r="AJ519" s="50"/>
      <c r="AK519" s="111"/>
      <c r="AL519" s="23">
        <f t="shared" ref="AL519" si="2364">+AP519-AP518</f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ref="AR519" si="2365">+AL519/AP518</f>
        <v>2.7945706114541054E-3</v>
      </c>
      <c r="AS519" s="25"/>
      <c r="AT519" s="25"/>
      <c r="AU519" s="24"/>
      <c r="AV519" s="298">
        <f t="shared" ref="AV519" si="2366">+AP519/H519</f>
        <v>0.83219074203202603</v>
      </c>
      <c r="AW519" s="298"/>
      <c r="AX519" s="24">
        <f t="shared" ref="AX519" si="2367">+AP519/BW519</f>
        <v>58921.694117647057</v>
      </c>
      <c r="AY519" s="308"/>
      <c r="AZ519" s="111"/>
      <c r="BA519" s="65">
        <f t="shared" ref="BA519" si="2368">+BC519-BC518</f>
        <v>3442163</v>
      </c>
      <c r="BB519" s="66"/>
      <c r="BC519" s="66">
        <v>551091085</v>
      </c>
      <c r="BD519" s="66"/>
      <c r="BE519" s="66">
        <f t="shared" ref="BE519" si="2369">+D519</f>
        <v>144635</v>
      </c>
      <c r="BF519" s="66"/>
      <c r="BG519" s="144">
        <f t="shared" ref="BG519" si="2370">+BE519/BA519</f>
        <v>4.2018637699609229E-2</v>
      </c>
      <c r="BH519" s="66"/>
      <c r="BI519" s="170"/>
      <c r="BJ519" s="66"/>
      <c r="BK519" s="66">
        <f t="shared" ref="BK519" si="2371">SUM(BA513:BA519)</f>
        <v>10708736</v>
      </c>
      <c r="BL519" s="66"/>
      <c r="BM519" s="144">
        <f t="shared" ref="BM519" si="2372">+Q519/BK519</f>
        <v>6.4737332211756829E-2</v>
      </c>
      <c r="BN519" s="65">
        <f t="shared" ref="BN519" si="2373">+BC519/BW519</f>
        <v>1080570.7549019607</v>
      </c>
      <c r="BO519" s="66"/>
      <c r="BP519" s="66">
        <f t="shared" ref="BP519" si="2374">+BP518+BE519</f>
        <v>35202609</v>
      </c>
      <c r="BQ519" s="66"/>
      <c r="BR519" s="435">
        <f t="shared" ref="BR519" si="2375">+BP519/BC519</f>
        <v>6.387802299505535E-2</v>
      </c>
      <c r="BS519" s="66"/>
      <c r="BT519" s="75"/>
      <c r="BU519" s="170"/>
      <c r="BV519" s="1"/>
      <c r="BW519" s="61">
        <f t="shared" si="1175"/>
        <v>510</v>
      </c>
    </row>
    <row r="520" spans="2:75" x14ac:dyDescent="0.3">
      <c r="B520" s="158">
        <f t="shared" si="2350"/>
        <v>44420</v>
      </c>
      <c r="C520" s="61"/>
      <c r="D520" s="17">
        <v>143537</v>
      </c>
      <c r="E520" s="16"/>
      <c r="F520" s="16"/>
      <c r="G520" s="16"/>
      <c r="H520" s="16">
        <f t="shared" ref="H520" si="2376">+H519+D520</f>
        <v>36253124</v>
      </c>
      <c r="I520" s="16"/>
      <c r="J520" s="436">
        <f t="shared" ref="J520" si="2377">+D520/H519</f>
        <v>3.975038540318946E-3</v>
      </c>
      <c r="K520" s="16"/>
      <c r="L520" s="16"/>
      <c r="M520" s="16"/>
      <c r="N520" s="16">
        <f t="shared" ref="N520" si="2378">SUM(D514:D520)</f>
        <v>715847</v>
      </c>
      <c r="O520" s="16">
        <f t="shared" ref="O520" si="2379">+H520/BW520</f>
        <v>70945.448140900189</v>
      </c>
      <c r="P520" s="41"/>
      <c r="Q520" s="17">
        <f t="shared" ref="Q520" si="2380">SUM(D514:D520)</f>
        <v>715847</v>
      </c>
      <c r="R520" s="16"/>
      <c r="S520" s="60">
        <f t="shared" ref="S520" si="2381">+(Q520-Q513)/Q513</f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ref="Z520" si="2382">SUM(W515:W520)</f>
        <v>2706</v>
      </c>
      <c r="AA520" s="33">
        <f t="shared" ref="AA520" si="2383">+AA519+W520</f>
        <v>618332</v>
      </c>
      <c r="AB520" s="33"/>
      <c r="AC520" s="46">
        <f t="shared" ref="AC520" si="2384">+AA520/H520</f>
        <v>1.7055964611491135E-2</v>
      </c>
      <c r="AD520" s="33"/>
      <c r="AE520" s="33">
        <f t="shared" ref="AE520" si="2385">+AA520/BW520</f>
        <v>1210.0430528375734</v>
      </c>
      <c r="AF520" s="50"/>
      <c r="AG520" s="33">
        <f t="shared" ref="AG520" si="2386">SUM(W514:W520)</f>
        <v>3456</v>
      </c>
      <c r="AH520" s="33">
        <f t="shared" ref="AH520" si="2387">SUM(D491:D936)</f>
        <v>1118230653.060914</v>
      </c>
      <c r="AI520" s="213">
        <f t="shared" ref="AI520" si="2388">+(AG520-AG513)/AG513</f>
        <v>0.29051530993278568</v>
      </c>
      <c r="AJ520" s="50"/>
      <c r="AK520" s="111"/>
      <c r="AL520" s="23">
        <f t="shared" ref="AL520" si="2389">+AP520-AP519</f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ref="AR520" si="2390">+AL520/AP519</f>
        <v>1.5918102537152666E-3</v>
      </c>
      <c r="AS520" s="25"/>
      <c r="AT520" s="25"/>
      <c r="AU520" s="24"/>
      <c r="AV520" s="298">
        <f t="shared" ref="AV520" si="2391">+AP520/H520</f>
        <v>0.83021529399783589</v>
      </c>
      <c r="AW520" s="298"/>
      <c r="AX520" s="24">
        <f t="shared" ref="AX520" si="2392">+AP520/BW520</f>
        <v>58899.996086105675</v>
      </c>
      <c r="AY520" s="308"/>
      <c r="AZ520" s="111"/>
      <c r="BA520" s="65">
        <f t="shared" ref="BA520" si="2393">+BC520-BC519</f>
        <v>1317096</v>
      </c>
      <c r="BB520" s="66"/>
      <c r="BC520" s="66">
        <v>552408181</v>
      </c>
      <c r="BD520" s="66"/>
      <c r="BE520" s="66">
        <f t="shared" ref="BE520" si="2394">+D520</f>
        <v>143537</v>
      </c>
      <c r="BF520" s="66"/>
      <c r="BG520" s="144">
        <f t="shared" ref="BG520" si="2395">+BE520/BA520</f>
        <v>0.10897990731123623</v>
      </c>
      <c r="BH520" s="66"/>
      <c r="BI520" s="170"/>
      <c r="BJ520" s="66"/>
      <c r="BK520" s="66">
        <f t="shared" ref="BK520" si="2396">SUM(BA514:BA520)</f>
        <v>10925219</v>
      </c>
      <c r="BL520" s="66"/>
      <c r="BM520" s="144">
        <f t="shared" ref="BM520" si="2397">+Q520/BK520</f>
        <v>6.5522439412884992E-2</v>
      </c>
      <c r="BN520" s="65">
        <f t="shared" ref="BN520" si="2398">+BC520/BW520</f>
        <v>1081033.6223091977</v>
      </c>
      <c r="BO520" s="66"/>
      <c r="BP520" s="66">
        <f t="shared" ref="BP520" si="2399">+BP519+BE520</f>
        <v>35346146</v>
      </c>
      <c r="BQ520" s="66"/>
      <c r="BR520" s="435">
        <f t="shared" ref="BR520" si="2400">+BP520/BC520</f>
        <v>6.3985558533934894E-2</v>
      </c>
      <c r="BS520" s="66"/>
      <c r="BT520" s="75"/>
      <c r="BU520" s="170"/>
      <c r="BV520" s="1"/>
      <c r="BW520" s="61">
        <f t="shared" si="1175"/>
        <v>511</v>
      </c>
    </row>
    <row r="521" spans="2:75" x14ac:dyDescent="0.3">
      <c r="B521" s="158">
        <f t="shared" si="2350"/>
        <v>44421</v>
      </c>
      <c r="C521" s="61"/>
      <c r="D521" s="17">
        <v>155297</v>
      </c>
      <c r="E521" s="16"/>
      <c r="F521" s="16"/>
      <c r="G521" s="16"/>
      <c r="H521" s="16">
        <f t="shared" ref="H521" si="2401">+H520+D521</f>
        <v>36408421</v>
      </c>
      <c r="I521" s="16"/>
      <c r="J521" s="436">
        <f t="shared" ref="J521" si="2402">+D521/H520</f>
        <v>4.2836860073079495E-3</v>
      </c>
      <c r="K521" s="16"/>
      <c r="L521" s="16"/>
      <c r="M521" s="16"/>
      <c r="N521" s="16">
        <f t="shared" ref="N521" si="2403">SUM(D515:D521)</f>
        <v>740438</v>
      </c>
      <c r="O521" s="16">
        <f t="shared" ref="O521" si="2404">+H521/BW521</f>
        <v>71110.197265625</v>
      </c>
      <c r="P521" s="41"/>
      <c r="Q521" s="17">
        <f t="shared" ref="Q521" si="2405">SUM(D515:D521)</f>
        <v>740438</v>
      </c>
      <c r="R521" s="16"/>
      <c r="S521" s="60">
        <f t="shared" ref="S521" si="2406">+(Q521-Q514)/Q514</f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ref="Z521" si="2407">SUM(W516:W521)</f>
        <v>3155</v>
      </c>
      <c r="AA521" s="33">
        <f t="shared" ref="AA521" si="2408">+AA520+W521</f>
        <v>619101</v>
      </c>
      <c r="AB521" s="33"/>
      <c r="AC521" s="46">
        <f t="shared" ref="AC521" si="2409">+AA521/H521</f>
        <v>1.7004335343188876E-2</v>
      </c>
      <c r="AD521" s="33"/>
      <c r="AE521" s="33">
        <f t="shared" ref="AE521" si="2410">+AA521/BW521</f>
        <v>1209.181640625</v>
      </c>
      <c r="AF521" s="50"/>
      <c r="AG521" s="33">
        <f t="shared" ref="AG521" si="2411">SUM(W515:W521)</f>
        <v>3475</v>
      </c>
      <c r="AH521" s="33">
        <f t="shared" ref="AH521" si="2412">SUM(D492:D937)</f>
        <v>1118195206.060914</v>
      </c>
      <c r="AI521" s="213">
        <f t="shared" ref="AI521" si="2413">+(AG521-AG514)/AG514</f>
        <v>0.1587195731910637</v>
      </c>
      <c r="AJ521" s="50"/>
      <c r="AK521" s="111"/>
      <c r="AL521" s="23">
        <f t="shared" ref="AL521" si="2414">+AP521-AP520</f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ref="AR521" si="2415">+AL521/AP520</f>
        <v>1.0696428036270174E-3</v>
      </c>
      <c r="AS521" s="25"/>
      <c r="AT521" s="25"/>
      <c r="AU521" s="24"/>
      <c r="AV521" s="298">
        <f t="shared" ref="AV521" si="2416">+AP521/H521</f>
        <v>0.82755832778356408</v>
      </c>
      <c r="AW521" s="298"/>
      <c r="AX521" s="24">
        <f t="shared" ref="AX521" si="2417">+AP521/BW521</f>
        <v>58847.8359375</v>
      </c>
      <c r="AY521" s="308"/>
      <c r="AZ521" s="111"/>
      <c r="BA521" s="65">
        <f t="shared" ref="BA521" si="2418">+BC521-BC520</f>
        <v>1559142</v>
      </c>
      <c r="BB521" s="66"/>
      <c r="BC521" s="66">
        <v>553967323</v>
      </c>
      <c r="BD521" s="66"/>
      <c r="BE521" s="66">
        <f t="shared" ref="BE521" si="2419">+D521</f>
        <v>155297</v>
      </c>
      <c r="BF521" s="66"/>
      <c r="BG521" s="144">
        <f t="shared" ref="BG521" si="2420">+BE521/BA521</f>
        <v>9.9604141252047598E-2</v>
      </c>
      <c r="BH521" s="66"/>
      <c r="BI521" s="170"/>
      <c r="BJ521" s="66"/>
      <c r="BK521" s="66">
        <f t="shared" ref="BK521" si="2421">SUM(BA515:BA521)</f>
        <v>11075476</v>
      </c>
      <c r="BL521" s="66"/>
      <c r="BM521" s="144">
        <f t="shared" ref="BM521" si="2422">+Q521/BK521</f>
        <v>6.6853830932413205E-2</v>
      </c>
      <c r="BN521" s="65">
        <f t="shared" ref="BN521" si="2423">+BC521/BW521</f>
        <v>1081967.427734375</v>
      </c>
      <c r="BO521" s="66"/>
      <c r="BP521" s="66">
        <f t="shared" ref="BP521" si="2424">+BP520+BE521</f>
        <v>35501443</v>
      </c>
      <c r="BQ521" s="66"/>
      <c r="BR521" s="435">
        <f t="shared" ref="BR521" si="2425">+BP521/BC521</f>
        <v>6.408580709732585E-2</v>
      </c>
      <c r="BS521" s="66"/>
      <c r="BT521" s="75"/>
      <c r="BU521" s="170"/>
      <c r="BV521" s="1"/>
      <c r="BW521" s="61">
        <f t="shared" si="1175"/>
        <v>512</v>
      </c>
    </row>
    <row r="522" spans="2:75" x14ac:dyDescent="0.3">
      <c r="B522" s="158">
        <f t="shared" si="2350"/>
        <v>44422</v>
      </c>
      <c r="C522" s="61"/>
      <c r="D522" s="17">
        <v>71135</v>
      </c>
      <c r="E522" s="16"/>
      <c r="F522" s="16"/>
      <c r="G522" s="16"/>
      <c r="H522" s="16">
        <f t="shared" ref="H522" si="2426">+H521+D522</f>
        <v>36479556</v>
      </c>
      <c r="I522" s="16"/>
      <c r="J522" s="436">
        <f t="shared" ref="J522" si="2427">+D522/H521</f>
        <v>1.953806236200136E-3</v>
      </c>
      <c r="K522" s="16"/>
      <c r="L522" s="16"/>
      <c r="M522" s="16"/>
      <c r="N522" s="16">
        <f t="shared" ref="N522" si="2428">SUM(D516:D522)</f>
        <v>742623</v>
      </c>
      <c r="O522" s="16">
        <f t="shared" ref="O522" si="2429">+H522/BW522</f>
        <v>71110.245614035084</v>
      </c>
      <c r="P522" s="41"/>
      <c r="Q522" s="17">
        <f t="shared" ref="Q522" si="2430">SUM(D516:D522)</f>
        <v>742623</v>
      </c>
      <c r="R522" s="16"/>
      <c r="S522" s="60">
        <f t="shared" ref="S522" si="2431">+(Q522-Q515)/Q515</f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ref="Z522" si="2432">SUM(W517:W522)</f>
        <v>3284</v>
      </c>
      <c r="AA522" s="33">
        <f t="shared" ref="AA522" si="2433">+AA521+W522</f>
        <v>619359</v>
      </c>
      <c r="AB522" s="33"/>
      <c r="AC522" s="46">
        <f t="shared" ref="AC522" si="2434">+AA522/H522</f>
        <v>1.6978249406325013E-2</v>
      </c>
      <c r="AD522" s="33"/>
      <c r="AE522" s="33">
        <f t="shared" ref="AE522" si="2435">+AA522/BW522</f>
        <v>1207.327485380117</v>
      </c>
      <c r="AF522" s="50"/>
      <c r="AG522" s="33">
        <f t="shared" ref="AG522" si="2436">SUM(W516:W522)</f>
        <v>3413</v>
      </c>
      <c r="AH522" s="33">
        <f t="shared" ref="AH522" si="2437">SUM(D493:D938)</f>
        <v>1118158532.060914</v>
      </c>
      <c r="AI522" s="213">
        <f t="shared" ref="AI522" si="2438">+(AG522-AG515)/AG515</f>
        <v>0.10883690708252111</v>
      </c>
      <c r="AJ522" s="50"/>
      <c r="AK522" s="111"/>
      <c r="AL522" s="23">
        <f t="shared" ref="AL522" si="2439">+AP522-AP521</f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ref="AR522" si="2440">+AL522/AP521</f>
        <v>4.8181067618379656E-4</v>
      </c>
      <c r="AS522" s="25"/>
      <c r="AT522" s="25"/>
      <c r="AU522" s="24"/>
      <c r="AV522" s="298">
        <f t="shared" ref="AV522" si="2441">+AP522/H522</f>
        <v>0.82634254101118998</v>
      </c>
      <c r="AW522" s="298"/>
      <c r="AX522" s="24">
        <f t="shared" ref="AX522" si="2442">+AP522/BW522</f>
        <v>58761.42105263158</v>
      </c>
      <c r="AY522" s="308"/>
      <c r="AZ522" s="111"/>
      <c r="BA522" s="65">
        <f t="shared" ref="BA522" si="2443">+BC522-BC521</f>
        <v>775678</v>
      </c>
      <c r="BB522" s="66"/>
      <c r="BC522" s="66">
        <v>554743001</v>
      </c>
      <c r="BD522" s="66"/>
      <c r="BE522" s="66">
        <f t="shared" ref="BE522" si="2444">+D522</f>
        <v>71135</v>
      </c>
      <c r="BF522" s="66"/>
      <c r="BG522" s="144">
        <f t="shared" ref="BG522" si="2445">+BE522/BA522</f>
        <v>9.1706868056074808E-2</v>
      </c>
      <c r="BH522" s="66"/>
      <c r="BI522" s="170"/>
      <c r="BJ522" s="66"/>
      <c r="BK522" s="66">
        <f t="shared" ref="BK522" si="2446">SUM(BA516:BA522)</f>
        <v>11014420</v>
      </c>
      <c r="BL522" s="66"/>
      <c r="BM522" s="144">
        <f t="shared" ref="BM522" si="2447">+Q522/BK522</f>
        <v>6.7422796661104262E-2</v>
      </c>
      <c r="BN522" s="65">
        <f t="shared" ref="BN522" si="2448">+BC522/BW522</f>
        <v>1081370.3723196881</v>
      </c>
      <c r="BO522" s="66"/>
      <c r="BP522" s="66">
        <f t="shared" ref="BP522" si="2449">+BP521+BE522</f>
        <v>35572578</v>
      </c>
      <c r="BQ522" s="66"/>
      <c r="BR522" s="435">
        <f t="shared" ref="BR522" si="2450">+BP522/BC522</f>
        <v>6.4124428673954556E-2</v>
      </c>
      <c r="BS522" s="66"/>
      <c r="BT522" s="75"/>
      <c r="BU522" s="170"/>
      <c r="BV522" s="1"/>
      <c r="BW522" s="61">
        <f t="shared" si="1175"/>
        <v>513</v>
      </c>
    </row>
    <row r="523" spans="2:75" x14ac:dyDescent="0.3">
      <c r="B523" s="347">
        <f t="shared" si="2350"/>
        <v>44423</v>
      </c>
      <c r="C523" s="61"/>
      <c r="D523" s="17">
        <v>30883</v>
      </c>
      <c r="E523" s="16"/>
      <c r="F523" s="16"/>
      <c r="G523" s="16"/>
      <c r="H523" s="16">
        <f t="shared" ref="H523" si="2451">+H522+D523</f>
        <v>36510439</v>
      </c>
      <c r="I523" s="16"/>
      <c r="J523" s="436">
        <f t="shared" ref="J523" si="2452">+D523/H522</f>
        <v>8.4658376872788694E-4</v>
      </c>
      <c r="K523" s="16"/>
      <c r="L523" s="16"/>
      <c r="M523" s="16"/>
      <c r="N523" s="16">
        <f t="shared" ref="N523" si="2453">SUM(D517:D523)</f>
        <v>749116</v>
      </c>
      <c r="O523" s="16">
        <f t="shared" ref="O523" si="2454">+H523/BW523</f>
        <v>71031.982490272378</v>
      </c>
      <c r="P523" s="41"/>
      <c r="Q523" s="17">
        <f t="shared" ref="Q523" si="2455">SUM(D517:D523)</f>
        <v>749116</v>
      </c>
      <c r="R523" s="16"/>
      <c r="S523" s="60">
        <f t="shared" ref="S523" si="2456">+(Q523-Q516)/Q516</f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ref="Z523" si="2457">SUM(W518:W523)</f>
        <v>3080</v>
      </c>
      <c r="AA523" s="33">
        <f t="shared" ref="AA523" si="2458">+AA522+W523</f>
        <v>619481</v>
      </c>
      <c r="AB523" s="33"/>
      <c r="AC523" s="46">
        <f t="shared" ref="AC523" si="2459">+AA523/H523</f>
        <v>1.6967229564125483E-2</v>
      </c>
      <c r="AD523" s="33"/>
      <c r="AE523" s="33">
        <f t="shared" ref="AE523" si="2460">+AA523/BW523</f>
        <v>1205.215953307393</v>
      </c>
      <c r="AF523" s="50"/>
      <c r="AG523" s="33">
        <f t="shared" ref="AG523" si="2461">SUM(W517:W523)</f>
        <v>3406</v>
      </c>
      <c r="AH523" s="33">
        <f t="shared" ref="AH523" si="2462">SUM(D494:D939)</f>
        <v>1118118003.060914</v>
      </c>
      <c r="AI523" s="213">
        <f t="shared" ref="AI523" si="2463">+(AG523-AG516)/AG516</f>
        <v>8.3678014635698378E-2</v>
      </c>
      <c r="AJ523" s="50"/>
      <c r="AK523" s="111"/>
      <c r="AL523" s="23">
        <f t="shared" ref="AL523" si="2464">+AP523-AP522</f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ref="AR523" si="2465">+AL523/AP522</f>
        <v>2.9746612404227903E-4</v>
      </c>
      <c r="AS523" s="25"/>
      <c r="AT523" s="25"/>
      <c r="AU523" s="24"/>
      <c r="AV523" s="298">
        <f t="shared" ref="AV523" si="2466">+AP523/H523</f>
        <v>0.82588916556166303</v>
      </c>
      <c r="AW523" s="298"/>
      <c r="AX523" s="24">
        <f t="shared" ref="AX523" si="2467">+AP523/BW523</f>
        <v>58664.544747081709</v>
      </c>
      <c r="AY523" s="308"/>
      <c r="AZ523" s="111"/>
      <c r="BA523" s="65">
        <f t="shared" ref="BA523" si="2468">+BC523-BC522</f>
        <v>690474</v>
      </c>
      <c r="BB523" s="66"/>
      <c r="BC523" s="66">
        <v>555433475</v>
      </c>
      <c r="BD523" s="66"/>
      <c r="BE523" s="66">
        <f t="shared" ref="BE523" si="2469">+D523</f>
        <v>30883</v>
      </c>
      <c r="BF523" s="66"/>
      <c r="BG523" s="144">
        <f t="shared" ref="BG523" si="2470">+BE523/BA523</f>
        <v>4.4727245341605909E-2</v>
      </c>
      <c r="BH523" s="66"/>
      <c r="BI523" s="170"/>
      <c r="BJ523" s="66"/>
      <c r="BK523" s="66">
        <f t="shared" ref="BK523" si="2471">SUM(BA517:BA523)</f>
        <v>11052013</v>
      </c>
      <c r="BL523" s="66"/>
      <c r="BM523" s="144">
        <f t="shared" ref="BM523" si="2472">+Q523/BK523</f>
        <v>6.7780955378897945E-2</v>
      </c>
      <c r="BN523" s="65">
        <f t="shared" ref="BN523" si="2473">+BC523/BW523</f>
        <v>1080609.8735408559</v>
      </c>
      <c r="BO523" s="66"/>
      <c r="BP523" s="66">
        <f t="shared" ref="BP523" si="2474">+BP522+BE523</f>
        <v>35603461</v>
      </c>
      <c r="BQ523" s="66"/>
      <c r="BR523" s="435">
        <f t="shared" ref="BR523" si="2475">+BP523/BC523</f>
        <v>6.4100315523834786E-2</v>
      </c>
      <c r="BS523" s="66"/>
      <c r="BT523" s="75"/>
      <c r="BU523" s="170"/>
      <c r="BV523" s="1"/>
      <c r="BW523" s="61">
        <f t="shared" si="1175"/>
        <v>514</v>
      </c>
    </row>
    <row r="524" spans="2:75" x14ac:dyDescent="0.3">
      <c r="B524" s="158">
        <f t="shared" si="2350"/>
        <v>44424</v>
      </c>
      <c r="C524" s="61"/>
      <c r="D524" s="17"/>
      <c r="E524" s="16"/>
      <c r="F524" s="16"/>
      <c r="G524" s="16"/>
      <c r="H524" s="16"/>
      <c r="I524" s="16"/>
      <c r="J524" s="436"/>
      <c r="K524" s="16"/>
      <c r="L524" s="16"/>
      <c r="M524" s="16"/>
      <c r="N524" s="16"/>
      <c r="O524" s="16"/>
      <c r="P524" s="41"/>
      <c r="Q524" s="17"/>
      <c r="R524" s="16"/>
      <c r="S524" s="60"/>
      <c r="T524" s="16"/>
      <c r="U524" s="41"/>
      <c r="V524" s="10"/>
      <c r="W524" s="34"/>
      <c r="X524" s="33"/>
      <c r="Y524" s="33"/>
      <c r="Z524" s="33"/>
      <c r="AA524" s="33"/>
      <c r="AB524" s="33"/>
      <c r="AC524" s="46"/>
      <c r="AD524" s="33"/>
      <c r="AE524" s="33"/>
      <c r="AF524" s="50"/>
      <c r="AG524" s="33"/>
      <c r="AH524" s="33"/>
      <c r="AI524" s="213"/>
      <c r="AJ524" s="50"/>
      <c r="AK524" s="111"/>
      <c r="AL524" s="23"/>
      <c r="AM524" s="24"/>
      <c r="AN524" s="24"/>
      <c r="AO524" s="24"/>
      <c r="AP524" s="24"/>
      <c r="AQ524" s="24"/>
      <c r="AR524" s="461"/>
      <c r="AS524" s="25"/>
      <c r="AT524" s="25"/>
      <c r="AU524" s="24"/>
      <c r="AV524" s="298"/>
      <c r="AW524" s="298"/>
      <c r="AX524" s="24"/>
      <c r="AY524" s="308"/>
      <c r="AZ524" s="111"/>
      <c r="BA524" s="65"/>
      <c r="BB524" s="66"/>
      <c r="BC524" s="66"/>
      <c r="BD524" s="66"/>
      <c r="BE524" s="66"/>
      <c r="BF524" s="66"/>
      <c r="BG524" s="144"/>
      <c r="BH524" s="66"/>
      <c r="BI524" s="170"/>
      <c r="BJ524" s="66"/>
      <c r="BK524" s="66"/>
      <c r="BL524" s="66"/>
      <c r="BM524" s="144"/>
      <c r="BN524" s="65"/>
      <c r="BO524" s="66"/>
      <c r="BP524" s="66"/>
      <c r="BQ524" s="66"/>
      <c r="BR524" s="435"/>
      <c r="BS524" s="66"/>
      <c r="BT524" s="75"/>
      <c r="BU524" s="170"/>
      <c r="BV524" s="1"/>
      <c r="BW524" s="61"/>
    </row>
    <row r="525" spans="2:75" x14ac:dyDescent="0.3">
      <c r="B525" s="158">
        <f t="shared" si="2350"/>
        <v>44425</v>
      </c>
      <c r="C525" s="61"/>
      <c r="D525" s="17"/>
      <c r="E525" s="16"/>
      <c r="F525" s="16"/>
      <c r="G525" s="16"/>
      <c r="H525" s="16"/>
      <c r="I525" s="16"/>
      <c r="J525" s="436"/>
      <c r="K525" s="16"/>
      <c r="L525" s="16"/>
      <c r="M525" s="16"/>
      <c r="N525" s="16"/>
      <c r="O525" s="16"/>
      <c r="P525" s="41"/>
      <c r="Q525" s="17"/>
      <c r="R525" s="16"/>
      <c r="S525" s="60"/>
      <c r="T525" s="16"/>
      <c r="U525" s="41"/>
      <c r="V525" s="10"/>
      <c r="W525" s="34"/>
      <c r="X525" s="33"/>
      <c r="Y525" s="33"/>
      <c r="Z525" s="33"/>
      <c r="AA525" s="33"/>
      <c r="AB525" s="33"/>
      <c r="AC525" s="46"/>
      <c r="AD525" s="33"/>
      <c r="AE525" s="33"/>
      <c r="AF525" s="50"/>
      <c r="AG525" s="33"/>
      <c r="AH525" s="33"/>
      <c r="AI525" s="213"/>
      <c r="AJ525" s="50"/>
      <c r="AK525" s="111"/>
      <c r="AL525" s="23"/>
      <c r="AM525" s="24"/>
      <c r="AN525" s="24"/>
      <c r="AO525" s="24"/>
      <c r="AP525" s="24"/>
      <c r="AQ525" s="24"/>
      <c r="AR525" s="461"/>
      <c r="AS525" s="25"/>
      <c r="AT525" s="25"/>
      <c r="AU525" s="24"/>
      <c r="AV525" s="298"/>
      <c r="AW525" s="298"/>
      <c r="AX525" s="24"/>
      <c r="AY525" s="308"/>
      <c r="AZ525" s="111"/>
      <c r="BA525" s="65"/>
      <c r="BB525" s="66"/>
      <c r="BC525" s="66"/>
      <c r="BD525" s="66"/>
      <c r="BE525" s="66"/>
      <c r="BF525" s="66"/>
      <c r="BG525" s="144"/>
      <c r="BH525" s="66"/>
      <c r="BI525" s="170"/>
      <c r="BJ525" s="66"/>
      <c r="BK525" s="66"/>
      <c r="BL525" s="66"/>
      <c r="BM525" s="144"/>
      <c r="BN525" s="65"/>
      <c r="BO525" s="66"/>
      <c r="BP525" s="66"/>
      <c r="BQ525" s="66"/>
      <c r="BR525" s="435"/>
      <c r="BS525" s="66"/>
      <c r="BT525" s="75"/>
      <c r="BU525" s="170"/>
      <c r="BV525" s="1"/>
      <c r="BW525" s="61"/>
    </row>
    <row r="526" spans="2:75" x14ac:dyDescent="0.3">
      <c r="B526" s="158">
        <f t="shared" si="2350"/>
        <v>44426</v>
      </c>
      <c r="C526" s="61"/>
      <c r="D526" s="17"/>
      <c r="E526" s="16"/>
      <c r="F526" s="16"/>
      <c r="G526" s="16"/>
      <c r="H526" s="16"/>
      <c r="I526" s="16"/>
      <c r="J526" s="436"/>
      <c r="K526" s="16"/>
      <c r="L526" s="16"/>
      <c r="M526" s="16"/>
      <c r="N526" s="16"/>
      <c r="O526" s="16"/>
      <c r="P526" s="41"/>
      <c r="Q526" s="17"/>
      <c r="R526" s="16"/>
      <c r="S526" s="60"/>
      <c r="T526" s="16"/>
      <c r="U526" s="41"/>
      <c r="V526" s="10"/>
      <c r="W526" s="34"/>
      <c r="X526" s="33"/>
      <c r="Y526" s="33"/>
      <c r="Z526" s="33"/>
      <c r="AA526" s="33"/>
      <c r="AB526" s="33"/>
      <c r="AC526" s="46"/>
      <c r="AD526" s="33"/>
      <c r="AE526" s="33"/>
      <c r="AF526" s="50"/>
      <c r="AG526" s="33"/>
      <c r="AH526" s="33"/>
      <c r="AI526" s="213"/>
      <c r="AJ526" s="50"/>
      <c r="AK526" s="111"/>
      <c r="AL526" s="23"/>
      <c r="AM526" s="24"/>
      <c r="AN526" s="24"/>
      <c r="AO526" s="24"/>
      <c r="AP526" s="24"/>
      <c r="AQ526" s="24"/>
      <c r="AR526" s="461"/>
      <c r="AS526" s="25"/>
      <c r="AT526" s="25"/>
      <c r="AU526" s="24"/>
      <c r="AV526" s="298"/>
      <c r="AW526" s="298"/>
      <c r="AX526" s="24"/>
      <c r="AY526" s="308"/>
      <c r="AZ526" s="111"/>
      <c r="BA526" s="65"/>
      <c r="BB526" s="66"/>
      <c r="BC526" s="66"/>
      <c r="BD526" s="66"/>
      <c r="BE526" s="66"/>
      <c r="BF526" s="66"/>
      <c r="BG526" s="144"/>
      <c r="BH526" s="66"/>
      <c r="BI526" s="170"/>
      <c r="BJ526" s="66"/>
      <c r="BK526" s="66"/>
      <c r="BL526" s="66"/>
      <c r="BM526" s="144"/>
      <c r="BN526" s="65"/>
      <c r="BO526" s="66"/>
      <c r="BP526" s="66"/>
      <c r="BQ526" s="66"/>
      <c r="BR526" s="435"/>
      <c r="BS526" s="66"/>
      <c r="BT526" s="75"/>
      <c r="BU526" s="170"/>
      <c r="BV526" s="1"/>
      <c r="BW526" s="61"/>
    </row>
    <row r="527" spans="2:75" x14ac:dyDescent="0.3">
      <c r="B527" s="158">
        <f t="shared" si="2350"/>
        <v>44427</v>
      </c>
      <c r="C527" s="61"/>
      <c r="D527" s="17"/>
      <c r="E527" s="16"/>
      <c r="F527" s="16"/>
      <c r="G527" s="16"/>
      <c r="H527" s="16"/>
      <c r="I527" s="16"/>
      <c r="J527" s="436"/>
      <c r="K527" s="16"/>
      <c r="L527" s="16"/>
      <c r="M527" s="16"/>
      <c r="N527" s="16"/>
      <c r="O527" s="16"/>
      <c r="P527" s="41"/>
      <c r="Q527" s="410"/>
      <c r="R527" s="16"/>
      <c r="S527" s="60"/>
      <c r="T527" s="16"/>
      <c r="U527" s="41"/>
      <c r="V527" s="10"/>
      <c r="W527" s="34"/>
      <c r="X527" s="33"/>
      <c r="Y527" s="33"/>
      <c r="Z527" s="33"/>
      <c r="AA527" s="33"/>
      <c r="AB527" s="33"/>
      <c r="AC527" s="46"/>
      <c r="AD527" s="33"/>
      <c r="AE527" s="33"/>
      <c r="AF527" s="50"/>
      <c r="AG527" s="33"/>
      <c r="AH527" s="33"/>
      <c r="AI527" s="213"/>
      <c r="AJ527" s="50"/>
      <c r="AK527" s="10"/>
      <c r="AL527" s="23"/>
      <c r="AM527" s="24"/>
      <c r="AN527" s="24"/>
      <c r="AO527" s="24"/>
      <c r="AP527" s="24"/>
      <c r="AQ527" s="24"/>
      <c r="AR527" s="461"/>
      <c r="AS527" s="25"/>
      <c r="AT527" s="25"/>
      <c r="AU527" s="24"/>
      <c r="AV527" s="298"/>
      <c r="AW527" s="298"/>
      <c r="AX527" s="24"/>
      <c r="AY527" s="308"/>
      <c r="AZ527" s="10"/>
      <c r="BA527" s="65"/>
      <c r="BB527" s="66"/>
      <c r="BC527" s="66"/>
      <c r="BD527" s="66"/>
      <c r="BE527" s="66"/>
      <c r="BF527" s="66"/>
      <c r="BG527" s="144"/>
      <c r="BH527" s="66"/>
      <c r="BI527" s="170"/>
      <c r="BJ527" s="66"/>
      <c r="BK527" s="66"/>
      <c r="BL527" s="66"/>
      <c r="BM527" s="144"/>
      <c r="BN527" s="65"/>
      <c r="BO527" s="66"/>
      <c r="BP527" s="66"/>
      <c r="BQ527" s="66"/>
      <c r="BR527" s="435"/>
      <c r="BS527" s="66"/>
      <c r="BT527" s="75"/>
      <c r="BU527" s="170"/>
      <c r="BV527" s="1"/>
      <c r="BW527" s="61"/>
    </row>
    <row r="528" spans="2:75" x14ac:dyDescent="0.3">
      <c r="B528" s="158">
        <f t="shared" si="2350"/>
        <v>44428</v>
      </c>
      <c r="C528" s="61"/>
      <c r="D528" s="17"/>
      <c r="E528" s="16"/>
      <c r="F528" s="16"/>
      <c r="G528" s="16"/>
      <c r="H528" s="16"/>
      <c r="I528" s="16"/>
      <c r="J528" s="436"/>
      <c r="K528" s="16"/>
      <c r="L528" s="16"/>
      <c r="M528" s="16"/>
      <c r="N528" s="16"/>
      <c r="O528" s="16"/>
      <c r="P528" s="41"/>
      <c r="Q528" s="410"/>
      <c r="R528" s="16"/>
      <c r="S528" s="60"/>
      <c r="T528" s="16"/>
      <c r="U528" s="41"/>
      <c r="V528" s="10"/>
      <c r="W528" s="34"/>
      <c r="X528" s="33"/>
      <c r="Y528" s="33"/>
      <c r="Z528" s="33"/>
      <c r="AA528" s="33"/>
      <c r="AB528" s="33"/>
      <c r="AC528" s="46"/>
      <c r="AD528" s="33"/>
      <c r="AE528" s="33"/>
      <c r="AF528" s="50"/>
      <c r="AG528" s="33"/>
      <c r="AH528" s="33"/>
      <c r="AI528" s="213"/>
      <c r="AJ528" s="50"/>
      <c r="AK528" s="10"/>
      <c r="AL528" s="23"/>
      <c r="AM528" s="24"/>
      <c r="AN528" s="24"/>
      <c r="AO528" s="24"/>
      <c r="AP528" s="24"/>
      <c r="AQ528" s="24"/>
      <c r="AR528" s="461"/>
      <c r="AS528" s="25"/>
      <c r="AT528" s="25"/>
      <c r="AU528" s="24"/>
      <c r="AV528" s="298"/>
      <c r="AW528" s="298"/>
      <c r="AX528" s="24"/>
      <c r="AY528" s="308"/>
      <c r="AZ528" s="10"/>
      <c r="BA528" s="65"/>
      <c r="BB528" s="66"/>
      <c r="BC528" s="66"/>
      <c r="BD528" s="66"/>
      <c r="BE528" s="66"/>
      <c r="BF528" s="66"/>
      <c r="BG528" s="144"/>
      <c r="BH528" s="66"/>
      <c r="BI528" s="170"/>
      <c r="BJ528" s="66"/>
      <c r="BK528" s="66"/>
      <c r="BL528" s="66"/>
      <c r="BM528" s="144"/>
      <c r="BN528" s="65"/>
      <c r="BO528" s="66"/>
      <c r="BP528" s="66"/>
      <c r="BQ528" s="66"/>
      <c r="BR528" s="435"/>
      <c r="BS528" s="66"/>
      <c r="BT528" s="75"/>
      <c r="BU528" s="170"/>
      <c r="BV528" s="1"/>
      <c r="BW528" s="61"/>
    </row>
    <row r="529" spans="2:85" x14ac:dyDescent="0.3">
      <c r="B529" s="158">
        <f t="shared" si="2350"/>
        <v>44429</v>
      </c>
      <c r="D529" s="559"/>
      <c r="E529" s="19"/>
      <c r="F529" s="19"/>
      <c r="G529" s="19"/>
      <c r="H529" s="19"/>
      <c r="I529" s="19"/>
      <c r="J529" s="39"/>
      <c r="K529" s="19"/>
      <c r="L529" s="19"/>
      <c r="M529" s="19"/>
      <c r="N529" s="19"/>
      <c r="O529" s="19"/>
      <c r="P529" s="43"/>
      <c r="Q529" s="18"/>
      <c r="R529" s="19"/>
      <c r="S529" s="19"/>
      <c r="T529" s="19"/>
      <c r="U529" s="43"/>
      <c r="V529" s="1"/>
      <c r="W529" s="35"/>
      <c r="X529" s="36"/>
      <c r="Y529" s="36"/>
      <c r="Z529" s="36"/>
      <c r="AA529" s="36"/>
      <c r="AB529" s="36"/>
      <c r="AC529" s="47"/>
      <c r="AD529" s="36"/>
      <c r="AE529" s="36"/>
      <c r="AF529" s="51"/>
      <c r="AG529" s="36"/>
      <c r="AH529" s="36"/>
      <c r="AI529" s="36"/>
      <c r="AJ529" s="51"/>
      <c r="AK529" s="1"/>
      <c r="AL529" s="26"/>
      <c r="AM529" s="27"/>
      <c r="AN529" s="27"/>
      <c r="AO529" s="27"/>
      <c r="AP529" s="27"/>
      <c r="AQ529" s="27"/>
      <c r="AR529" s="27"/>
      <c r="AS529" s="27"/>
      <c r="AT529" s="27"/>
      <c r="AU529" s="27"/>
      <c r="AV529" s="300"/>
      <c r="AW529" s="300"/>
      <c r="AX529" s="27"/>
      <c r="AY529" s="307"/>
      <c r="AZ529" s="1"/>
      <c r="BA529" s="67"/>
      <c r="BB529" s="68"/>
      <c r="BC529" s="68"/>
      <c r="BD529" s="68"/>
      <c r="BE529" s="68"/>
      <c r="BF529" s="68"/>
      <c r="BG529" s="68"/>
      <c r="BH529" s="68"/>
      <c r="BI529" s="171"/>
      <c r="BJ529" s="68"/>
      <c r="BK529" s="68"/>
      <c r="BL529" s="68"/>
      <c r="BM529" s="68"/>
      <c r="BN529" s="67"/>
      <c r="BO529" s="68"/>
      <c r="BP529" s="68"/>
      <c r="BQ529" s="68"/>
      <c r="BR529" s="70"/>
      <c r="BS529" s="68"/>
      <c r="BT529" s="68"/>
      <c r="BU529" s="171"/>
      <c r="BV529" s="1"/>
      <c r="BW529" s="61">
        <f>+BW461+1</f>
        <v>453</v>
      </c>
    </row>
    <row r="530" spans="2:85" x14ac:dyDescent="0.3">
      <c r="B530" s="56"/>
      <c r="D530" s="1"/>
      <c r="E530" s="1"/>
      <c r="F530" s="1"/>
      <c r="G530" s="1"/>
      <c r="H530" s="59"/>
      <c r="I530" s="1"/>
      <c r="J530" s="5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59"/>
      <c r="X530" s="1"/>
      <c r="Y530" s="1"/>
      <c r="Z530" s="1"/>
      <c r="AA530" s="1"/>
      <c r="AB530" s="1"/>
      <c r="AC530" s="59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59"/>
      <c r="BD530" s="1"/>
      <c r="BE530" s="59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</row>
    <row r="531" spans="2:85" x14ac:dyDescent="0.3">
      <c r="B531" s="166" t="s">
        <v>74</v>
      </c>
      <c r="D531" s="56">
        <f>+D523</f>
        <v>30883</v>
      </c>
      <c r="E531" s="56">
        <f>+E238</f>
        <v>0</v>
      </c>
      <c r="F531" s="56">
        <f>+F238</f>
        <v>0</v>
      </c>
      <c r="G531" s="56">
        <f>+G238</f>
        <v>0</v>
      </c>
      <c r="H531" s="56">
        <f t="shared" ref="H531:BS531" si="2476">+H523</f>
        <v>36510439</v>
      </c>
      <c r="I531" s="56">
        <f t="shared" si="2476"/>
        <v>0</v>
      </c>
      <c r="J531" s="56">
        <f t="shared" si="2476"/>
        <v>8.4658376872788694E-4</v>
      </c>
      <c r="K531" s="56">
        <f t="shared" si="2476"/>
        <v>0</v>
      </c>
      <c r="L531" s="56">
        <f t="shared" si="2476"/>
        <v>0</v>
      </c>
      <c r="M531" s="56">
        <f t="shared" si="2476"/>
        <v>0</v>
      </c>
      <c r="N531" s="56">
        <f t="shared" si="2476"/>
        <v>749116</v>
      </c>
      <c r="O531" s="56">
        <f t="shared" si="2476"/>
        <v>71031.982490272378</v>
      </c>
      <c r="P531" s="56">
        <f t="shared" si="2476"/>
        <v>0</v>
      </c>
      <c r="Q531" s="56">
        <f t="shared" si="2476"/>
        <v>749116</v>
      </c>
      <c r="R531" s="56">
        <f t="shared" si="2476"/>
        <v>0</v>
      </c>
      <c r="S531" s="56">
        <f t="shared" si="2476"/>
        <v>0.21138362572910283</v>
      </c>
      <c r="T531" s="56">
        <f t="shared" si="2476"/>
        <v>0</v>
      </c>
      <c r="U531" s="56">
        <f t="shared" si="2476"/>
        <v>0</v>
      </c>
      <c r="V531" s="56">
        <f t="shared" si="2476"/>
        <v>415</v>
      </c>
      <c r="W531" s="56">
        <f t="shared" si="2476"/>
        <v>122</v>
      </c>
      <c r="X531" s="56">
        <f t="shared" si="2476"/>
        <v>4256</v>
      </c>
      <c r="Y531" s="56">
        <f t="shared" si="2476"/>
        <v>0</v>
      </c>
      <c r="Z531" s="56">
        <f t="shared" si="2476"/>
        <v>3080</v>
      </c>
      <c r="AA531" s="56">
        <f t="shared" si="2476"/>
        <v>619481</v>
      </c>
      <c r="AB531" s="56">
        <f t="shared" si="2476"/>
        <v>0</v>
      </c>
      <c r="AC531" s="56">
        <f t="shared" si="2476"/>
        <v>1.6967229564125483E-2</v>
      </c>
      <c r="AD531" s="56">
        <f t="shared" si="2476"/>
        <v>0</v>
      </c>
      <c r="AE531" s="56">
        <f t="shared" si="2476"/>
        <v>1205.215953307393</v>
      </c>
      <c r="AF531" s="56">
        <f t="shared" si="2476"/>
        <v>0</v>
      </c>
      <c r="AG531" s="56">
        <f t="shared" si="2476"/>
        <v>3406</v>
      </c>
      <c r="AH531" s="56">
        <f t="shared" si="2476"/>
        <v>1118118003.060914</v>
      </c>
      <c r="AI531" s="56">
        <f t="shared" si="2476"/>
        <v>8.3678014635698378E-2</v>
      </c>
      <c r="AJ531" s="56">
        <f t="shared" si="2476"/>
        <v>0</v>
      </c>
      <c r="AK531" s="56">
        <f t="shared" si="2476"/>
        <v>0</v>
      </c>
      <c r="AL531" s="56">
        <f t="shared" si="2476"/>
        <v>8967</v>
      </c>
      <c r="AM531" s="56">
        <f t="shared" si="2476"/>
        <v>0</v>
      </c>
      <c r="AN531" s="56">
        <f t="shared" si="2476"/>
        <v>0</v>
      </c>
      <c r="AO531" s="56">
        <f t="shared" si="2476"/>
        <v>178263</v>
      </c>
      <c r="AP531" s="56">
        <f t="shared" si="2476"/>
        <v>30153576</v>
      </c>
      <c r="AQ531" s="56">
        <f t="shared" si="2476"/>
        <v>20336656</v>
      </c>
      <c r="AR531" s="56">
        <f t="shared" si="2476"/>
        <v>2.9746612404227903E-4</v>
      </c>
      <c r="AS531" s="56">
        <f t="shared" si="2476"/>
        <v>0</v>
      </c>
      <c r="AT531" s="56">
        <f t="shared" si="2476"/>
        <v>0</v>
      </c>
      <c r="AU531" s="56">
        <f t="shared" si="2476"/>
        <v>0</v>
      </c>
      <c r="AV531" s="56">
        <f t="shared" si="2476"/>
        <v>0.82588916556166303</v>
      </c>
      <c r="AW531" s="56">
        <f t="shared" si="2476"/>
        <v>0</v>
      </c>
      <c r="AX531" s="56">
        <f t="shared" si="2476"/>
        <v>58664.544747081709</v>
      </c>
      <c r="AY531" s="56">
        <f t="shared" si="2476"/>
        <v>0</v>
      </c>
      <c r="AZ531" s="56">
        <f t="shared" si="2476"/>
        <v>0</v>
      </c>
      <c r="BA531" s="56">
        <f t="shared" si="2476"/>
        <v>690474</v>
      </c>
      <c r="BB531" s="56">
        <f t="shared" si="2476"/>
        <v>0</v>
      </c>
      <c r="BC531" s="56">
        <f t="shared" si="2476"/>
        <v>555433475</v>
      </c>
      <c r="BD531" s="56">
        <f t="shared" si="2476"/>
        <v>0</v>
      </c>
      <c r="BE531" s="56">
        <f t="shared" si="2476"/>
        <v>30883</v>
      </c>
      <c r="BF531" s="56">
        <f t="shared" si="2476"/>
        <v>0</v>
      </c>
      <c r="BG531" s="56">
        <f t="shared" si="2476"/>
        <v>4.4727245341605909E-2</v>
      </c>
      <c r="BH531" s="56">
        <f t="shared" si="2476"/>
        <v>0</v>
      </c>
      <c r="BI531" s="56">
        <f t="shared" si="2476"/>
        <v>0</v>
      </c>
      <c r="BJ531" s="56">
        <f t="shared" si="2476"/>
        <v>0</v>
      </c>
      <c r="BK531" s="56">
        <f t="shared" si="2476"/>
        <v>11052013</v>
      </c>
      <c r="BL531" s="56">
        <f t="shared" si="2476"/>
        <v>0</v>
      </c>
      <c r="BM531" s="56">
        <f t="shared" si="2476"/>
        <v>6.7780955378897945E-2</v>
      </c>
      <c r="BN531" s="56">
        <f t="shared" si="2476"/>
        <v>1080609.8735408559</v>
      </c>
      <c r="BO531" s="56">
        <f t="shared" si="2476"/>
        <v>0</v>
      </c>
      <c r="BP531" s="56">
        <f t="shared" si="2476"/>
        <v>35603461</v>
      </c>
      <c r="BQ531" s="56">
        <f t="shared" si="2476"/>
        <v>0</v>
      </c>
      <c r="BR531" s="56">
        <f t="shared" si="2476"/>
        <v>6.4100315523834786E-2</v>
      </c>
      <c r="BS531" s="56">
        <f t="shared" si="2476"/>
        <v>0</v>
      </c>
      <c r="BT531" s="56">
        <f t="shared" ref="BT531" si="2477">+BT523</f>
        <v>0</v>
      </c>
      <c r="BU531" s="56">
        <f>+BU509</f>
        <v>0</v>
      </c>
      <c r="BV531" s="56">
        <f>+BV505</f>
        <v>0</v>
      </c>
      <c r="BW531" s="56"/>
      <c r="BX531" s="56"/>
      <c r="BY531" s="56"/>
      <c r="BZ531" s="56"/>
      <c r="CA531" s="56"/>
      <c r="CB531" s="56"/>
      <c r="CC531" s="56"/>
      <c r="CD531" s="56"/>
      <c r="CE531" s="61"/>
      <c r="CF531" s="61"/>
      <c r="CG531" s="145"/>
    </row>
    <row r="532" spans="2:85" x14ac:dyDescent="0.3">
      <c r="B532" t="s">
        <v>105</v>
      </c>
      <c r="D532" s="56">
        <f>+D522-D531</f>
        <v>40252</v>
      </c>
      <c r="E532" s="56">
        <f>+E237-E531</f>
        <v>0</v>
      </c>
      <c r="F532" s="56">
        <f>+F237-F531</f>
        <v>0</v>
      </c>
      <c r="G532" s="56">
        <f>+G237-G531</f>
        <v>0</v>
      </c>
      <c r="H532" s="56">
        <f t="shared" ref="H532:BS532" si="2478">+H522-H531</f>
        <v>-30883</v>
      </c>
      <c r="I532" s="56">
        <f t="shared" si="2478"/>
        <v>0</v>
      </c>
      <c r="J532" s="56">
        <f t="shared" si="2478"/>
        <v>1.107222467472249E-3</v>
      </c>
      <c r="K532" s="56">
        <f t="shared" si="2478"/>
        <v>0</v>
      </c>
      <c r="L532" s="56">
        <f t="shared" si="2478"/>
        <v>0</v>
      </c>
      <c r="M532" s="56">
        <f t="shared" si="2478"/>
        <v>0</v>
      </c>
      <c r="N532" s="56">
        <f t="shared" si="2478"/>
        <v>-6493</v>
      </c>
      <c r="O532" s="56">
        <f t="shared" si="2478"/>
        <v>78.263123762706527</v>
      </c>
      <c r="P532" s="56">
        <f t="shared" si="2478"/>
        <v>0</v>
      </c>
      <c r="Q532" s="56">
        <f t="shared" si="2478"/>
        <v>-6493</v>
      </c>
      <c r="R532" s="56">
        <f t="shared" si="2478"/>
        <v>0</v>
      </c>
      <c r="S532" s="56">
        <f t="shared" si="2478"/>
        <v>-5.3863052792632038E-3</v>
      </c>
      <c r="T532" s="56">
        <f t="shared" si="2478"/>
        <v>0</v>
      </c>
      <c r="U532" s="56">
        <f t="shared" si="2478"/>
        <v>0</v>
      </c>
      <c r="V532" s="56">
        <f t="shared" si="2478"/>
        <v>-1</v>
      </c>
      <c r="W532" s="56">
        <f t="shared" si="2478"/>
        <v>136</v>
      </c>
      <c r="X532" s="56">
        <f t="shared" si="2478"/>
        <v>0</v>
      </c>
      <c r="Y532" s="56">
        <f t="shared" si="2478"/>
        <v>0</v>
      </c>
      <c r="Z532" s="56">
        <f t="shared" si="2478"/>
        <v>204</v>
      </c>
      <c r="AA532" s="56">
        <f t="shared" si="2478"/>
        <v>-122</v>
      </c>
      <c r="AB532" s="56">
        <f t="shared" si="2478"/>
        <v>0</v>
      </c>
      <c r="AC532" s="56">
        <f t="shared" si="2478"/>
        <v>1.1019842199529867E-5</v>
      </c>
      <c r="AD532" s="56">
        <f t="shared" si="2478"/>
        <v>0</v>
      </c>
      <c r="AE532" s="56">
        <f t="shared" si="2478"/>
        <v>2.1115320727240032</v>
      </c>
      <c r="AF532" s="56">
        <f t="shared" si="2478"/>
        <v>0</v>
      </c>
      <c r="AG532" s="56">
        <f t="shared" si="2478"/>
        <v>7</v>
      </c>
      <c r="AH532" s="56">
        <f t="shared" si="2478"/>
        <v>40529</v>
      </c>
      <c r="AI532" s="56">
        <f t="shared" si="2478"/>
        <v>2.5158892446822734E-2</v>
      </c>
      <c r="AJ532" s="56">
        <f t="shared" si="2478"/>
        <v>0</v>
      </c>
      <c r="AK532" s="56">
        <f t="shared" si="2478"/>
        <v>0</v>
      </c>
      <c r="AL532" s="56">
        <f t="shared" si="2478"/>
        <v>5550</v>
      </c>
      <c r="AM532" s="56">
        <f t="shared" si="2478"/>
        <v>0</v>
      </c>
      <c r="AN532" s="56">
        <f t="shared" si="2478"/>
        <v>0</v>
      </c>
      <c r="AO532" s="56">
        <f t="shared" si="2478"/>
        <v>0</v>
      </c>
      <c r="AP532" s="56">
        <f t="shared" si="2478"/>
        <v>-8967</v>
      </c>
      <c r="AQ532" s="56">
        <f t="shared" si="2478"/>
        <v>0</v>
      </c>
      <c r="AR532" s="56">
        <f t="shared" si="2478"/>
        <v>1.8434455214151753E-4</v>
      </c>
      <c r="AS532" s="56">
        <f t="shared" si="2478"/>
        <v>0</v>
      </c>
      <c r="AT532" s="56">
        <f t="shared" si="2478"/>
        <v>0</v>
      </c>
      <c r="AU532" s="56">
        <f t="shared" si="2478"/>
        <v>0</v>
      </c>
      <c r="AV532" s="56">
        <f t="shared" si="2478"/>
        <v>4.533754495269493E-4</v>
      </c>
      <c r="AW532" s="56">
        <f t="shared" si="2478"/>
        <v>0</v>
      </c>
      <c r="AX532" s="56">
        <f t="shared" si="2478"/>
        <v>96.876305549871176</v>
      </c>
      <c r="AY532" s="56">
        <f t="shared" si="2478"/>
        <v>0</v>
      </c>
      <c r="AZ532" s="56">
        <f t="shared" si="2478"/>
        <v>0</v>
      </c>
      <c r="BA532" s="56">
        <f t="shared" si="2478"/>
        <v>85204</v>
      </c>
      <c r="BB532" s="56">
        <f t="shared" si="2478"/>
        <v>0</v>
      </c>
      <c r="BC532" s="56">
        <f t="shared" si="2478"/>
        <v>-690474</v>
      </c>
      <c r="BD532" s="56">
        <f t="shared" si="2478"/>
        <v>0</v>
      </c>
      <c r="BE532" s="56">
        <f t="shared" si="2478"/>
        <v>40252</v>
      </c>
      <c r="BF532" s="56">
        <f t="shared" si="2478"/>
        <v>0</v>
      </c>
      <c r="BG532" s="56">
        <f t="shared" si="2478"/>
        <v>4.6979622714468899E-2</v>
      </c>
      <c r="BH532" s="56">
        <f t="shared" si="2478"/>
        <v>0</v>
      </c>
      <c r="BI532" s="56">
        <f t="shared" si="2478"/>
        <v>0</v>
      </c>
      <c r="BJ532" s="56">
        <f t="shared" si="2478"/>
        <v>0</v>
      </c>
      <c r="BK532" s="56">
        <f t="shared" si="2478"/>
        <v>-37593</v>
      </c>
      <c r="BL532" s="56">
        <f t="shared" si="2478"/>
        <v>0</v>
      </c>
      <c r="BM532" s="56">
        <f t="shared" si="2478"/>
        <v>-3.5815871779368291E-4</v>
      </c>
      <c r="BN532" s="56">
        <f t="shared" si="2478"/>
        <v>760.49877883214504</v>
      </c>
      <c r="BO532" s="56">
        <f t="shared" si="2478"/>
        <v>0</v>
      </c>
      <c r="BP532" s="56">
        <f t="shared" si="2478"/>
        <v>-30883</v>
      </c>
      <c r="BQ532" s="56">
        <f t="shared" si="2478"/>
        <v>0</v>
      </c>
      <c r="BR532" s="56">
        <f t="shared" si="2478"/>
        <v>2.4113150119769999E-5</v>
      </c>
      <c r="BS532" s="56">
        <f t="shared" si="2478"/>
        <v>0</v>
      </c>
      <c r="BT532" s="56">
        <f t="shared" ref="BT532" si="2479">+BT522-BT531</f>
        <v>0</v>
      </c>
      <c r="BU532" s="56">
        <f>+BU508-BU531</f>
        <v>0</v>
      </c>
      <c r="BV532" s="56">
        <f>+BV504-BV531</f>
        <v>0</v>
      </c>
      <c r="BW532" s="56"/>
      <c r="BX532" s="56"/>
      <c r="BY532" s="56"/>
      <c r="BZ532" s="56"/>
      <c r="CA532" s="56"/>
      <c r="CB532" s="56"/>
      <c r="CC532" s="56"/>
      <c r="CD532" s="56"/>
      <c r="CE532" s="61"/>
      <c r="CF532" s="61"/>
      <c r="CG532" s="105"/>
    </row>
    <row r="533" spans="2:85" x14ac:dyDescent="0.3">
      <c r="B533" s="56"/>
      <c r="D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10"/>
      <c r="BT533" s="10"/>
      <c r="BU533" s="10"/>
      <c r="BV533" s="10"/>
      <c r="BW533" s="10"/>
      <c r="BX533" s="10"/>
      <c r="BY533" s="10"/>
      <c r="BZ533" s="10"/>
      <c r="CA533" s="10"/>
      <c r="CB533" s="61"/>
      <c r="CC533" s="105"/>
      <c r="CD533" s="105"/>
      <c r="CE533" s="105"/>
      <c r="CF533" s="105"/>
    </row>
    <row r="534" spans="2:85" x14ac:dyDescent="0.3">
      <c r="B534" s="56"/>
      <c r="D534" s="56"/>
      <c r="H534" s="1"/>
      <c r="N534" s="145"/>
      <c r="O534" s="1"/>
      <c r="W534" s="56"/>
      <c r="AA534" s="59"/>
      <c r="BA534" s="59"/>
      <c r="BC534" s="56"/>
      <c r="BE534" s="59"/>
      <c r="BJ534" s="61"/>
      <c r="BK534" s="10">
        <f>+BK187</f>
        <v>4928581</v>
      </c>
      <c r="BL534" s="61"/>
      <c r="BM534" s="61"/>
      <c r="BN534" s="61"/>
      <c r="BO534" s="61"/>
      <c r="BP534" s="61"/>
      <c r="BQ534" s="61"/>
      <c r="BR534" s="61"/>
      <c r="BS534" s="10"/>
      <c r="BT534" s="10"/>
    </row>
    <row r="535" spans="2:85" x14ac:dyDescent="0.3">
      <c r="B535" s="56"/>
      <c r="D535" s="56"/>
      <c r="H535" s="56"/>
      <c r="N535" s="231"/>
      <c r="W535" s="56"/>
      <c r="AA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56"/>
      <c r="AU535" t="s">
        <v>161</v>
      </c>
      <c r="BC535" s="1"/>
      <c r="BE535" s="59"/>
      <c r="BH535" s="96"/>
      <c r="BI535" s="96"/>
      <c r="BJ535" s="96"/>
      <c r="BK535" s="493"/>
      <c r="BL535" s="96"/>
      <c r="BM535" s="96"/>
      <c r="BN535" s="96"/>
      <c r="BO535" s="96"/>
      <c r="BP535" s="96"/>
      <c r="BQ535" s="96"/>
      <c r="BR535" s="78"/>
      <c r="BS535" s="1"/>
      <c r="BT535" s="1"/>
    </row>
    <row r="536" spans="2:85" x14ac:dyDescent="0.3">
      <c r="D536" s="1"/>
      <c r="E536" s="111" t="s">
        <v>26</v>
      </c>
      <c r="F536" s="112"/>
      <c r="H536" s="112" t="s">
        <v>59</v>
      </c>
      <c r="I536" s="104"/>
      <c r="J536" s="104"/>
      <c r="K536" s="61"/>
      <c r="L536" s="10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BC536" s="56"/>
      <c r="BE536" s="59"/>
      <c r="BH536" s="96"/>
      <c r="BI536" s="96"/>
      <c r="BJ536" s="96"/>
      <c r="BK536" s="493">
        <f>+BK194-BK531</f>
        <v>-5288904</v>
      </c>
      <c r="BL536" s="96"/>
      <c r="BM536" s="96"/>
      <c r="BN536" s="96"/>
      <c r="BO536" s="96"/>
      <c r="BP536" s="96"/>
      <c r="BQ536" s="96"/>
      <c r="BR536" s="78"/>
      <c r="BS536" s="1"/>
      <c r="BT536" s="1"/>
    </row>
    <row r="537" spans="2:85" x14ac:dyDescent="0.3">
      <c r="B537" s="56"/>
      <c r="D537" s="1"/>
      <c r="E537" s="111" t="s">
        <v>38</v>
      </c>
      <c r="F537" s="112"/>
      <c r="H537" s="112" t="s">
        <v>40</v>
      </c>
      <c r="I537" s="10"/>
      <c r="J537" s="10"/>
      <c r="K537" s="61"/>
      <c r="L537" s="10"/>
      <c r="AD537" s="1"/>
      <c r="AE537" s="1"/>
      <c r="AF537" s="1"/>
      <c r="AG537" s="1"/>
      <c r="AH537" s="1"/>
      <c r="AI537" s="1">
        <f>SUM(W213:W243)</f>
        <v>25465</v>
      </c>
      <c r="AJ537" s="1"/>
      <c r="AK537" s="1"/>
      <c r="AL537" s="1" t="s">
        <v>17</v>
      </c>
      <c r="AM537" s="1"/>
      <c r="AN537" s="1"/>
      <c r="AO537" s="1"/>
      <c r="BC537" s="56"/>
      <c r="BE537" s="59"/>
      <c r="BH537" s="97"/>
      <c r="BI537" s="97"/>
      <c r="BJ537" s="97"/>
      <c r="BK537" s="493">
        <f>+BK187-BK531</f>
        <v>-6123432</v>
      </c>
      <c r="BL537" s="97"/>
      <c r="BM537" s="97"/>
      <c r="BN537" s="97"/>
      <c r="BO537" s="97"/>
      <c r="BP537" s="97"/>
      <c r="BQ537" s="97"/>
      <c r="BR537" s="78"/>
      <c r="BS537" s="1"/>
      <c r="BT537" s="1"/>
    </row>
    <row r="538" spans="2:85" x14ac:dyDescent="0.3">
      <c r="B538" s="231"/>
      <c r="D538" s="1"/>
      <c r="E538" s="111" t="s">
        <v>45</v>
      </c>
      <c r="F538" s="112"/>
      <c r="H538" s="112" t="s">
        <v>55</v>
      </c>
      <c r="I538" s="10"/>
      <c r="J538" s="10"/>
      <c r="K538" s="61"/>
      <c r="L538" s="10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BC538" s="56"/>
      <c r="BE538" s="59"/>
      <c r="BH538" s="97"/>
      <c r="BI538" s="97"/>
      <c r="BJ538" s="97"/>
      <c r="BK538" s="493"/>
      <c r="BL538" s="97"/>
      <c r="BM538" s="97"/>
      <c r="BN538" s="97"/>
      <c r="BO538" s="97"/>
      <c r="BP538" s="97"/>
      <c r="BQ538" s="97"/>
      <c r="BR538" s="78"/>
      <c r="BS538" s="1"/>
      <c r="BT538" s="1"/>
    </row>
    <row r="539" spans="2:85" x14ac:dyDescent="0.3">
      <c r="D539" s="1"/>
      <c r="E539" s="111" t="s">
        <v>60</v>
      </c>
      <c r="F539" s="61"/>
      <c r="H539" s="81" t="s">
        <v>135</v>
      </c>
      <c r="I539" s="61"/>
      <c r="J539" s="61"/>
      <c r="K539" s="61"/>
      <c r="L539" s="6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BH539" s="97"/>
      <c r="BI539" s="97"/>
      <c r="BJ539" s="97"/>
      <c r="BK539" s="496"/>
      <c r="BL539" s="97"/>
      <c r="BM539" s="97"/>
      <c r="BN539" s="97"/>
      <c r="BO539" s="97"/>
      <c r="BP539" s="97"/>
      <c r="BQ539" s="97"/>
      <c r="BR539" s="78"/>
      <c r="BS539" s="1"/>
      <c r="BT539" s="1"/>
    </row>
    <row r="540" spans="2:85" x14ac:dyDescent="0.3">
      <c r="E540" s="111" t="s">
        <v>136</v>
      </c>
      <c r="H540" s="81" t="s">
        <v>137</v>
      </c>
      <c r="AD540" s="1"/>
      <c r="AE540" s="1"/>
      <c r="AF540" s="1"/>
      <c r="AG540" s="1"/>
      <c r="AH540" s="1"/>
      <c r="AI540" s="1"/>
      <c r="BD540" s="78"/>
      <c r="BE540" s="78"/>
      <c r="BF540" s="78"/>
      <c r="BG540" s="78"/>
      <c r="BH540" s="78"/>
      <c r="BI540" s="78"/>
      <c r="BJ540" s="78"/>
      <c r="BK540" s="494"/>
      <c r="BL540" s="78"/>
      <c r="BM540" s="78"/>
      <c r="BN540" s="78"/>
      <c r="BO540" s="78"/>
      <c r="BP540" s="78"/>
      <c r="BQ540" s="78"/>
      <c r="BR540" s="78"/>
      <c r="BS540" s="1"/>
      <c r="BT540" s="1"/>
    </row>
    <row r="541" spans="2:85" x14ac:dyDescent="0.3">
      <c r="B541" s="56"/>
      <c r="AD541" s="1"/>
      <c r="AE541" s="1"/>
      <c r="AF541" s="1"/>
      <c r="AG541" s="1"/>
      <c r="AH541" s="1"/>
      <c r="AI541" s="1"/>
      <c r="BA541" s="545">
        <v>157602857</v>
      </c>
      <c r="BK541" s="495"/>
    </row>
    <row r="542" spans="2:85" ht="15" thickBot="1" x14ac:dyDescent="0.35">
      <c r="D542" s="56">
        <f>SUM(D363:D369)</f>
        <v>378583</v>
      </c>
      <c r="AD542" s="1"/>
      <c r="AE542" s="507"/>
      <c r="AF542" s="547"/>
      <c r="AG542" s="507"/>
      <c r="AH542" s="507"/>
      <c r="AI542" s="507"/>
      <c r="AJ542" s="500"/>
      <c r="AK542" s="500"/>
      <c r="AL542" s="500"/>
      <c r="AM542" s="500"/>
      <c r="AN542" s="500"/>
      <c r="AO542" s="500"/>
      <c r="AP542" s="500"/>
      <c r="AQ542" s="500"/>
      <c r="AR542" s="500"/>
      <c r="AS542" s="500"/>
      <c r="AT542" s="500"/>
      <c r="AU542" s="500"/>
      <c r="AV542" s="500"/>
      <c r="AW542" s="500"/>
      <c r="AX542" s="500"/>
      <c r="AZ542" s="106"/>
      <c r="BA542" s="106"/>
      <c r="BB542" s="106"/>
      <c r="BC542" s="106"/>
      <c r="BK542" s="1"/>
    </row>
    <row r="543" spans="2:85" x14ac:dyDescent="0.3">
      <c r="D543" s="531">
        <f>SUM(D356:D362)</f>
        <v>417052</v>
      </c>
      <c r="J543" s="486"/>
      <c r="V543" s="106"/>
      <c r="AA543" s="56"/>
      <c r="AD543" s="1"/>
      <c r="AE543" s="507"/>
      <c r="AF543" s="546"/>
      <c r="AG543" s="1"/>
      <c r="AH543" s="1"/>
      <c r="AI543" s="485"/>
      <c r="AJ543" s="464"/>
      <c r="AK543" s="465"/>
      <c r="AL543" s="465"/>
      <c r="AM543" s="465"/>
      <c r="AN543" s="465"/>
      <c r="AO543" s="465"/>
      <c r="AP543" s="465"/>
      <c r="AQ543" s="465"/>
      <c r="AR543" s="465"/>
      <c r="AS543" s="465"/>
      <c r="AT543" s="465"/>
      <c r="AU543" s="465"/>
      <c r="AV543" s="465"/>
      <c r="AW543" s="466"/>
      <c r="AX543" s="500"/>
      <c r="AZ543" s="106"/>
      <c r="BA543" s="77"/>
      <c r="BB543" s="106"/>
      <c r="BC543" s="106"/>
      <c r="BK543" s="56"/>
    </row>
    <row r="544" spans="2:85" x14ac:dyDescent="0.3">
      <c r="D544" s="1"/>
      <c r="J544" s="214"/>
      <c r="AD544" s="1"/>
      <c r="AE544" s="507"/>
      <c r="AF544" s="546"/>
      <c r="AG544" s="1"/>
      <c r="AH544" s="1"/>
      <c r="AI544" s="485"/>
      <c r="AJ544" s="467"/>
      <c r="AK544" s="580" t="s">
        <v>142</v>
      </c>
      <c r="AL544" s="580"/>
      <c r="AM544" s="580"/>
      <c r="AN544" s="580"/>
      <c r="AO544" s="580"/>
      <c r="AP544" s="580"/>
      <c r="AQ544" s="580"/>
      <c r="AR544" s="580"/>
      <c r="AS544" s="580"/>
      <c r="AT544" s="580"/>
      <c r="AU544" s="580"/>
      <c r="AV544" s="580"/>
      <c r="AW544" s="468"/>
      <c r="AX544" s="500"/>
      <c r="AZ544" s="106"/>
      <c r="BA544" s="106"/>
      <c r="BB544" s="106"/>
      <c r="BC544" s="106"/>
    </row>
    <row r="545" spans="2:87" ht="15.6" x14ac:dyDescent="0.3">
      <c r="D545" s="1">
        <v>331000000</v>
      </c>
      <c r="H545" s="235">
        <f>+H269/D545</f>
        <v>4.5635842900302113E-2</v>
      </c>
      <c r="J545" s="57"/>
      <c r="AD545" s="1"/>
      <c r="AE545" s="507"/>
      <c r="AF545" s="546"/>
      <c r="AG545" s="1"/>
      <c r="AH545" s="1"/>
      <c r="AI545" s="485"/>
      <c r="AJ545" s="467"/>
      <c r="AK545" s="580" t="s">
        <v>141</v>
      </c>
      <c r="AL545" s="580"/>
      <c r="AM545" s="580"/>
      <c r="AN545" s="580"/>
      <c r="AO545" s="473"/>
      <c r="AP545" s="474" t="s">
        <v>20</v>
      </c>
      <c r="AQ545" s="473"/>
      <c r="AR545" s="474" t="s">
        <v>4</v>
      </c>
      <c r="AS545" s="475"/>
      <c r="AT545" s="475"/>
      <c r="AU545" s="475"/>
      <c r="AV545" s="479" t="s">
        <v>10</v>
      </c>
      <c r="AW545" s="468"/>
      <c r="AX545" s="500"/>
      <c r="AZ545" s="106"/>
      <c r="BA545" s="106"/>
      <c r="BB545" s="106"/>
      <c r="BC545" s="106"/>
    </row>
    <row r="546" spans="2:87" ht="15.6" x14ac:dyDescent="0.3">
      <c r="H546" s="235">
        <f>+AA269/H269</f>
        <v>1.9000541790705667E-2</v>
      </c>
      <c r="AD546" s="1"/>
      <c r="AE546" s="507"/>
      <c r="AF546" s="546"/>
      <c r="AG546" s="1"/>
      <c r="AH546" s="1"/>
      <c r="AI546" s="485"/>
      <c r="AJ546" s="467"/>
      <c r="AK546" s="590" t="s">
        <v>138</v>
      </c>
      <c r="AL546" s="590"/>
      <c r="AM546" s="590"/>
      <c r="AN546" s="590"/>
      <c r="AO546" s="473"/>
      <c r="AP546" s="476">
        <f>+AH50</f>
        <v>898992</v>
      </c>
      <c r="AQ546" s="477"/>
      <c r="AR546" s="476">
        <f>+AH51</f>
        <v>55687</v>
      </c>
      <c r="AS546" s="478"/>
      <c r="AT546" s="478"/>
      <c r="AU546" s="478"/>
      <c r="AV546" s="491">
        <f t="shared" ref="AV546:AV552" si="2480">+AR546/AP546</f>
        <v>6.194382152455194E-2</v>
      </c>
      <c r="AW546" s="468"/>
      <c r="AX546" s="500"/>
      <c r="AZ546" s="106"/>
      <c r="BA546" s="77"/>
      <c r="BB546" s="106"/>
      <c r="BC546" s="106"/>
    </row>
    <row r="547" spans="2:87" ht="15.6" x14ac:dyDescent="0.3">
      <c r="D547" s="235"/>
      <c r="AD547" s="1"/>
      <c r="AE547" s="507"/>
      <c r="AF547" s="546"/>
      <c r="AG547" s="1"/>
      <c r="AH547" s="1"/>
      <c r="AI547" s="485"/>
      <c r="AJ547" s="467"/>
      <c r="AK547" s="628" t="s">
        <v>139</v>
      </c>
      <c r="AL547" s="629"/>
      <c r="AM547" s="629"/>
      <c r="AN547" s="629"/>
      <c r="AO547" s="64"/>
      <c r="AP547" s="469">
        <f>+AG83</f>
        <v>742147</v>
      </c>
      <c r="AQ547" s="64"/>
      <c r="AR547" s="469">
        <f>+AG84</f>
        <v>42339</v>
      </c>
      <c r="AS547" s="64"/>
      <c r="AT547" s="64"/>
      <c r="AU547" s="64"/>
      <c r="AV547" s="489">
        <f t="shared" si="2480"/>
        <v>5.7049344671608188E-2</v>
      </c>
      <c r="AW547" s="468"/>
      <c r="AX547" s="500"/>
      <c r="AZ547" s="106"/>
      <c r="BA547" s="77"/>
      <c r="BB547" s="106"/>
      <c r="BC547" s="106"/>
    </row>
    <row r="548" spans="2:87" ht="15.6" x14ac:dyDescent="0.3">
      <c r="AD548" s="1"/>
      <c r="AE548" s="507"/>
      <c r="AF548" s="546"/>
      <c r="AG548" s="1"/>
      <c r="AH548" s="1"/>
      <c r="AI548" s="485"/>
      <c r="AJ548" s="467"/>
      <c r="AK548" s="629" t="s">
        <v>140</v>
      </c>
      <c r="AL548" s="629"/>
      <c r="AM548" s="629"/>
      <c r="AN548" s="629"/>
      <c r="AO548" s="64"/>
      <c r="AP548" s="469">
        <f>+AH113</f>
        <v>869627</v>
      </c>
      <c r="AQ548" s="64"/>
      <c r="AR548" s="469">
        <f>+AH114</f>
        <v>21252</v>
      </c>
      <c r="AS548" s="64"/>
      <c r="AT548" s="64"/>
      <c r="AU548" s="64"/>
      <c r="AV548" s="489">
        <f t="shared" si="2480"/>
        <v>2.4438063675575852E-2</v>
      </c>
      <c r="AW548" s="468"/>
      <c r="AX548" s="500"/>
      <c r="AZ548" s="106"/>
      <c r="BA548" s="106"/>
      <c r="BB548" s="106"/>
      <c r="BC548" s="106"/>
    </row>
    <row r="549" spans="2:87" ht="15.6" x14ac:dyDescent="0.3">
      <c r="D549" s="428"/>
      <c r="AD549" s="1"/>
      <c r="AE549" s="507"/>
      <c r="AF549" s="546"/>
      <c r="AG549" s="1"/>
      <c r="AH549" s="1"/>
      <c r="AI549" s="485"/>
      <c r="AJ549" s="467"/>
      <c r="AK549" s="629" t="s">
        <v>143</v>
      </c>
      <c r="AL549" s="629"/>
      <c r="AM549" s="629"/>
      <c r="AN549" s="629"/>
      <c r="AO549" s="64"/>
      <c r="AP549" s="469">
        <f>+AG555</f>
        <v>1970617</v>
      </c>
      <c r="AQ549" s="64"/>
      <c r="AR549" s="469">
        <f>+AG557</f>
        <v>25901</v>
      </c>
      <c r="AS549" s="64"/>
      <c r="AT549" s="64"/>
      <c r="AU549" s="64"/>
      <c r="AV549" s="489">
        <f t="shared" si="2480"/>
        <v>1.3143599187462607E-2</v>
      </c>
      <c r="AW549" s="468"/>
      <c r="AX549" s="500"/>
    </row>
    <row r="550" spans="2:87" ht="15.6" x14ac:dyDescent="0.3">
      <c r="D550" s="428"/>
      <c r="AD550" s="1"/>
      <c r="AE550" s="507"/>
      <c r="AF550" s="546"/>
      <c r="AG550" s="1"/>
      <c r="AH550" s="1"/>
      <c r="AI550" s="485"/>
      <c r="AJ550" s="467"/>
      <c r="AK550" s="543"/>
      <c r="AL550" s="543" t="s">
        <v>151</v>
      </c>
      <c r="AM550" s="543"/>
      <c r="AN550" s="543"/>
      <c r="AO550" s="64"/>
      <c r="AP550" s="469">
        <f>SUM(D144:D174)</f>
        <v>1493931</v>
      </c>
      <c r="AQ550" s="64"/>
      <c r="AR550" s="469">
        <f>SUM(W144:W174)</f>
        <v>30354</v>
      </c>
      <c r="AS550" s="64"/>
      <c r="AT550" s="64"/>
      <c r="AU550" s="64"/>
      <c r="AV550" s="489">
        <f t="shared" si="2480"/>
        <v>2.0318207467413155E-2</v>
      </c>
      <c r="AW550" s="468"/>
      <c r="AX550" s="500"/>
    </row>
    <row r="551" spans="2:87" ht="15.6" x14ac:dyDescent="0.3">
      <c r="D551" s="428"/>
      <c r="AD551" s="1"/>
      <c r="AE551" s="507"/>
      <c r="AF551" s="546"/>
      <c r="AG551" s="1"/>
      <c r="AH551" s="1"/>
      <c r="AI551" s="485"/>
      <c r="AJ551" s="467"/>
      <c r="AK551" s="543"/>
      <c r="AL551" s="543" t="s">
        <v>152</v>
      </c>
      <c r="AM551" s="543"/>
      <c r="AN551" s="543"/>
      <c r="AO551" s="64"/>
      <c r="AP551" s="469">
        <f>SUM(D175:D204)</f>
        <v>1202331</v>
      </c>
      <c r="AQ551" s="64"/>
      <c r="AR551" s="544">
        <f>SUM(W175:W204)</f>
        <v>24042</v>
      </c>
      <c r="AS551" s="64"/>
      <c r="AT551" s="64"/>
      <c r="AU551" s="64"/>
      <c r="AV551" s="489">
        <f t="shared" si="2480"/>
        <v>1.9996157464125936E-2</v>
      </c>
      <c r="AW551" s="468"/>
      <c r="AX551" s="500"/>
    </row>
    <row r="552" spans="2:87" ht="15.6" x14ac:dyDescent="0.3">
      <c r="D552" s="428"/>
      <c r="AD552" s="1"/>
      <c r="AE552" s="507"/>
      <c r="AF552" s="546"/>
      <c r="AG552" s="1"/>
      <c r="AH552" s="1"/>
      <c r="AI552" s="485"/>
      <c r="AJ552" s="467"/>
      <c r="AK552" s="543"/>
      <c r="AL552" s="543" t="s">
        <v>153</v>
      </c>
      <c r="AM552" s="543"/>
      <c r="AN552" s="543"/>
      <c r="AO552" s="64"/>
      <c r="AP552" s="469">
        <f>SUM(D205:D230)</f>
        <v>1470960</v>
      </c>
      <c r="AQ552" s="64"/>
      <c r="AR552" s="469">
        <f>SUM(W205:W235)</f>
        <v>24156</v>
      </c>
      <c r="AS552" s="64"/>
      <c r="AT552" s="64"/>
      <c r="AU552" s="64"/>
      <c r="AV552" s="489">
        <f t="shared" si="2480"/>
        <v>1.6421928536465982E-2</v>
      </c>
      <c r="AW552" s="468"/>
      <c r="AX552" s="500"/>
      <c r="BA552" s="486">
        <f>+AV546-AV552</f>
        <v>4.5521892988085955E-2</v>
      </c>
    </row>
    <row r="553" spans="2:87" ht="15" thickBot="1" x14ac:dyDescent="0.35">
      <c r="B553" s="427"/>
      <c r="D553" s="235"/>
      <c r="AD553" s="1"/>
      <c r="AE553" s="507"/>
      <c r="AF553" s="546"/>
      <c r="AG553" s="1"/>
      <c r="AH553" s="1"/>
      <c r="AI553" s="485"/>
      <c r="AJ553" s="467"/>
      <c r="AK553" s="480"/>
      <c r="AL553" s="480"/>
      <c r="AM553" s="480"/>
      <c r="AN553" s="480"/>
      <c r="AO553" s="481"/>
      <c r="AP553" s="482"/>
      <c r="AQ553" s="481"/>
      <c r="AR553" s="482"/>
      <c r="AS553" s="481"/>
      <c r="AT553" s="481"/>
      <c r="AU553" s="481"/>
      <c r="AV553" s="483"/>
      <c r="AW553" s="468"/>
      <c r="AX553" s="500"/>
      <c r="BA553">
        <f>+BA552/AV546</f>
        <v>0.73488996751747038</v>
      </c>
    </row>
    <row r="554" spans="2:87" ht="15.6" x14ac:dyDescent="0.3">
      <c r="B554" s="427"/>
      <c r="D554" s="235"/>
      <c r="AD554" s="1"/>
      <c r="AE554" s="507"/>
      <c r="AF554" s="546"/>
      <c r="AG554" s="1"/>
      <c r="AH554" s="1"/>
      <c r="AI554" s="485"/>
      <c r="AJ554" s="467"/>
      <c r="AK554" s="590" t="s">
        <v>138</v>
      </c>
      <c r="AL554" s="590"/>
      <c r="AM554" s="590"/>
      <c r="AN554" s="590"/>
      <c r="AO554" s="64"/>
      <c r="AP554" s="469"/>
      <c r="AQ554" s="64"/>
      <c r="AR554" s="469">
        <f>+AR546</f>
        <v>55687</v>
      </c>
      <c r="AS554" s="64"/>
      <c r="AT554" s="64"/>
      <c r="AU554" s="64"/>
      <c r="AV554" s="144"/>
      <c r="AW554" s="468"/>
      <c r="AX554" s="500"/>
    </row>
    <row r="555" spans="2:87" ht="15.6" x14ac:dyDescent="0.3">
      <c r="B555" s="427"/>
      <c r="D555" s="235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10"/>
      <c r="AE555" s="507"/>
      <c r="AF555" s="546"/>
      <c r="AG555" s="33">
        <f>SUM(D113:D143)</f>
        <v>1970617</v>
      </c>
      <c r="AH555" s="1"/>
      <c r="AI555" s="485"/>
      <c r="AJ555" s="467"/>
      <c r="AK555" s="622" t="s">
        <v>153</v>
      </c>
      <c r="AL555" s="622"/>
      <c r="AM555" s="622"/>
      <c r="AN555" s="622"/>
      <c r="AO555" s="64"/>
      <c r="AP555" s="469"/>
      <c r="AQ555" s="64"/>
      <c r="AR555" s="469">
        <f>+AR552</f>
        <v>24156</v>
      </c>
      <c r="AS555" s="64"/>
      <c r="AT555" s="64"/>
      <c r="AU555" s="64"/>
      <c r="AV555" s="144"/>
      <c r="AW555" s="468"/>
      <c r="AX555" s="500"/>
    </row>
    <row r="556" spans="2:87" ht="15.6" x14ac:dyDescent="0.3">
      <c r="B556" s="427"/>
      <c r="D556" s="235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10"/>
      <c r="AE556" s="507"/>
      <c r="AF556" s="546"/>
      <c r="AG556" s="33">
        <f>SUM(W125:W138)</f>
        <v>12117</v>
      </c>
      <c r="AH556" s="1"/>
      <c r="AI556" s="485"/>
      <c r="AJ556" s="467"/>
      <c r="AK556" s="63"/>
      <c r="AL556" s="497" t="s">
        <v>3</v>
      </c>
      <c r="AM556" s="63"/>
      <c r="AN556" s="63"/>
      <c r="AO556" s="64"/>
      <c r="AP556" s="469"/>
      <c r="AQ556" s="64"/>
      <c r="AR556" s="469">
        <f>+AR554-AR555</f>
        <v>31531</v>
      </c>
      <c r="AS556" s="64"/>
      <c r="AT556" s="64"/>
      <c r="AU556" s="64"/>
      <c r="AV556" s="484">
        <f>+AR556/AR554</f>
        <v>0.5662183274372834</v>
      </c>
      <c r="AW556" s="468"/>
      <c r="AX556" s="500"/>
    </row>
    <row r="557" spans="2:87" ht="15" thickBot="1" x14ac:dyDescent="0.35">
      <c r="D557" s="427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10"/>
      <c r="AE557" s="507"/>
      <c r="AF557" s="548"/>
      <c r="AG557" s="33">
        <f>SUM(W113:W143)</f>
        <v>25901</v>
      </c>
      <c r="AH557" s="1"/>
      <c r="AI557" s="485"/>
      <c r="AJ557" s="470"/>
      <c r="AK557" s="471"/>
      <c r="AL557" s="471"/>
      <c r="AM557" s="471"/>
      <c r="AN557" s="471"/>
      <c r="AO557" s="471"/>
      <c r="AP557" s="471"/>
      <c r="AQ557" s="471"/>
      <c r="AR557" s="471"/>
      <c r="AS557" s="471"/>
      <c r="AT557" s="471"/>
      <c r="AU557" s="471"/>
      <c r="AV557" s="471"/>
      <c r="AW557" s="472"/>
      <c r="AX557" s="500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1"/>
      <c r="BT557" s="1"/>
      <c r="BU557" s="1"/>
      <c r="BV557" s="1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</row>
    <row r="558" spans="2:87" x14ac:dyDescent="0.3"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10"/>
      <c r="AE558" s="507"/>
      <c r="AF558" s="507"/>
      <c r="AG558" s="507"/>
      <c r="AH558" s="507"/>
      <c r="AI558" s="507"/>
      <c r="AJ558" s="500"/>
      <c r="AK558" s="500"/>
      <c r="AL558" s="500"/>
      <c r="AM558" s="500"/>
      <c r="AN558" s="500"/>
      <c r="AO558" s="500"/>
      <c r="AP558" s="500"/>
      <c r="AQ558" s="500"/>
      <c r="AR558" s="500"/>
      <c r="AS558" s="500"/>
      <c r="AT558" s="500"/>
      <c r="AU558" s="500"/>
      <c r="AV558" s="500"/>
      <c r="AW558" s="500"/>
      <c r="AX558" s="500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77"/>
      <c r="BX558" s="77"/>
      <c r="BY558" s="77"/>
      <c r="BZ558" s="77"/>
      <c r="CA558" s="109"/>
      <c r="CB558" s="1"/>
      <c r="CC558" s="1"/>
      <c r="CD558" s="1"/>
      <c r="CE558" s="1"/>
      <c r="CF558" s="1"/>
      <c r="CG558" s="1"/>
      <c r="CH558" s="1"/>
      <c r="CI558" s="1"/>
    </row>
    <row r="559" spans="2:87" x14ac:dyDescent="0.3">
      <c r="D559">
        <v>10</v>
      </c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10"/>
      <c r="AE559" s="10"/>
      <c r="AF559" s="10"/>
      <c r="AG559" s="10"/>
      <c r="AH559" s="10"/>
      <c r="AI559" s="10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77"/>
      <c r="BX559" s="77"/>
      <c r="BY559" s="77"/>
      <c r="BZ559" s="77"/>
      <c r="CA559" s="77"/>
      <c r="CB559" s="1"/>
      <c r="CC559" s="1"/>
      <c r="CD559" s="1"/>
      <c r="CE559" s="1"/>
      <c r="CF559" s="1"/>
      <c r="CG559" s="1"/>
      <c r="CH559" s="1"/>
      <c r="CI559" s="1"/>
    </row>
    <row r="560" spans="2:87" x14ac:dyDescent="0.3">
      <c r="D560" s="1">
        <v>77000000</v>
      </c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10"/>
      <c r="AE560" s="10"/>
      <c r="AF560" s="10"/>
      <c r="AG560" s="10"/>
      <c r="AH560" s="10"/>
      <c r="AI560" s="10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77"/>
      <c r="BX560" s="77"/>
      <c r="BY560" s="77"/>
      <c r="BZ560" s="77"/>
      <c r="CA560" s="77"/>
      <c r="CB560" s="1"/>
      <c r="CC560" s="1"/>
      <c r="CD560" s="1"/>
      <c r="CE560" s="1"/>
      <c r="CF560" s="1"/>
      <c r="CG560" s="1"/>
    </row>
    <row r="561" spans="2:85" x14ac:dyDescent="0.3">
      <c r="D561" s="57">
        <f>+D560/D563</f>
        <v>0.23262839879154079</v>
      </c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10"/>
      <c r="AE561" s="10"/>
      <c r="AF561" s="10"/>
      <c r="AG561" s="501"/>
      <c r="AH561" s="10"/>
      <c r="AI561" s="10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77"/>
      <c r="BX561" s="77"/>
      <c r="BY561" s="77"/>
      <c r="BZ561" s="77"/>
      <c r="CA561" s="77"/>
      <c r="CB561" s="1"/>
      <c r="CC561" s="1"/>
      <c r="CD561" s="1"/>
      <c r="CE561" s="1"/>
      <c r="CF561" s="1"/>
      <c r="CG561" s="1"/>
    </row>
    <row r="562" spans="2:85" x14ac:dyDescent="0.3"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10"/>
      <c r="AE562" s="10"/>
      <c r="AF562" s="507"/>
      <c r="AG562" s="526"/>
      <c r="AH562" s="507"/>
      <c r="AI562" s="507"/>
      <c r="AJ562" s="500"/>
      <c r="AK562" s="500"/>
      <c r="AL562" s="500"/>
      <c r="AM562" s="500"/>
      <c r="AN562" s="500"/>
      <c r="AO562" s="500"/>
      <c r="AP562" s="500"/>
      <c r="AQ562" s="500"/>
      <c r="AR562" s="500"/>
      <c r="AS562" s="500"/>
      <c r="AT562" s="500"/>
      <c r="AU562" s="500"/>
      <c r="AV562" s="500"/>
      <c r="AW562" s="500"/>
      <c r="AX562" s="500"/>
      <c r="AY562" s="500"/>
      <c r="AZ562" s="500"/>
      <c r="BA562" s="500"/>
      <c r="BB562" s="500"/>
      <c r="BC562" s="500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77"/>
      <c r="BX562" s="77"/>
      <c r="BY562" s="110"/>
      <c r="BZ562" s="77"/>
      <c r="CA562" s="77"/>
    </row>
    <row r="563" spans="2:85" x14ac:dyDescent="0.3">
      <c r="D563" s="1">
        <v>331000000</v>
      </c>
      <c r="H563">
        <v>0.13400000000000001</v>
      </c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10"/>
      <c r="AE563" s="10"/>
      <c r="AF563" s="507"/>
      <c r="AG563" s="527"/>
      <c r="AH563" s="507"/>
      <c r="AI563" s="507"/>
      <c r="AJ563" s="524"/>
      <c r="AK563" s="524"/>
      <c r="AL563" s="525"/>
      <c r="AM563" s="525"/>
      <c r="AN563" s="525"/>
      <c r="AO563" s="525"/>
      <c r="AP563" s="525"/>
      <c r="AQ563" s="525"/>
      <c r="AR563" s="525"/>
      <c r="AS563" s="525"/>
      <c r="AT563" s="525"/>
      <c r="AU563" s="525"/>
      <c r="AV563" s="525"/>
      <c r="AW563" s="525"/>
      <c r="AX563" s="525"/>
      <c r="AY563" s="525"/>
      <c r="AZ563" s="525"/>
      <c r="BA563" s="525"/>
      <c r="BB563" s="524"/>
      <c r="BC563" s="524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77"/>
      <c r="BX563" s="77"/>
      <c r="BY563" s="77"/>
      <c r="BZ563" s="77"/>
      <c r="CA563" s="77"/>
    </row>
    <row r="564" spans="2:85" x14ac:dyDescent="0.3">
      <c r="D564" s="1">
        <f>+D563*H563</f>
        <v>44354000</v>
      </c>
      <c r="H564" s="1">
        <f>+D564*0.001</f>
        <v>44354</v>
      </c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10"/>
      <c r="AE564" s="10"/>
      <c r="AF564" s="507"/>
      <c r="AG564" s="526"/>
      <c r="AH564" s="507"/>
      <c r="AI564" s="507"/>
      <c r="AJ564" s="524"/>
      <c r="AK564" s="524"/>
      <c r="AL564" s="138"/>
      <c r="AM564" s="138"/>
      <c r="AN564" s="138"/>
      <c r="AO564" s="138"/>
      <c r="AP564" s="138"/>
      <c r="AQ564" s="138"/>
      <c r="AR564" s="138"/>
      <c r="AS564" s="78"/>
      <c r="AT564" s="78"/>
      <c r="AU564" s="78"/>
      <c r="AV564" s="98"/>
      <c r="AW564" s="98"/>
      <c r="AX564" s="98"/>
      <c r="AY564" s="98"/>
      <c r="AZ564" s="524"/>
      <c r="BA564" s="524"/>
      <c r="BB564" s="530"/>
      <c r="BC564" s="524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77"/>
      <c r="BX564" s="77"/>
      <c r="BY564" s="77"/>
      <c r="BZ564" s="77"/>
      <c r="CA564" s="77"/>
    </row>
    <row r="565" spans="2:85" x14ac:dyDescent="0.3">
      <c r="D565" s="425">
        <v>7.1999999999999995E-2</v>
      </c>
      <c r="H565" s="1">
        <f>+AA204*H563</f>
        <v>28746.886000000002</v>
      </c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10"/>
      <c r="AE565" s="10"/>
      <c r="AF565" s="507"/>
      <c r="AG565" s="526">
        <v>44031</v>
      </c>
      <c r="AH565" s="507"/>
      <c r="AI565" s="507"/>
      <c r="AJ565" s="524"/>
      <c r="AK565" s="524"/>
      <c r="AL565" s="138"/>
      <c r="AM565" s="138"/>
      <c r="AN565" s="138"/>
      <c r="AO565" s="138"/>
      <c r="AP565" s="138"/>
      <c r="AQ565" s="138"/>
      <c r="AR565" s="138"/>
      <c r="AS565" s="138"/>
      <c r="AT565" s="98"/>
      <c r="AU565" s="78"/>
      <c r="AV565" s="98"/>
      <c r="AW565" s="98"/>
      <c r="AX565" s="98"/>
      <c r="AY565" s="98"/>
      <c r="AZ565" s="524"/>
      <c r="BA565" s="524"/>
      <c r="BB565" s="530"/>
      <c r="BC565" s="524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77"/>
      <c r="BX565" s="77"/>
      <c r="BY565" s="77"/>
      <c r="BZ565" s="77"/>
      <c r="CA565" s="77"/>
    </row>
    <row r="566" spans="2:85" x14ac:dyDescent="0.3"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10"/>
      <c r="AE566" s="10"/>
      <c r="AF566" s="507"/>
      <c r="AG566" s="526">
        <v>44038</v>
      </c>
      <c r="AH566" s="507"/>
      <c r="AI566" s="507"/>
      <c r="AJ566" s="524"/>
      <c r="AK566" s="524"/>
      <c r="AL566" s="78"/>
      <c r="AM566" s="78"/>
      <c r="AN566" s="139"/>
      <c r="AO566" s="139"/>
      <c r="AP566" s="139"/>
      <c r="AQ566" s="139"/>
      <c r="AR566" s="139"/>
      <c r="AS566" s="78"/>
      <c r="AT566" s="78"/>
      <c r="AU566" s="78"/>
      <c r="AV566" s="98"/>
      <c r="AW566" s="98"/>
      <c r="AX566" s="98"/>
      <c r="AY566" s="98"/>
      <c r="AZ566" s="524"/>
      <c r="BA566" s="524"/>
      <c r="BB566" s="530"/>
      <c r="BC566" s="524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77"/>
      <c r="BX566" s="77"/>
      <c r="BY566" s="77"/>
      <c r="BZ566" s="77"/>
      <c r="CA566" s="77"/>
    </row>
    <row r="567" spans="2:85" x14ac:dyDescent="0.3">
      <c r="D567" s="235">
        <v>4.2000000000000003E-2</v>
      </c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10"/>
      <c r="AE567" s="10"/>
      <c r="AF567" s="507"/>
      <c r="AG567" s="526">
        <v>44045</v>
      </c>
      <c r="AH567" s="507"/>
      <c r="AI567" s="507"/>
      <c r="AJ567" s="524"/>
      <c r="AK567" s="524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98"/>
      <c r="AW567" s="98"/>
      <c r="AX567" s="98"/>
      <c r="AY567" s="98"/>
      <c r="AZ567" s="524"/>
      <c r="BA567" s="524"/>
      <c r="BB567" s="530"/>
      <c r="BC567" s="524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2:85" x14ac:dyDescent="0.3">
      <c r="D568" s="531">
        <f>+D563*D565*D567</f>
        <v>1000944.0000000001</v>
      </c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10"/>
      <c r="AE568" s="10"/>
      <c r="AF568" s="507"/>
      <c r="AG568" s="526">
        <v>44052</v>
      </c>
      <c r="AH568" s="507"/>
      <c r="AI568" s="507"/>
      <c r="AJ568" s="524"/>
      <c r="AK568" s="524"/>
      <c r="AL568" s="78"/>
      <c r="AM568" s="78"/>
      <c r="AN568" s="139"/>
      <c r="AO568" s="139"/>
      <c r="AP568" s="139"/>
      <c r="AQ568" s="139"/>
      <c r="AR568" s="139"/>
      <c r="AS568" s="139"/>
      <c r="AT568" s="139"/>
      <c r="AU568" s="78"/>
      <c r="AV568" s="98"/>
      <c r="AW568" s="98"/>
      <c r="AX568" s="98"/>
      <c r="AY568" s="98"/>
      <c r="AZ568" s="524"/>
      <c r="BA568" s="524"/>
      <c r="BB568" s="530"/>
      <c r="BC568" s="524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2:85" x14ac:dyDescent="0.3"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10"/>
      <c r="AE569" s="10"/>
      <c r="AF569" s="507"/>
      <c r="AG569" s="526"/>
      <c r="AH569" s="507"/>
      <c r="AI569" s="507"/>
      <c r="AJ569" s="524"/>
      <c r="AK569" s="524"/>
      <c r="AL569" s="78"/>
      <c r="AM569" s="78"/>
      <c r="AN569" s="139"/>
      <c r="AO569" s="139"/>
      <c r="AP569" s="139"/>
      <c r="AQ569" s="139"/>
      <c r="AR569" s="139"/>
      <c r="AS569" s="139"/>
      <c r="AT569" s="139"/>
      <c r="AU569" s="78"/>
      <c r="AV569" s="98"/>
      <c r="AW569" s="98"/>
      <c r="AX569" s="98"/>
      <c r="AY569" s="98"/>
      <c r="AZ569" s="524"/>
      <c r="BA569" s="524"/>
      <c r="BB569" s="530"/>
      <c r="BC569" s="524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2:85" x14ac:dyDescent="0.3"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10"/>
      <c r="AE570" s="10"/>
      <c r="AF570" s="507"/>
      <c r="AG570" s="526"/>
      <c r="AH570" s="507"/>
      <c r="AI570" s="507"/>
      <c r="AJ570" s="524"/>
      <c r="AK570" s="524"/>
      <c r="AL570" s="78"/>
      <c r="AM570" s="78"/>
      <c r="AN570" s="139"/>
      <c r="AO570" s="139"/>
      <c r="AP570" s="139"/>
      <c r="AQ570" s="139"/>
      <c r="AR570" s="139"/>
      <c r="AS570" s="139"/>
      <c r="AT570" s="139"/>
      <c r="AU570" s="78"/>
      <c r="AV570" s="98"/>
      <c r="AW570" s="98"/>
      <c r="AX570" s="98"/>
      <c r="AY570" s="98"/>
      <c r="AZ570" s="524"/>
      <c r="BA570" s="524"/>
      <c r="BB570" s="530"/>
      <c r="BC570" s="524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2:85" x14ac:dyDescent="0.3"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10"/>
      <c r="AE571" s="10"/>
      <c r="AF571" s="507"/>
      <c r="AG571" s="528"/>
      <c r="AH571" s="507"/>
      <c r="AI571" s="507"/>
      <c r="AJ571" s="524"/>
      <c r="AK571" s="524"/>
      <c r="AL571" s="78"/>
      <c r="AM571" s="78"/>
      <c r="AN571" s="139"/>
      <c r="AO571" s="139"/>
      <c r="AP571" s="139"/>
      <c r="AQ571" s="139"/>
      <c r="AR571" s="139"/>
      <c r="AS571" s="139"/>
      <c r="AT571" s="139"/>
      <c r="AU571" s="78"/>
      <c r="AV571" s="98"/>
      <c r="AW571" s="98"/>
      <c r="AX571" s="98"/>
      <c r="AY571" s="98"/>
      <c r="AZ571" s="524"/>
      <c r="BA571" s="524"/>
      <c r="BB571" s="530"/>
      <c r="BC571" s="524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2:85" x14ac:dyDescent="0.3"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10"/>
      <c r="AE572" s="10"/>
      <c r="AF572" s="507"/>
      <c r="AG572" s="507"/>
      <c r="AH572" s="507"/>
      <c r="AI572" s="507"/>
      <c r="AJ572" s="524"/>
      <c r="AK572" s="524"/>
      <c r="AL572" s="78"/>
      <c r="AM572" s="78"/>
      <c r="AN572" s="139"/>
      <c r="AO572" s="139"/>
      <c r="AP572" s="139"/>
      <c r="AQ572" s="139"/>
      <c r="AR572" s="139"/>
      <c r="AS572" s="139"/>
      <c r="AT572" s="139"/>
      <c r="AU572" s="78"/>
      <c r="AV572" s="98"/>
      <c r="AW572" s="98"/>
      <c r="AX572" s="98"/>
      <c r="AY572" s="98"/>
      <c r="AZ572" s="524"/>
      <c r="BA572" s="524"/>
      <c r="BB572" s="530"/>
      <c r="BC572" s="524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2:85" x14ac:dyDescent="0.3"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10"/>
      <c r="AE573" s="10"/>
      <c r="AF573" s="507"/>
      <c r="AG573" s="507"/>
      <c r="AH573" s="507"/>
      <c r="AI573" s="507"/>
      <c r="AJ573" s="524"/>
      <c r="AK573" s="524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78"/>
      <c r="AW573" s="78"/>
      <c r="AX573" s="78"/>
      <c r="AY573" s="78"/>
      <c r="AZ573" s="524"/>
      <c r="BA573" s="530"/>
      <c r="BB573" s="530"/>
      <c r="BC573" s="524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2:85" x14ac:dyDescent="0.3">
      <c r="AD574" s="10"/>
      <c r="AE574" s="10"/>
      <c r="AF574" s="507"/>
      <c r="AG574" s="507"/>
      <c r="AH574" s="507"/>
      <c r="AI574" s="507"/>
      <c r="AJ574" s="524"/>
      <c r="AK574" s="524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78"/>
      <c r="AW574" s="78"/>
      <c r="AX574" s="78"/>
      <c r="AY574" s="78"/>
      <c r="AZ574" s="524"/>
      <c r="BA574" s="530"/>
      <c r="BB574" s="530"/>
      <c r="BC574" s="524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2:85" ht="15" thickBot="1" x14ac:dyDescent="0.35">
      <c r="B575" s="500"/>
      <c r="C575" s="500"/>
      <c r="D575" s="500"/>
      <c r="E575" s="500"/>
      <c r="F575" s="500"/>
      <c r="G575" s="500"/>
      <c r="H575" s="500"/>
      <c r="I575" s="500"/>
      <c r="J575" s="500"/>
      <c r="K575" s="500"/>
      <c r="L575" s="500"/>
      <c r="M575" s="500"/>
      <c r="N575" s="500"/>
      <c r="O575" s="500"/>
      <c r="P575" s="500"/>
      <c r="Q575" s="500"/>
      <c r="R575" s="500"/>
      <c r="S575" s="500"/>
      <c r="T575" s="500"/>
      <c r="U575" s="500"/>
      <c r="V575" s="500"/>
      <c r="AD575" s="10"/>
      <c r="AE575" s="10"/>
      <c r="AF575" s="507"/>
      <c r="AG575" s="507"/>
      <c r="AH575" s="507"/>
      <c r="AI575" s="507"/>
      <c r="AJ575" s="524"/>
      <c r="AK575" s="524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78"/>
      <c r="AW575" s="78"/>
      <c r="AX575" s="78"/>
      <c r="AY575" s="78"/>
      <c r="AZ575" s="524"/>
      <c r="BA575" s="530"/>
      <c r="BB575" s="530"/>
      <c r="BC575" s="524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2:85" x14ac:dyDescent="0.3">
      <c r="B576" s="500"/>
      <c r="C576" s="510"/>
      <c r="D576" s="357"/>
      <c r="E576" s="357"/>
      <c r="F576" s="357"/>
      <c r="G576" s="357"/>
      <c r="H576" s="357"/>
      <c r="I576" s="357"/>
      <c r="J576" s="357"/>
      <c r="K576" s="357"/>
      <c r="L576" s="357"/>
      <c r="M576" s="357"/>
      <c r="N576" s="357"/>
      <c r="O576" s="357"/>
      <c r="P576" s="511"/>
      <c r="V576" s="500"/>
      <c r="AD576" s="10"/>
      <c r="AE576" s="10"/>
      <c r="AF576" s="507"/>
      <c r="AG576" s="507"/>
      <c r="AH576" s="507"/>
      <c r="AI576" s="507"/>
      <c r="AJ576" s="524"/>
      <c r="AK576" s="524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78"/>
      <c r="AW576" s="78"/>
      <c r="AX576" s="78"/>
      <c r="AY576" s="78"/>
      <c r="AZ576" s="524"/>
      <c r="BA576" s="530"/>
      <c r="BB576" s="530"/>
      <c r="BC576" s="524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2:79" x14ac:dyDescent="0.3">
      <c r="B577" s="500"/>
      <c r="C577" s="512"/>
      <c r="D577" s="502" t="s">
        <v>149</v>
      </c>
      <c r="E577" s="387"/>
      <c r="F577" s="387"/>
      <c r="G577" s="387"/>
      <c r="H577" s="621" t="s">
        <v>20</v>
      </c>
      <c r="I577" s="621"/>
      <c r="J577" s="621"/>
      <c r="K577" s="387"/>
      <c r="L577" s="387"/>
      <c r="M577" s="387"/>
      <c r="N577" s="387"/>
      <c r="O577" s="387"/>
      <c r="P577" s="513"/>
      <c r="V577" s="500"/>
      <c r="AD577" s="10"/>
      <c r="AE577" s="10"/>
      <c r="AF577" s="507"/>
      <c r="AG577" s="507"/>
      <c r="AH577" s="507"/>
      <c r="AI577" s="507"/>
      <c r="AJ577" s="524"/>
      <c r="AK577" s="524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78"/>
      <c r="AW577" s="78"/>
      <c r="AX577" s="78"/>
      <c r="AY577" s="78"/>
      <c r="AZ577" s="524"/>
      <c r="BA577" s="530"/>
      <c r="BB577" s="530"/>
      <c r="BC577" s="524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2:79" x14ac:dyDescent="0.3">
      <c r="B578" s="500"/>
      <c r="C578" s="512"/>
      <c r="D578" s="514" t="s">
        <v>150</v>
      </c>
      <c r="E578" s="387"/>
      <c r="F578" s="387"/>
      <c r="G578" s="387"/>
      <c r="H578" s="515" t="s">
        <v>147</v>
      </c>
      <c r="I578" s="502"/>
      <c r="J578" s="516" t="s">
        <v>148</v>
      </c>
      <c r="K578" s="502"/>
      <c r="L578" s="502"/>
      <c r="M578" s="502"/>
      <c r="N578" s="502"/>
      <c r="O578" s="517" t="s">
        <v>3</v>
      </c>
      <c r="P578" s="513"/>
      <c r="V578" s="500"/>
      <c r="AD578" s="10"/>
      <c r="AE578" s="10"/>
      <c r="AF578" s="507"/>
      <c r="AG578" s="507"/>
      <c r="AH578" s="507"/>
      <c r="AI578" s="507"/>
      <c r="AJ578" s="524"/>
      <c r="AK578" s="524"/>
      <c r="AL578" s="529"/>
      <c r="AM578" s="529"/>
      <c r="AN578" s="529"/>
      <c r="AO578" s="529"/>
      <c r="AP578" s="529"/>
      <c r="AQ578" s="529"/>
      <c r="AR578" s="529"/>
      <c r="AS578" s="529"/>
      <c r="AT578" s="529"/>
      <c r="AU578" s="529"/>
      <c r="AV578" s="524"/>
      <c r="AW578" s="524"/>
      <c r="AX578" s="524"/>
      <c r="AY578" s="524"/>
      <c r="AZ578" s="524"/>
      <c r="BA578" s="530"/>
      <c r="BB578" s="530"/>
      <c r="BC578" s="524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2:79" x14ac:dyDescent="0.3">
      <c r="B579" s="500"/>
      <c r="C579" s="512"/>
      <c r="D579" s="503" t="s">
        <v>146</v>
      </c>
      <c r="E579" s="15"/>
      <c r="F579" s="15"/>
      <c r="G579" s="15"/>
      <c r="H579" s="518">
        <f>SUM(D133:D139)</f>
        <v>471981</v>
      </c>
      <c r="I579" s="15"/>
      <c r="J579" s="16">
        <f>+H579/7</f>
        <v>67425.857142857145</v>
      </c>
      <c r="K579" s="15"/>
      <c r="L579" s="15"/>
      <c r="M579" s="15"/>
      <c r="N579" s="15"/>
      <c r="O579" s="15"/>
      <c r="P579" s="513"/>
      <c r="V579" s="500"/>
      <c r="AD579" s="10"/>
      <c r="AE579" s="10"/>
      <c r="AF579" s="507"/>
      <c r="AG579" s="507"/>
      <c r="AH579" s="507"/>
      <c r="AI579" s="507"/>
      <c r="AJ579" s="524"/>
      <c r="AK579" s="524"/>
      <c r="AL579" s="529"/>
      <c r="AM579" s="529"/>
      <c r="AN579" s="529"/>
      <c r="AO579" s="529"/>
      <c r="AP579" s="529"/>
      <c r="AQ579" s="529"/>
      <c r="AR579" s="529"/>
      <c r="AS579" s="529"/>
      <c r="AT579" s="529"/>
      <c r="AU579" s="529"/>
      <c r="AV579" s="529"/>
      <c r="AW579" s="529"/>
      <c r="AX579" s="529"/>
      <c r="AY579" s="529"/>
      <c r="AZ579" s="524"/>
      <c r="BA579" s="524"/>
      <c r="BB579" s="530"/>
      <c r="BC579" s="524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2:79" x14ac:dyDescent="0.3">
      <c r="B580" s="500"/>
      <c r="C580" s="512"/>
      <c r="D580" s="503" t="s">
        <v>145</v>
      </c>
      <c r="E580" s="15"/>
      <c r="F580" s="15"/>
      <c r="G580" s="15"/>
      <c r="H580" s="16">
        <f>SUM(D140:D146)</f>
        <v>427527</v>
      </c>
      <c r="I580" s="15"/>
      <c r="J580" s="16">
        <f>+H580/7</f>
        <v>61075.285714285717</v>
      </c>
      <c r="K580" s="15"/>
      <c r="L580" s="15"/>
      <c r="M580" s="15"/>
      <c r="N580" s="15"/>
      <c r="O580" s="15"/>
      <c r="P580" s="513"/>
      <c r="V580" s="500"/>
      <c r="AJ580" s="98"/>
      <c r="AK580" s="98"/>
      <c r="AL580" s="98"/>
      <c r="AM580" s="98"/>
      <c r="AN580" s="98"/>
      <c r="AO580" s="98"/>
      <c r="AP580" s="98"/>
      <c r="AQ580" s="98"/>
      <c r="AR580" s="98"/>
      <c r="AS580" s="98"/>
      <c r="AT580" s="78"/>
      <c r="AU580" s="98"/>
      <c r="AV580" s="140"/>
      <c r="AW580" s="140"/>
      <c r="AX580" s="140"/>
      <c r="AY580" s="140"/>
      <c r="AZ580" s="98"/>
      <c r="BA580" s="98"/>
      <c r="BB580" s="98"/>
      <c r="BC580" s="98"/>
    </row>
    <row r="581" spans="2:79" x14ac:dyDescent="0.3">
      <c r="B581" s="506"/>
      <c r="C581" s="512"/>
      <c r="D581" s="503" t="s">
        <v>144</v>
      </c>
      <c r="E581" s="15"/>
      <c r="F581" s="15"/>
      <c r="G581" s="15"/>
      <c r="H581" s="16">
        <f>SUM(D147:D153)</f>
        <v>383516</v>
      </c>
      <c r="I581" s="15"/>
      <c r="J581" s="16">
        <f>+H581/7</f>
        <v>54788</v>
      </c>
      <c r="K581" s="15"/>
      <c r="L581" s="15"/>
      <c r="M581" s="15"/>
      <c r="N581" s="15"/>
      <c r="O581" s="518">
        <f>+H579-H581</f>
        <v>88465</v>
      </c>
      <c r="P581" s="513"/>
      <c r="V581" s="500"/>
      <c r="AA581">
        <f>+O581/7</f>
        <v>12637.857142857143</v>
      </c>
      <c r="AJ581" s="98"/>
      <c r="AK581" s="98"/>
      <c r="AL581" s="98"/>
      <c r="AM581" s="98"/>
      <c r="AN581" s="98"/>
      <c r="AO581" s="98"/>
      <c r="AP581" s="98"/>
      <c r="AQ581" s="98"/>
      <c r="AR581" s="98"/>
      <c r="AS581" s="98"/>
      <c r="AT581" s="98"/>
      <c r="AU581" s="98"/>
      <c r="AV581" s="78"/>
      <c r="AW581" s="78"/>
      <c r="AX581" s="78"/>
      <c r="AY581" s="78"/>
      <c r="AZ581" s="98"/>
      <c r="BA581" s="141"/>
      <c r="BB581" s="98"/>
      <c r="BC581" s="98"/>
    </row>
    <row r="582" spans="2:79" x14ac:dyDescent="0.3">
      <c r="B582" s="507"/>
      <c r="C582" s="512"/>
      <c r="D582" s="5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60">
        <f>+O581/H579</f>
        <v>0.18743339244588236</v>
      </c>
      <c r="P582" s="513"/>
      <c r="V582" s="500"/>
      <c r="X582" s="61"/>
      <c r="Y582" s="61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78">
        <v>480454</v>
      </c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</row>
    <row r="583" spans="2:79" ht="15" thickBot="1" x14ac:dyDescent="0.35">
      <c r="B583" s="507"/>
      <c r="C583" s="520"/>
      <c r="D583" s="521"/>
      <c r="E583" s="521"/>
      <c r="F583" s="521"/>
      <c r="G583" s="521"/>
      <c r="H583" s="521"/>
      <c r="I583" s="521"/>
      <c r="J583" s="522"/>
      <c r="K583" s="521"/>
      <c r="L583" s="521"/>
      <c r="M583" s="521"/>
      <c r="N583" s="521"/>
      <c r="O583" s="521"/>
      <c r="P583" s="523"/>
      <c r="V583" s="500"/>
      <c r="X583" s="61"/>
      <c r="Y583" s="61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140">
        <f>+N201</f>
        <v>290088</v>
      </c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</row>
    <row r="584" spans="2:79" x14ac:dyDescent="0.3">
      <c r="B584" s="507"/>
      <c r="C584" s="500"/>
      <c r="D584" s="508"/>
      <c r="E584" s="500"/>
      <c r="F584" s="500"/>
      <c r="G584" s="500"/>
      <c r="H584" s="509"/>
      <c r="I584" s="500"/>
      <c r="J584" s="500"/>
      <c r="K584" s="500"/>
      <c r="L584" s="500"/>
      <c r="M584" s="500"/>
      <c r="N584" s="500"/>
      <c r="O584" s="500"/>
      <c r="P584" s="500"/>
      <c r="Q584" s="500"/>
      <c r="R584" s="500"/>
      <c r="S584" s="500"/>
      <c r="T584" s="500"/>
      <c r="U584" s="500"/>
      <c r="V584" s="500"/>
      <c r="X584" s="61"/>
      <c r="Y584" s="61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140">
        <f>+AP582-AP583</f>
        <v>190366</v>
      </c>
      <c r="AQ584" s="98"/>
      <c r="AR584" s="98"/>
    </row>
    <row r="585" spans="2:79" x14ac:dyDescent="0.3">
      <c r="B585" s="1"/>
      <c r="D585" s="55"/>
      <c r="X585" s="61"/>
      <c r="Y585" s="61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84">
        <f>+AP584/AP582</f>
        <v>0.3962210742339537</v>
      </c>
      <c r="AQ585" s="98"/>
      <c r="AR585" s="98"/>
    </row>
    <row r="586" spans="2:79" x14ac:dyDescent="0.3">
      <c r="B586" s="55"/>
      <c r="D586" s="55"/>
      <c r="J586" s="56">
        <f>+J579-J581</f>
        <v>12637.857142857145</v>
      </c>
      <c r="X586" s="61"/>
      <c r="Y586" s="61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98"/>
      <c r="AQ586" s="98"/>
      <c r="AR586" s="98"/>
    </row>
    <row r="587" spans="2:79" x14ac:dyDescent="0.3">
      <c r="B587" s="57"/>
      <c r="D587" s="55"/>
      <c r="X587" s="61"/>
      <c r="Y587" s="61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98"/>
      <c r="AQ587" s="98"/>
      <c r="AR587" s="98"/>
    </row>
    <row r="588" spans="2:79" x14ac:dyDescent="0.3">
      <c r="B588" s="1"/>
      <c r="D588" s="55"/>
      <c r="X588" s="61"/>
      <c r="Y588" s="61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98"/>
      <c r="AQ588" s="98"/>
      <c r="AR588" s="98"/>
    </row>
    <row r="589" spans="2:79" x14ac:dyDescent="0.3">
      <c r="B589" s="1"/>
      <c r="D589" s="55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</row>
    <row r="590" spans="2:79" x14ac:dyDescent="0.3">
      <c r="B590" s="1"/>
      <c r="D590" s="55"/>
      <c r="AT590" s="500"/>
      <c r="AU590" s="500"/>
      <c r="AV590" s="500"/>
      <c r="AW590" s="500"/>
      <c r="AX590" s="500"/>
      <c r="AY590" s="500"/>
      <c r="AZ590" s="500"/>
      <c r="BA590" s="500"/>
      <c r="BB590" s="500"/>
      <c r="BC590" s="500"/>
      <c r="BD590" s="500"/>
      <c r="BE590" s="500"/>
      <c r="BF590" s="500"/>
      <c r="BG590" s="500"/>
      <c r="BH590" s="500"/>
      <c r="BI590" s="500"/>
    </row>
    <row r="591" spans="2:79" ht="15.6" x14ac:dyDescent="0.3">
      <c r="B591" s="1"/>
      <c r="D591" s="55"/>
      <c r="AT591" s="500"/>
      <c r="AU591" s="533"/>
      <c r="AV591" s="534"/>
      <c r="AW591" s="534"/>
      <c r="AX591" s="534"/>
      <c r="AY591" s="534"/>
      <c r="AZ591" s="534"/>
      <c r="BA591" s="534"/>
      <c r="BB591" s="534"/>
      <c r="BC591" s="534"/>
      <c r="BD591" s="534"/>
      <c r="BE591" s="534" t="s">
        <v>156</v>
      </c>
      <c r="BF591" s="534"/>
      <c r="BG591" s="534" t="s">
        <v>2</v>
      </c>
      <c r="BH591" s="533"/>
      <c r="BI591" s="500"/>
    </row>
    <row r="592" spans="2:79" ht="16.2" thickBot="1" x14ac:dyDescent="0.35">
      <c r="B592" s="57" t="e">
        <f>+B591/B590</f>
        <v>#DIV/0!</v>
      </c>
      <c r="D592" s="55"/>
      <c r="AT592" s="500"/>
      <c r="AU592" s="533"/>
      <c r="AV592" s="627" t="s">
        <v>155</v>
      </c>
      <c r="AW592" s="627"/>
      <c r="AX592" s="627"/>
      <c r="AY592" s="534"/>
      <c r="AZ592" s="534"/>
      <c r="BA592" s="535" t="s">
        <v>20</v>
      </c>
      <c r="BB592" s="534"/>
      <c r="BC592" s="535" t="s">
        <v>3</v>
      </c>
      <c r="BD592" s="534"/>
      <c r="BE592" s="535" t="s">
        <v>65</v>
      </c>
      <c r="BF592" s="534"/>
      <c r="BG592" s="535" t="s">
        <v>65</v>
      </c>
      <c r="BH592" s="533"/>
      <c r="BI592" s="500"/>
    </row>
    <row r="593" spans="2:61" ht="21" x14ac:dyDescent="0.4">
      <c r="B593" s="1"/>
      <c r="D593" s="55"/>
      <c r="AT593" s="500"/>
      <c r="AU593" s="533"/>
      <c r="AV593" s="536" t="s">
        <v>143</v>
      </c>
      <c r="AW593" s="533"/>
      <c r="AX593" s="537"/>
      <c r="AY593" s="533"/>
      <c r="AZ593" s="533"/>
      <c r="BA593" s="538">
        <f>+N143</f>
        <v>1970617</v>
      </c>
      <c r="BB593" s="537"/>
      <c r="BC593" s="537"/>
      <c r="BD593" s="537"/>
      <c r="BE593" s="537"/>
      <c r="BF593" s="537"/>
      <c r="BG593" s="537"/>
      <c r="BH593" s="533"/>
      <c r="BI593" s="500"/>
    </row>
    <row r="594" spans="2:61" ht="21" x14ac:dyDescent="0.4">
      <c r="B594" s="1"/>
      <c r="D594" s="55"/>
      <c r="AT594" s="500"/>
      <c r="AU594" s="533"/>
      <c r="AV594" s="536" t="s">
        <v>151</v>
      </c>
      <c r="AW594" s="533"/>
      <c r="AX594" s="537"/>
      <c r="AY594" s="533"/>
      <c r="AZ594" s="533"/>
      <c r="BA594" s="538">
        <f>+N174</f>
        <v>1493931</v>
      </c>
      <c r="BB594" s="537"/>
      <c r="BC594" s="538">
        <f>+BA594-BA593</f>
        <v>-476686</v>
      </c>
      <c r="BD594" s="537"/>
      <c r="BE594" s="539">
        <f>+BC594/BA593</f>
        <v>-0.24189682723735764</v>
      </c>
      <c r="BF594" s="537"/>
      <c r="BG594" s="537"/>
      <c r="BH594" s="533"/>
      <c r="BI594" s="500"/>
    </row>
    <row r="595" spans="2:61" ht="21" x14ac:dyDescent="0.4">
      <c r="B595" s="1">
        <f>+B591*50</f>
        <v>0</v>
      </c>
      <c r="D595" s="55"/>
      <c r="AT595" s="500"/>
      <c r="AU595" s="533"/>
      <c r="AV595" s="536" t="s">
        <v>152</v>
      </c>
      <c r="AW595" s="533"/>
      <c r="AX595" s="537"/>
      <c r="AY595" s="533"/>
      <c r="AZ595" s="533"/>
      <c r="BA595" s="538">
        <f>+N204</f>
        <v>1202331</v>
      </c>
      <c r="BB595" s="537"/>
      <c r="BC595" s="538">
        <f>+BA595-BA594</f>
        <v>-291600</v>
      </c>
      <c r="BD595" s="537"/>
      <c r="BE595" s="539">
        <f>+BC595/BA594</f>
        <v>-0.19518973767864781</v>
      </c>
      <c r="BF595" s="537"/>
      <c r="BG595" s="537"/>
      <c r="BH595" s="533"/>
      <c r="BI595" s="500"/>
    </row>
    <row r="596" spans="2:61" ht="21" x14ac:dyDescent="0.4">
      <c r="B596" s="1"/>
      <c r="D596" s="55"/>
      <c r="AT596" s="500"/>
      <c r="AU596" s="533"/>
      <c r="AV596" s="536" t="s">
        <v>153</v>
      </c>
      <c r="AW596" s="533"/>
      <c r="AX596" s="537"/>
      <c r="AY596" s="533"/>
      <c r="AZ596" s="540" t="s">
        <v>26</v>
      </c>
      <c r="BA596" s="538">
        <f>+N218</f>
        <v>371489</v>
      </c>
      <c r="BB596" s="537"/>
      <c r="BC596" s="538">
        <f>+BA596-BA595</f>
        <v>-830842</v>
      </c>
      <c r="BD596" s="537"/>
      <c r="BE596" s="539">
        <f>+BC596/BA595</f>
        <v>-0.69102601529861574</v>
      </c>
      <c r="BF596" s="537"/>
      <c r="BG596" s="539">
        <f>+(BA596-BA593)/BA593</f>
        <v>-0.81148594577231392</v>
      </c>
      <c r="BH596" s="533"/>
      <c r="BI596" s="500"/>
    </row>
    <row r="597" spans="2:61" x14ac:dyDescent="0.3">
      <c r="B597" s="1"/>
      <c r="D597" s="55"/>
      <c r="AT597" s="500"/>
      <c r="AU597" s="533"/>
      <c r="AV597" s="533"/>
      <c r="AW597" s="533"/>
      <c r="AX597" s="533"/>
      <c r="AY597" s="533"/>
      <c r="AZ597" s="533"/>
      <c r="BA597" s="533"/>
      <c r="BB597" s="533"/>
      <c r="BC597" s="533"/>
      <c r="BD597" s="533"/>
      <c r="BE597" s="533"/>
      <c r="BF597" s="533"/>
      <c r="BG597" s="533"/>
      <c r="BH597" s="533"/>
      <c r="BI597" s="500"/>
    </row>
    <row r="598" spans="2:61" ht="16.2" x14ac:dyDescent="0.3">
      <c r="B598" s="1"/>
      <c r="D598" s="55"/>
      <c r="AT598" s="500"/>
      <c r="AU598" s="533"/>
      <c r="AV598" s="533"/>
      <c r="AW598" s="533"/>
      <c r="AX598" s="541" t="s">
        <v>26</v>
      </c>
      <c r="AY598" s="533"/>
      <c r="AZ598" s="542" t="s">
        <v>154</v>
      </c>
      <c r="BA598" s="533"/>
      <c r="BB598" s="533"/>
      <c r="BC598" s="533"/>
      <c r="BD598" s="533"/>
      <c r="BE598" s="533"/>
      <c r="BF598" s="533"/>
      <c r="BG598" s="533"/>
      <c r="BH598" s="533"/>
      <c r="BI598" s="500"/>
    </row>
    <row r="599" spans="2:61" x14ac:dyDescent="0.3">
      <c r="B599" s="1"/>
      <c r="D599" s="55"/>
      <c r="AT599" s="500"/>
      <c r="AU599" s="533"/>
      <c r="AV599" s="533"/>
      <c r="AW599" s="533"/>
      <c r="AX599" s="533"/>
      <c r="AY599" s="533"/>
      <c r="AZ599" s="533"/>
      <c r="BA599" s="533"/>
      <c r="BB599" s="533"/>
      <c r="BC599" s="533"/>
      <c r="BD599" s="533"/>
      <c r="BE599" s="533"/>
      <c r="BF599" s="533"/>
      <c r="BG599" s="533"/>
      <c r="BH599" s="533"/>
      <c r="BI599" s="500"/>
    </row>
    <row r="600" spans="2:61" x14ac:dyDescent="0.3">
      <c r="B600" s="1"/>
      <c r="D600" s="55"/>
      <c r="AT600" s="532"/>
      <c r="AU600" s="532"/>
      <c r="AV600" s="532"/>
      <c r="AW600" s="532"/>
      <c r="AX600" s="532"/>
      <c r="AY600" s="532"/>
      <c r="AZ600" s="532"/>
      <c r="BA600" s="532"/>
      <c r="BB600" s="532"/>
      <c r="BC600" s="532"/>
      <c r="BD600" s="532"/>
      <c r="BE600" s="532"/>
      <c r="BF600" s="532"/>
      <c r="BG600" s="532"/>
      <c r="BH600" s="532"/>
      <c r="BI600" s="532"/>
    </row>
    <row r="601" spans="2:61" x14ac:dyDescent="0.3">
      <c r="B601" s="1"/>
      <c r="D601" s="55"/>
    </row>
    <row r="602" spans="2:61" x14ac:dyDescent="0.3">
      <c r="B602" s="1"/>
      <c r="D602" s="55"/>
      <c r="AS602" s="61"/>
      <c r="AT602" s="500"/>
      <c r="AU602" s="500"/>
      <c r="AV602" s="500"/>
      <c r="AW602" s="500"/>
      <c r="AX602" s="500"/>
      <c r="AY602" s="500"/>
      <c r="AZ602" s="500"/>
      <c r="BA602" s="500"/>
      <c r="BB602" s="500"/>
      <c r="BC602" s="500"/>
      <c r="BD602" s="500"/>
      <c r="BE602" s="500"/>
      <c r="BF602" s="500"/>
      <c r="BG602" s="500"/>
      <c r="BH602" s="500"/>
      <c r="BI602" s="500"/>
    </row>
    <row r="603" spans="2:61" x14ac:dyDescent="0.3">
      <c r="B603" s="1"/>
      <c r="D603" s="55"/>
      <c r="AT603" s="500"/>
      <c r="AU603" s="550"/>
      <c r="AV603" s="550"/>
      <c r="AW603" s="550"/>
      <c r="AX603" s="550"/>
      <c r="AY603" s="550"/>
      <c r="AZ603" s="550"/>
      <c r="BA603" s="550"/>
      <c r="BB603" s="550"/>
      <c r="BC603" s="550"/>
      <c r="BD603" s="550"/>
      <c r="BE603" s="550"/>
      <c r="BF603" s="550"/>
      <c r="BG603" s="550"/>
      <c r="BH603" s="550"/>
      <c r="BI603" s="500"/>
    </row>
    <row r="604" spans="2:61" ht="15" thickBot="1" x14ac:dyDescent="0.35">
      <c r="B604" s="1"/>
      <c r="D604" s="55"/>
      <c r="AT604" s="500"/>
      <c r="AU604" s="550"/>
      <c r="AV604" s="623" t="s">
        <v>160</v>
      </c>
      <c r="AW604" s="623"/>
      <c r="AX604" s="623"/>
      <c r="AY604" s="551"/>
      <c r="AZ604" s="551"/>
      <c r="BA604" s="552" t="s">
        <v>23</v>
      </c>
      <c r="BB604" s="553"/>
      <c r="BC604" s="552" t="s">
        <v>3</v>
      </c>
      <c r="BD604" s="553"/>
      <c r="BE604" s="552" t="s">
        <v>20</v>
      </c>
      <c r="BF604" s="553"/>
      <c r="BG604" s="552" t="s">
        <v>21</v>
      </c>
      <c r="BH604" s="550"/>
      <c r="BI604" s="500"/>
    </row>
    <row r="605" spans="2:61" x14ac:dyDescent="0.3">
      <c r="B605" s="1"/>
      <c r="AT605" s="500"/>
      <c r="AU605" s="550"/>
      <c r="AV605" s="551" t="s">
        <v>143</v>
      </c>
      <c r="AW605" s="551"/>
      <c r="AX605" s="551"/>
      <c r="AY605" s="551"/>
      <c r="AZ605" s="551"/>
      <c r="BA605" s="554">
        <f>+BK275</f>
        <v>13351981</v>
      </c>
      <c r="BB605" s="551"/>
      <c r="BC605" s="551"/>
      <c r="BD605" s="551"/>
      <c r="BE605" s="555">
        <f>+N143</f>
        <v>1970617</v>
      </c>
      <c r="BF605" s="551"/>
      <c r="BG605" s="556">
        <f>+BE605/BA605</f>
        <v>0.14758985951223269</v>
      </c>
      <c r="BH605" s="550"/>
      <c r="BI605" s="500"/>
    </row>
    <row r="606" spans="2:61" x14ac:dyDescent="0.3">
      <c r="B606" s="1"/>
      <c r="AT606" s="500"/>
      <c r="AU606" s="550"/>
      <c r="AV606" s="551"/>
      <c r="AW606" s="551"/>
      <c r="AX606" s="551"/>
      <c r="AY606" s="551"/>
      <c r="AZ606" s="551"/>
      <c r="BA606" s="554"/>
      <c r="BB606" s="551"/>
      <c r="BC606" s="551"/>
      <c r="BD606" s="551"/>
      <c r="BE606" s="551"/>
      <c r="BF606" s="551"/>
      <c r="BG606" s="556"/>
      <c r="BH606" s="550"/>
      <c r="BI606" s="500"/>
    </row>
    <row r="607" spans="2:61" x14ac:dyDescent="0.3">
      <c r="B607" s="1"/>
      <c r="AT607" s="500"/>
      <c r="AU607" s="550"/>
      <c r="AV607" s="551" t="s">
        <v>159</v>
      </c>
      <c r="AW607" s="551"/>
      <c r="AX607" s="551"/>
      <c r="AY607" s="551"/>
      <c r="AZ607" s="551"/>
      <c r="BA607" s="554">
        <v>52440389</v>
      </c>
      <c r="BB607" s="551"/>
      <c r="BC607" s="556">
        <f>+(BA607-BA605)/BA605</f>
        <v>2.9275362210296736</v>
      </c>
      <c r="BD607" s="551"/>
      <c r="BE607" s="555">
        <f>+N273</f>
        <v>1462688</v>
      </c>
      <c r="BF607" s="551"/>
      <c r="BG607" s="556">
        <f>+BE607/BA607</f>
        <v>2.7892394162064665E-2</v>
      </c>
      <c r="BH607" s="550"/>
      <c r="BI607" s="500"/>
    </row>
    <row r="608" spans="2:61" x14ac:dyDescent="0.3">
      <c r="B608" s="1"/>
      <c r="AT608" s="500"/>
      <c r="AU608" s="550"/>
      <c r="AV608" s="551"/>
      <c r="AW608" s="551"/>
      <c r="AX608" s="551"/>
      <c r="AY608" s="551"/>
      <c r="AZ608" s="551"/>
      <c r="BA608" s="554"/>
      <c r="BB608" s="551"/>
      <c r="BC608" s="551"/>
      <c r="BD608" s="551"/>
      <c r="BE608" s="551"/>
      <c r="BF608" s="551"/>
      <c r="BG608" s="551"/>
      <c r="BH608" s="550"/>
      <c r="BI608" s="500"/>
    </row>
    <row r="609" spans="2:68" x14ac:dyDescent="0.3">
      <c r="B609" s="1"/>
      <c r="AT609" s="500"/>
      <c r="AU609" s="550"/>
      <c r="AV609" s="624" t="s">
        <v>105</v>
      </c>
      <c r="AW609" s="624"/>
      <c r="AX609" s="624"/>
      <c r="AY609" s="624"/>
      <c r="AZ609" s="551"/>
      <c r="BA609" s="555">
        <f>+BA607-BA605</f>
        <v>39088408</v>
      </c>
      <c r="BB609" s="551"/>
      <c r="BC609" s="551"/>
      <c r="BD609" s="551"/>
      <c r="BE609" s="555">
        <f>+BE607-BE605</f>
        <v>-507929</v>
      </c>
      <c r="BF609" s="551"/>
      <c r="BG609" s="558"/>
      <c r="BH609" s="550"/>
      <c r="BI609" s="500"/>
    </row>
    <row r="610" spans="2:68" x14ac:dyDescent="0.3">
      <c r="B610" s="1"/>
      <c r="AT610" s="500"/>
      <c r="AU610" s="550"/>
      <c r="AV610" s="550"/>
      <c r="AW610" s="550"/>
      <c r="AX610" s="550"/>
      <c r="AY610" s="550"/>
      <c r="AZ610" s="550"/>
      <c r="BA610" s="550"/>
      <c r="BB610" s="550"/>
      <c r="BC610" s="550"/>
      <c r="BD610" s="550"/>
      <c r="BE610" s="550"/>
      <c r="BF610" s="550"/>
      <c r="BG610" s="550"/>
      <c r="BH610" s="550"/>
      <c r="BI610" s="500"/>
    </row>
    <row r="611" spans="2:68" x14ac:dyDescent="0.3">
      <c r="B611" s="1"/>
      <c r="AT611" s="500"/>
      <c r="AU611" s="500"/>
      <c r="AV611" s="500"/>
      <c r="AW611" s="500"/>
      <c r="AX611" s="500"/>
      <c r="AY611" s="500"/>
      <c r="AZ611" s="500"/>
      <c r="BA611" s="500"/>
      <c r="BB611" s="500"/>
      <c r="BC611" s="500"/>
      <c r="BD611" s="500"/>
      <c r="BE611" s="557"/>
      <c r="BF611" s="500"/>
      <c r="BG611" s="507"/>
      <c r="BH611" s="500"/>
      <c r="BI611" s="500"/>
    </row>
    <row r="612" spans="2:68" x14ac:dyDescent="0.3">
      <c r="B612" s="1"/>
    </row>
    <row r="613" spans="2:68" x14ac:dyDescent="0.3">
      <c r="B613" s="1"/>
    </row>
    <row r="614" spans="2:68" x14ac:dyDescent="0.3">
      <c r="B614" s="1"/>
      <c r="H614" s="1">
        <v>4000000</v>
      </c>
      <c r="AR614" s="500"/>
      <c r="AS614" s="500"/>
      <c r="AT614" s="500"/>
      <c r="AU614" s="500"/>
      <c r="AV614" s="500"/>
      <c r="AW614" s="500"/>
      <c r="AX614" s="500"/>
      <c r="AY614" s="500"/>
      <c r="AZ614" s="500"/>
      <c r="BA614" s="500"/>
      <c r="BB614" s="500"/>
      <c r="BC614" s="500"/>
      <c r="BD614" s="500"/>
      <c r="BE614" s="500"/>
      <c r="BF614" s="500"/>
      <c r="BG614" s="500"/>
      <c r="BH614" s="500"/>
      <c r="BI614" s="500"/>
    </row>
    <row r="615" spans="2:68" ht="15.6" x14ac:dyDescent="0.3">
      <c r="B615" s="1"/>
      <c r="H615" s="1"/>
      <c r="AR615" s="500"/>
      <c r="AS615" s="630" t="s">
        <v>170</v>
      </c>
      <c r="AT615" s="630"/>
      <c r="AU615" s="630"/>
      <c r="AV615" s="630"/>
      <c r="AW615" s="630"/>
      <c r="AX615" s="630"/>
      <c r="AY615" s="630"/>
      <c r="AZ615" s="630"/>
      <c r="BA615" s="630"/>
      <c r="BB615" s="630"/>
      <c r="BC615" s="630"/>
      <c r="BD615" s="630"/>
      <c r="BE615" s="630"/>
      <c r="BF615" s="630"/>
      <c r="BG615" s="630"/>
      <c r="BH615" s="630"/>
      <c r="BI615" s="500"/>
    </row>
    <row r="616" spans="2:68" x14ac:dyDescent="0.3">
      <c r="H616" s="1">
        <f>+H614/7</f>
        <v>571428.57142857148</v>
      </c>
      <c r="AR616" s="500"/>
      <c r="AS616" s="533"/>
      <c r="AT616" s="561"/>
      <c r="AU616" s="561"/>
      <c r="AV616" s="561"/>
      <c r="AW616" s="561"/>
      <c r="AX616" s="561"/>
      <c r="AY616" s="561"/>
      <c r="AZ616" s="561"/>
      <c r="BA616" s="561"/>
      <c r="BB616" s="561"/>
      <c r="BC616" s="561"/>
      <c r="BD616" s="561"/>
      <c r="BE616" s="625" t="s">
        <v>166</v>
      </c>
      <c r="BF616" s="561"/>
      <c r="BG616" s="589" t="s">
        <v>167</v>
      </c>
      <c r="BH616" s="533"/>
      <c r="BI616" s="500"/>
    </row>
    <row r="617" spans="2:68" x14ac:dyDescent="0.3">
      <c r="AR617" s="500"/>
      <c r="AS617" s="533"/>
      <c r="AT617" s="580" t="s">
        <v>19</v>
      </c>
      <c r="AU617" s="580"/>
      <c r="AV617" s="580"/>
      <c r="AW617" s="580"/>
      <c r="AX617" s="580"/>
      <c r="AY617" s="580"/>
      <c r="AZ617" s="561"/>
      <c r="BA617" s="560" t="s">
        <v>20</v>
      </c>
      <c r="BB617" s="561"/>
      <c r="BC617" s="560" t="s">
        <v>165</v>
      </c>
      <c r="BD617" s="561"/>
      <c r="BE617" s="626"/>
      <c r="BF617" s="561"/>
      <c r="BG617" s="587"/>
      <c r="BH617" s="533"/>
      <c r="BI617" s="500"/>
    </row>
    <row r="618" spans="2:68" x14ac:dyDescent="0.3">
      <c r="H618" t="s">
        <v>168</v>
      </c>
      <c r="J618">
        <v>28</v>
      </c>
      <c r="N618" s="1">
        <f>+H616*J618</f>
        <v>16000000.000000002</v>
      </c>
      <c r="AR618" s="500"/>
      <c r="AS618" s="533"/>
      <c r="AT618" s="578" t="s">
        <v>162</v>
      </c>
      <c r="AU618" s="578"/>
      <c r="AV618" s="578"/>
      <c r="AW618" s="578"/>
      <c r="AX618" s="578"/>
      <c r="AY618" s="561"/>
      <c r="AZ618" s="561"/>
      <c r="BA618" s="562">
        <f>+H174</f>
        <v>6826001</v>
      </c>
      <c r="BB618" s="561"/>
      <c r="BC618" s="561">
        <v>10</v>
      </c>
      <c r="BD618" s="561"/>
      <c r="BE618" s="563">
        <f>+BA618*BC618</f>
        <v>68260010</v>
      </c>
      <c r="BF618" s="561"/>
      <c r="BG618" s="561"/>
      <c r="BH618" s="533"/>
      <c r="BI618" s="500"/>
      <c r="BP618" s="56">
        <f>+BE618-BA618</f>
        <v>61434009</v>
      </c>
    </row>
    <row r="619" spans="2:68" x14ac:dyDescent="0.3">
      <c r="D619" s="56">
        <f>+N618+N619</f>
        <v>33714285.714285716</v>
      </c>
      <c r="H619" t="s">
        <v>169</v>
      </c>
      <c r="J619">
        <v>31</v>
      </c>
      <c r="N619" s="1">
        <f>+J619*H$616</f>
        <v>17714285.714285716</v>
      </c>
      <c r="AR619" s="500"/>
      <c r="AS619" s="533"/>
      <c r="AT619" s="578" t="s">
        <v>171</v>
      </c>
      <c r="AU619" s="578"/>
      <c r="AV619" s="578"/>
      <c r="AW619" s="578"/>
      <c r="AX619" s="578"/>
      <c r="AY619" s="561"/>
      <c r="AZ619" s="561"/>
      <c r="BA619" s="562">
        <f>+BA631-BA618</f>
        <v>3109228</v>
      </c>
      <c r="BB619" s="561"/>
      <c r="BC619" s="561">
        <v>5</v>
      </c>
      <c r="BD619" s="561"/>
      <c r="BE619" s="563">
        <f>+BA619*BC619</f>
        <v>15546140</v>
      </c>
      <c r="BF619" s="561"/>
      <c r="BG619" s="561"/>
      <c r="BH619" s="533"/>
      <c r="BI619" s="500"/>
      <c r="BP619" s="56">
        <f>+BE619-BA619</f>
        <v>12436912</v>
      </c>
    </row>
    <row r="620" spans="2:68" x14ac:dyDescent="0.3">
      <c r="D620" s="56">
        <f>+D619+N620</f>
        <v>50857142.857142866</v>
      </c>
      <c r="H620" t="s">
        <v>138</v>
      </c>
      <c r="J620">
        <v>30</v>
      </c>
      <c r="N620" s="1">
        <f>+J620*H$616</f>
        <v>17142857.142857146</v>
      </c>
      <c r="AR620" s="500"/>
      <c r="AS620" s="533"/>
      <c r="AT620" s="578" t="s">
        <v>163</v>
      </c>
      <c r="AU620" s="578"/>
      <c r="AV620" s="578"/>
      <c r="AW620" s="578"/>
      <c r="AX620" s="578"/>
      <c r="AY620" s="578"/>
      <c r="AZ620" s="578"/>
      <c r="BA620" s="562">
        <f>+BA633-BA631</f>
        <v>16784558</v>
      </c>
      <c r="BB620" s="561"/>
      <c r="BC620" s="561">
        <v>1</v>
      </c>
      <c r="BD620" s="561"/>
      <c r="BE620" s="563">
        <f>+BC620*BA620</f>
        <v>16784558</v>
      </c>
      <c r="BF620" s="561"/>
      <c r="BG620" s="561"/>
      <c r="BH620" s="533"/>
      <c r="BI620" s="500"/>
      <c r="BP620" s="56">
        <f>+BE620-BA620</f>
        <v>0</v>
      </c>
    </row>
    <row r="621" spans="2:68" x14ac:dyDescent="0.3">
      <c r="D621" s="56">
        <f>+D620+N621</f>
        <v>68571428.571428582</v>
      </c>
      <c r="H621" t="s">
        <v>139</v>
      </c>
      <c r="J621">
        <v>31</v>
      </c>
      <c r="N621" s="1">
        <f>+J621*H$616</f>
        <v>17714285.714285716</v>
      </c>
      <c r="AR621" s="500"/>
      <c r="AS621" s="533"/>
      <c r="AT621" s="569" t="s">
        <v>183</v>
      </c>
      <c r="AU621" s="561"/>
      <c r="AV621" s="561"/>
      <c r="AW621" s="561"/>
      <c r="AX621" s="561"/>
      <c r="AY621" s="561"/>
      <c r="AZ621" s="561"/>
      <c r="BA621" s="562">
        <f>SUM(D328:D386)</f>
        <v>4197929</v>
      </c>
      <c r="BB621" s="561"/>
      <c r="BC621" s="561">
        <v>1</v>
      </c>
      <c r="BD621" s="561"/>
      <c r="BE621" s="563">
        <f>+BC621*BA621</f>
        <v>4197929</v>
      </c>
      <c r="BF621" s="561"/>
      <c r="BG621" s="561"/>
      <c r="BH621" s="533"/>
      <c r="BI621" s="500"/>
      <c r="BP621" s="56">
        <f>+BE621-BA621</f>
        <v>0</v>
      </c>
    </row>
    <row r="622" spans="2:68" x14ac:dyDescent="0.3">
      <c r="D622" s="56"/>
      <c r="N622" s="1"/>
      <c r="AR622" s="500"/>
      <c r="AS622" s="533"/>
      <c r="AT622" s="569" t="s">
        <v>188</v>
      </c>
      <c r="AU622" s="561"/>
      <c r="AV622" s="561"/>
      <c r="AW622" s="561"/>
      <c r="AX622" s="561"/>
      <c r="AY622" s="561"/>
      <c r="AZ622" s="561"/>
      <c r="BA622" s="562">
        <f>SUM(D387:D509)</f>
        <v>4225210</v>
      </c>
      <c r="BB622" s="561"/>
      <c r="BC622" s="561">
        <v>1</v>
      </c>
      <c r="BD622" s="561"/>
      <c r="BE622" s="563">
        <f>+BC622*BA622</f>
        <v>4225210</v>
      </c>
      <c r="BF622" s="561"/>
      <c r="BG622" s="561"/>
      <c r="BH622" s="533"/>
      <c r="BI622" s="500"/>
      <c r="BP622" s="56"/>
    </row>
    <row r="623" spans="2:68" x14ac:dyDescent="0.3">
      <c r="AR623" s="500"/>
      <c r="AS623" s="533"/>
      <c r="AT623" s="578" t="s">
        <v>189</v>
      </c>
      <c r="AU623" s="578"/>
      <c r="AV623" s="578"/>
      <c r="AW623" s="578"/>
      <c r="AX623" s="578"/>
      <c r="AY623" s="578"/>
      <c r="AZ623" s="578"/>
      <c r="BA623" s="562">
        <f>SUM(D510:D516)</f>
        <v>618397</v>
      </c>
      <c r="BB623" s="561"/>
      <c r="BC623" s="561"/>
      <c r="BD623" s="561"/>
      <c r="BE623" s="563"/>
      <c r="BF623" s="561"/>
      <c r="BG623" s="561"/>
      <c r="BH623" s="533"/>
      <c r="BI623" s="500"/>
      <c r="BP623" s="56">
        <f>+BA621-BA622</f>
        <v>-27281</v>
      </c>
    </row>
    <row r="624" spans="2:68" ht="15" thickBot="1" x14ac:dyDescent="0.35">
      <c r="D624" s="56">
        <f>+BE624+D621</f>
        <v>177585275.5714286</v>
      </c>
      <c r="H624" s="59">
        <f>+D624/320000000</f>
        <v>0.55495398616071434</v>
      </c>
      <c r="AR624" s="500"/>
      <c r="AS624" s="533"/>
      <c r="AT624" s="561"/>
      <c r="AU624" s="561"/>
      <c r="AV624" s="561"/>
      <c r="AW624" s="561"/>
      <c r="AX624" s="561"/>
      <c r="AY624" s="561"/>
      <c r="AZ624" s="561"/>
      <c r="BA624" s="564">
        <f>SUM(BA618:BA623)</f>
        <v>35761323</v>
      </c>
      <c r="BB624" s="561"/>
      <c r="BC624" s="561"/>
      <c r="BD624" s="561"/>
      <c r="BE624" s="564">
        <f>SUM(BE618:BE623)</f>
        <v>109013847</v>
      </c>
      <c r="BF624" s="561"/>
      <c r="BG624" s="565">
        <f>+BE624/320000000</f>
        <v>0.34066827187499998</v>
      </c>
      <c r="BH624" s="533"/>
      <c r="BI624" s="500"/>
      <c r="BP624" s="59">
        <f>+BP623/BA621</f>
        <v>-6.4986806589630271E-3</v>
      </c>
    </row>
    <row r="625" spans="4:79" ht="15" thickTop="1" x14ac:dyDescent="0.3">
      <c r="D625" s="56"/>
      <c r="H625" s="59"/>
      <c r="AR625" s="500"/>
      <c r="AS625" s="533"/>
      <c r="AT625" s="575" t="s">
        <v>185</v>
      </c>
      <c r="AU625" s="561"/>
      <c r="AV625" s="561"/>
      <c r="AW625" s="561"/>
      <c r="AX625" s="561"/>
      <c r="AY625" s="561"/>
      <c r="AZ625" s="561"/>
      <c r="BA625" s="484">
        <f>+BY644</f>
        <v>0.49626506024096384</v>
      </c>
      <c r="BB625" s="561"/>
      <c r="BC625" s="561"/>
      <c r="BD625" s="561"/>
      <c r="BE625" s="574"/>
      <c r="BF625" s="561"/>
      <c r="BG625" s="484"/>
      <c r="BH625" s="533"/>
      <c r="BI625" s="500"/>
      <c r="BP625" s="59"/>
    </row>
    <row r="626" spans="4:79" x14ac:dyDescent="0.3">
      <c r="D626" s="56"/>
      <c r="H626" s="59"/>
      <c r="AR626" s="500"/>
      <c r="AS626" s="533"/>
      <c r="AT626" s="575" t="s">
        <v>187</v>
      </c>
      <c r="AU626" s="561"/>
      <c r="AV626" s="561"/>
      <c r="AW626" s="561"/>
      <c r="AX626" s="561"/>
      <c r="AY626" s="561"/>
      <c r="AZ626" s="561"/>
      <c r="BA626" s="576">
        <f>+BA624*BA625</f>
        <v>17747095.112891566</v>
      </c>
      <c r="BB626" s="561"/>
      <c r="BC626" s="561"/>
      <c r="BD626" s="561"/>
      <c r="BE626" s="574"/>
      <c r="BF626" s="561"/>
      <c r="BG626" s="484"/>
      <c r="BH626" s="533"/>
      <c r="BI626" s="500"/>
      <c r="BP626" s="59"/>
    </row>
    <row r="627" spans="4:79" ht="15" thickBot="1" x14ac:dyDescent="0.35">
      <c r="D627" s="56"/>
      <c r="H627" s="59"/>
      <c r="AR627" s="500"/>
      <c r="AS627" s="533"/>
      <c r="AT627" s="575" t="s">
        <v>186</v>
      </c>
      <c r="AU627" s="561"/>
      <c r="AV627" s="561"/>
      <c r="AW627" s="561"/>
      <c r="AX627" s="561"/>
      <c r="AY627" s="561"/>
      <c r="AZ627" s="561"/>
      <c r="BA627" s="564">
        <f>+BA624-BA626</f>
        <v>18014227.887108434</v>
      </c>
      <c r="BB627" s="561"/>
      <c r="BC627" s="561"/>
      <c r="BD627" s="561"/>
      <c r="BE627" s="574"/>
      <c r="BF627" s="561"/>
      <c r="BG627" s="484"/>
      <c r="BH627" s="533"/>
      <c r="BI627" s="500"/>
      <c r="BP627" s="59"/>
    </row>
    <row r="628" spans="4:79" ht="15" thickTop="1" x14ac:dyDescent="0.3">
      <c r="AR628" s="500"/>
      <c r="AS628" s="533"/>
      <c r="AT628" s="561"/>
      <c r="AU628" s="561"/>
      <c r="AV628" s="561"/>
      <c r="AW628" s="561"/>
      <c r="AX628" s="561"/>
      <c r="AY628" s="561"/>
      <c r="AZ628" s="561"/>
      <c r="BA628" s="561"/>
      <c r="BB628" s="561"/>
      <c r="BC628" s="561"/>
      <c r="BD628" s="561"/>
      <c r="BE628" s="561"/>
      <c r="BF628" s="561"/>
      <c r="BG628" s="561"/>
      <c r="BH628" s="533"/>
      <c r="BI628" s="500"/>
      <c r="BP628">
        <v>35761323</v>
      </c>
      <c r="BR628" s="56">
        <f>+BA624-BP628</f>
        <v>0</v>
      </c>
    </row>
    <row r="629" spans="4:79" x14ac:dyDescent="0.3">
      <c r="AR629" s="500"/>
      <c r="AS629" s="500"/>
      <c r="AT629" s="500"/>
      <c r="AU629" s="500"/>
      <c r="AV629" s="500"/>
      <c r="AW629" s="500"/>
      <c r="AX629" s="500"/>
      <c r="AY629" s="500"/>
      <c r="AZ629" s="500"/>
      <c r="BA629" s="500"/>
      <c r="BB629" s="500"/>
      <c r="BC629" s="500"/>
      <c r="BD629" s="500"/>
      <c r="BE629" s="500"/>
      <c r="BF629" s="500"/>
      <c r="BG629" s="500"/>
      <c r="BH629" s="500"/>
      <c r="BI629" s="500"/>
    </row>
    <row r="630" spans="4:79" x14ac:dyDescent="0.3">
      <c r="BP630" s="584">
        <v>221538504.58886749</v>
      </c>
      <c r="BQ630" s="585"/>
      <c r="BR630" s="585"/>
      <c r="BS630" s="585"/>
      <c r="BT630" s="585"/>
    </row>
    <row r="631" spans="4:79" x14ac:dyDescent="0.3">
      <c r="AV631" t="s">
        <v>153</v>
      </c>
      <c r="BA631" s="56">
        <f>+H235</f>
        <v>9935229</v>
      </c>
    </row>
    <row r="633" spans="4:79" x14ac:dyDescent="0.3">
      <c r="AV633" t="s">
        <v>164</v>
      </c>
      <c r="BA633" s="56">
        <f>+H327</f>
        <v>26719787</v>
      </c>
    </row>
    <row r="634" spans="4:79" x14ac:dyDescent="0.3">
      <c r="BA634" s="56"/>
    </row>
    <row r="635" spans="4:79" x14ac:dyDescent="0.3">
      <c r="AR635" s="500"/>
      <c r="AS635" s="500"/>
      <c r="AT635" s="500"/>
      <c r="AU635" s="500"/>
      <c r="AV635" s="500"/>
      <c r="AW635" s="500"/>
      <c r="AX635" s="500"/>
      <c r="AY635" s="500"/>
      <c r="AZ635" s="500"/>
      <c r="BA635" s="557"/>
      <c r="BB635" s="500"/>
      <c r="BC635" s="500"/>
      <c r="BD635" s="500"/>
      <c r="BE635" s="500"/>
      <c r="BF635" s="500"/>
      <c r="BG635" s="500"/>
      <c r="BH635" s="500"/>
      <c r="BI635" s="500"/>
      <c r="BJ635" s="500"/>
      <c r="BK635" s="500"/>
      <c r="BL635" s="500"/>
      <c r="BM635" s="500"/>
      <c r="BN635" s="500"/>
      <c r="BO635" s="500"/>
      <c r="BP635" s="500"/>
      <c r="BQ635" s="500"/>
      <c r="BR635" s="500"/>
      <c r="BS635" s="500"/>
      <c r="BT635" s="500"/>
      <c r="BU635" s="500"/>
      <c r="BV635" s="500"/>
      <c r="BW635" s="500"/>
    </row>
    <row r="636" spans="4:79" ht="14.4" customHeight="1" x14ac:dyDescent="0.3">
      <c r="AR636" s="500"/>
      <c r="AS636" s="533"/>
      <c r="AT636" s="580" t="s">
        <v>176</v>
      </c>
      <c r="AU636" s="580"/>
      <c r="AV636" s="580"/>
      <c r="AW636" s="580"/>
      <c r="AX636" s="580"/>
      <c r="AY636" s="580"/>
      <c r="AZ636" s="580"/>
      <c r="BA636" s="580"/>
      <c r="BB636" s="580"/>
      <c r="BC636" s="580"/>
      <c r="BD636" s="580"/>
      <c r="BE636" s="580"/>
      <c r="BF636" s="580"/>
      <c r="BG636" s="580"/>
      <c r="BH636" s="580"/>
      <c r="BI636" s="580"/>
      <c r="BJ636" s="580"/>
      <c r="BK636" s="580"/>
      <c r="BL636" s="580"/>
      <c r="BM636" s="580"/>
      <c r="BN636" s="580"/>
      <c r="BO636" s="580"/>
      <c r="BP636" s="580"/>
      <c r="BQ636" s="580"/>
      <c r="BR636" s="580"/>
      <c r="BS636" s="580"/>
      <c r="BT636" s="580"/>
      <c r="BU636" s="580"/>
      <c r="BV636" s="580"/>
      <c r="BW636" s="500"/>
    </row>
    <row r="637" spans="4:79" ht="14.4" customHeight="1" x14ac:dyDescent="0.3">
      <c r="AR637" s="500"/>
      <c r="AS637" s="533"/>
      <c r="AT637" s="533"/>
      <c r="AU637" s="533"/>
      <c r="AV637" s="533"/>
      <c r="AW637" s="533"/>
      <c r="AX637" s="533"/>
      <c r="AY637" s="533"/>
      <c r="AZ637" s="533"/>
      <c r="BA637" s="579" t="s">
        <v>172</v>
      </c>
      <c r="BB637" s="579"/>
      <c r="BC637" s="579"/>
      <c r="BD637" s="579"/>
      <c r="BE637" s="579"/>
      <c r="BF637" s="561"/>
      <c r="BG637" s="580" t="s">
        <v>180</v>
      </c>
      <c r="BH637" s="580"/>
      <c r="BI637" s="580"/>
      <c r="BJ637" s="580"/>
      <c r="BK637" s="580"/>
      <c r="BL637" s="580"/>
      <c r="BM637" s="580"/>
      <c r="BN637" s="580"/>
      <c r="BO637" s="580"/>
      <c r="BP637" s="580"/>
      <c r="BQ637" s="533"/>
      <c r="BR637" s="586" t="s">
        <v>176</v>
      </c>
      <c r="BS637" s="586"/>
      <c r="BT637" s="586"/>
      <c r="BU637" s="586"/>
      <c r="BV637" s="586"/>
      <c r="BW637" s="500"/>
    </row>
    <row r="638" spans="4:79" x14ac:dyDescent="0.3">
      <c r="AR638" s="500"/>
      <c r="AS638" s="533"/>
      <c r="AT638" s="533"/>
      <c r="AU638" s="533"/>
      <c r="AV638" s="533"/>
      <c r="AW638" s="533"/>
      <c r="AX638" s="533"/>
      <c r="AY638" s="533"/>
      <c r="AZ638" s="533"/>
      <c r="BA638" s="570" t="s">
        <v>177</v>
      </c>
      <c r="BB638" s="571"/>
      <c r="BC638" s="572" t="s">
        <v>182</v>
      </c>
      <c r="BD638" s="571"/>
      <c r="BE638" s="572" t="s">
        <v>178</v>
      </c>
      <c r="BF638" s="561"/>
      <c r="BG638" s="570"/>
      <c r="BH638" s="571"/>
      <c r="BI638" s="583"/>
      <c r="BJ638" s="583"/>
      <c r="BK638" s="583"/>
      <c r="BL638" s="583"/>
      <c r="BM638" s="583"/>
      <c r="BN638" s="583"/>
      <c r="BO638" s="473"/>
      <c r="BP638" s="572"/>
      <c r="BQ638" s="533"/>
      <c r="BR638" s="587"/>
      <c r="BS638" s="587"/>
      <c r="BT638" s="587"/>
      <c r="BU638" s="587"/>
      <c r="BV638" s="587"/>
      <c r="BW638" s="500"/>
    </row>
    <row r="639" spans="4:79" x14ac:dyDescent="0.3">
      <c r="AR639" s="500"/>
      <c r="AS639" s="533"/>
      <c r="AT639" s="533"/>
      <c r="AU639" s="533"/>
      <c r="AV639" s="533"/>
      <c r="AW639" s="533"/>
      <c r="AX639" s="533"/>
      <c r="AY639" s="533"/>
      <c r="AZ639" s="533"/>
      <c r="BA639" s="568" t="s">
        <v>173</v>
      </c>
      <c r="BB639" s="566"/>
      <c r="BC639" s="568" t="s">
        <v>175</v>
      </c>
      <c r="BD639" s="566"/>
      <c r="BE639" s="568" t="s">
        <v>174</v>
      </c>
      <c r="BF639" s="561"/>
      <c r="BG639" s="567" t="s">
        <v>180</v>
      </c>
      <c r="BH639" s="561"/>
      <c r="BI639" s="581" t="s">
        <v>184</v>
      </c>
      <c r="BJ639" s="581"/>
      <c r="BK639" s="581"/>
      <c r="BL639" s="581"/>
      <c r="BM639" s="581"/>
      <c r="BN639" s="581"/>
      <c r="BO639" s="561"/>
      <c r="BP639" s="568" t="s">
        <v>181</v>
      </c>
      <c r="BQ639" s="533"/>
      <c r="BR639" s="588" t="s">
        <v>179</v>
      </c>
      <c r="BS639" s="588"/>
      <c r="BT639" s="588"/>
      <c r="BU639" s="588"/>
      <c r="BV639" s="588"/>
      <c r="BW639" s="500"/>
    </row>
    <row r="640" spans="4:79" x14ac:dyDescent="0.3">
      <c r="AR640" s="500"/>
      <c r="AS640" s="533"/>
      <c r="AT640" s="578" t="s">
        <v>162</v>
      </c>
      <c r="AU640" s="578"/>
      <c r="AV640" s="578"/>
      <c r="AW640" s="578"/>
      <c r="AX640" s="578"/>
      <c r="AY640" s="561"/>
      <c r="AZ640" s="561"/>
      <c r="BA640" s="562">
        <f>+BA618</f>
        <v>6826001</v>
      </c>
      <c r="BB640" s="561"/>
      <c r="BC640" s="562">
        <f>+BE640-BA640</f>
        <v>61434009</v>
      </c>
      <c r="BD640" s="561"/>
      <c r="BE640" s="562">
        <f>+BE618</f>
        <v>68260010</v>
      </c>
      <c r="BF640" s="533"/>
      <c r="BG640" s="563">
        <v>0</v>
      </c>
      <c r="BH640" s="563"/>
      <c r="BI640" s="563"/>
      <c r="BJ640" s="563"/>
      <c r="BK640" s="563"/>
      <c r="BL640" s="563"/>
      <c r="BM640" s="563"/>
      <c r="BN640" s="563">
        <f>+BG640</f>
        <v>0</v>
      </c>
      <c r="BO640" s="563"/>
      <c r="BP640" s="563">
        <f>+BN640*0.5</f>
        <v>0</v>
      </c>
      <c r="BQ640" s="561"/>
      <c r="BR640" s="584">
        <f>+BE640+BP640</f>
        <v>68260010</v>
      </c>
      <c r="BS640" s="585"/>
      <c r="BT640" s="585"/>
      <c r="BU640" s="585"/>
      <c r="BV640" s="585"/>
      <c r="BW640" s="500"/>
      <c r="CA640" s="56">
        <f>+BR640</f>
        <v>68260010</v>
      </c>
    </row>
    <row r="641" spans="42:90" x14ac:dyDescent="0.3">
      <c r="AR641" s="500"/>
      <c r="AS641" s="533"/>
      <c r="AT641" s="578" t="s">
        <v>171</v>
      </c>
      <c r="AU641" s="578"/>
      <c r="AV641" s="578"/>
      <c r="AW641" s="578"/>
      <c r="AX641" s="578"/>
      <c r="AY641" s="561"/>
      <c r="AZ641" s="561"/>
      <c r="BA641" s="562">
        <f>+BA640+BA619</f>
        <v>9935229</v>
      </c>
      <c r="BB641" s="561"/>
      <c r="BC641" s="562">
        <f>+BE641-BA641</f>
        <v>73870921</v>
      </c>
      <c r="BD641" s="561"/>
      <c r="BE641" s="562">
        <f>+BE640+BE619</f>
        <v>83806150</v>
      </c>
      <c r="BF641" s="533"/>
      <c r="BG641" s="563">
        <v>0</v>
      </c>
      <c r="BH641" s="563"/>
      <c r="BI641" s="563"/>
      <c r="BJ641" s="563"/>
      <c r="BK641" s="563"/>
      <c r="BL641" s="563"/>
      <c r="BM641" s="563"/>
      <c r="BN641" s="563">
        <f>+BN640+BG641</f>
        <v>0</v>
      </c>
      <c r="BO641" s="563"/>
      <c r="BP641" s="563">
        <f>+BN641*0.5</f>
        <v>0</v>
      </c>
      <c r="BQ641" s="561"/>
      <c r="BR641" s="584">
        <f>+BE641+BP641</f>
        <v>83806150</v>
      </c>
      <c r="BS641" s="585"/>
      <c r="BT641" s="585"/>
      <c r="BU641" s="585"/>
      <c r="BV641" s="585"/>
      <c r="BW641" s="500"/>
    </row>
    <row r="642" spans="42:90" x14ac:dyDescent="0.3">
      <c r="AR642" s="500"/>
      <c r="AS642" s="533"/>
      <c r="AT642" s="578" t="s">
        <v>163</v>
      </c>
      <c r="AU642" s="578"/>
      <c r="AV642" s="578"/>
      <c r="AW642" s="578"/>
      <c r="AX642" s="578"/>
      <c r="AY642" s="578"/>
      <c r="AZ642" s="578"/>
      <c r="BA642" s="562">
        <f>+BA641+BA620</f>
        <v>26719787</v>
      </c>
      <c r="BB642" s="561"/>
      <c r="BC642" s="562">
        <f>(+BE642-BA642)*(1-0.2)</f>
        <v>59096736.800000004</v>
      </c>
      <c r="BD642" s="561"/>
      <c r="BE642" s="562">
        <f>+BE641+BE620</f>
        <v>100590708</v>
      </c>
      <c r="BF642" s="533"/>
      <c r="BG642" s="563">
        <f>13400000+5660000</f>
        <v>19060000</v>
      </c>
      <c r="BH642" s="563"/>
      <c r="BI642" s="582"/>
      <c r="BJ642" s="582"/>
      <c r="BK642" s="582"/>
      <c r="BL642" s="582"/>
      <c r="BM642" s="582"/>
      <c r="BN642" s="582"/>
      <c r="BO642" s="563"/>
      <c r="BP642" s="563">
        <f>+BG642</f>
        <v>19060000</v>
      </c>
      <c r="BQ642" s="561"/>
      <c r="BR642" s="584">
        <f>+BE642+BP642</f>
        <v>119650708</v>
      </c>
      <c r="BS642" s="585"/>
      <c r="BT642" s="585"/>
      <c r="BU642" s="585"/>
      <c r="BV642" s="585"/>
      <c r="BW642" s="500"/>
    </row>
    <row r="643" spans="42:90" x14ac:dyDescent="0.3">
      <c r="AR643" s="500"/>
      <c r="AS643" s="533"/>
      <c r="AT643" s="569" t="s">
        <v>183</v>
      </c>
      <c r="AU643" s="561"/>
      <c r="AV643" s="561"/>
      <c r="AW643" s="561"/>
      <c r="AX643" s="561"/>
      <c r="AY643" s="561"/>
      <c r="AZ643" s="561"/>
      <c r="BA643" s="562">
        <f>+BA642+BA621</f>
        <v>30917716</v>
      </c>
      <c r="BB643" s="561"/>
      <c r="BC643" s="562">
        <f>(+BE643-BA643)*(1-0.34)</f>
        <v>48754807.859999992</v>
      </c>
      <c r="BD643" s="561"/>
      <c r="BE643" s="562">
        <f>+BE642+BE621</f>
        <v>104788637</v>
      </c>
      <c r="BF643" s="533"/>
      <c r="BG643" s="563">
        <f>53420000-BG642</f>
        <v>34360000</v>
      </c>
      <c r="BH643" s="563"/>
      <c r="BI643" s="582"/>
      <c r="BJ643" s="582"/>
      <c r="BK643" s="582"/>
      <c r="BL643" s="582"/>
      <c r="BM643" s="582"/>
      <c r="BN643" s="582"/>
      <c r="BO643" s="563"/>
      <c r="BP643" s="563">
        <f>+BP642+BG643</f>
        <v>53420000</v>
      </c>
      <c r="BQ643" s="561"/>
      <c r="BR643" s="584">
        <f>+BE643+BP643</f>
        <v>158208637</v>
      </c>
      <c r="BS643" s="585"/>
      <c r="BT643" s="585"/>
      <c r="BU643" s="585"/>
      <c r="BV643" s="585"/>
      <c r="BW643" s="500"/>
    </row>
    <row r="644" spans="42:90" x14ac:dyDescent="0.3">
      <c r="AR644" s="500"/>
      <c r="AS644" s="533"/>
      <c r="AT644" s="569" t="s">
        <v>188</v>
      </c>
      <c r="AU644" s="561"/>
      <c r="AV644" s="561"/>
      <c r="AW644" s="561"/>
      <c r="AX644" s="561"/>
      <c r="AY644" s="561"/>
      <c r="AZ644" s="561"/>
      <c r="BA644" s="562">
        <v>17702720</v>
      </c>
      <c r="BB644" s="561"/>
      <c r="BC644" s="562">
        <v>36659557</v>
      </c>
      <c r="BD644" s="561"/>
      <c r="BE644" s="562">
        <f>+BA644+BC644</f>
        <v>54362277</v>
      </c>
      <c r="BF644" s="533"/>
      <c r="BG644" s="563">
        <f>164760000-BP643</f>
        <v>111340000</v>
      </c>
      <c r="BH644" s="563"/>
      <c r="BI644" s="582"/>
      <c r="BJ644" s="582"/>
      <c r="BK644" s="582"/>
      <c r="BL644" s="582"/>
      <c r="BM644" s="582"/>
      <c r="BN644" s="582"/>
      <c r="BO644" s="563"/>
      <c r="BP644" s="563">
        <f>+BP643+BG644</f>
        <v>164760000</v>
      </c>
      <c r="BQ644" s="561"/>
      <c r="BR644" s="584">
        <f>+BE644+BP644</f>
        <v>219122277</v>
      </c>
      <c r="BS644" s="585"/>
      <c r="BT644" s="585"/>
      <c r="BU644" s="585"/>
      <c r="BV644" s="585"/>
      <c r="BW644" s="500"/>
      <c r="BY644" s="59">
        <f>+BP644/CL644</f>
        <v>0.49626506024096384</v>
      </c>
      <c r="CL644" s="1">
        <v>332000000</v>
      </c>
    </row>
    <row r="645" spans="42:90" x14ac:dyDescent="0.3">
      <c r="AR645" s="500"/>
      <c r="AS645" s="533"/>
      <c r="AT645" s="569" t="s">
        <v>189</v>
      </c>
      <c r="AU645" s="561"/>
      <c r="AV645" s="561"/>
      <c r="AW645" s="561"/>
      <c r="AX645" s="561"/>
      <c r="AY645" s="561"/>
      <c r="AZ645" s="561"/>
      <c r="BA645" s="562">
        <f>+BA627</f>
        <v>18014227.887108434</v>
      </c>
      <c r="BB645" s="561"/>
      <c r="BC645" s="562">
        <f>+BC641*BY644</f>
        <v>36659557.060120478</v>
      </c>
      <c r="BD645" s="561"/>
      <c r="BE645" s="562">
        <f>+BA645+BC645</f>
        <v>54673784.947228909</v>
      </c>
      <c r="BF645" s="533"/>
      <c r="BG645" s="563">
        <f>168360000-BP644</f>
        <v>3600000</v>
      </c>
      <c r="BH645" s="563"/>
      <c r="BI645" s="582"/>
      <c r="BJ645" s="582"/>
      <c r="BK645" s="582"/>
      <c r="BL645" s="582"/>
      <c r="BM645" s="582"/>
      <c r="BN645" s="582"/>
      <c r="BO645" s="563"/>
      <c r="BP645" s="563">
        <f>+BP644+BG645</f>
        <v>168360000</v>
      </c>
      <c r="BQ645" s="561"/>
      <c r="BR645" s="584">
        <f>+BE645+BP645</f>
        <v>223033784.94722891</v>
      </c>
      <c r="BS645" s="584"/>
      <c r="BT645" s="584"/>
      <c r="BU645" s="584"/>
      <c r="BV645" s="584"/>
      <c r="BW645" s="500"/>
      <c r="BY645" s="59"/>
      <c r="CL645" s="1"/>
    </row>
    <row r="646" spans="42:90" x14ac:dyDescent="0.3">
      <c r="AR646" s="500"/>
      <c r="AS646" s="500"/>
      <c r="AT646" s="500"/>
      <c r="AU646" s="500"/>
      <c r="AV646" s="500"/>
      <c r="AW646" s="500"/>
      <c r="AX646" s="500"/>
      <c r="AY646" s="500"/>
      <c r="AZ646" s="500"/>
      <c r="BA646" s="500"/>
      <c r="BB646" s="500"/>
      <c r="BC646" s="500"/>
      <c r="BD646" s="500"/>
      <c r="BE646" s="500"/>
      <c r="BF646" s="500"/>
      <c r="BG646" s="500"/>
      <c r="BH646" s="500"/>
      <c r="BI646" s="500"/>
      <c r="BJ646" s="500"/>
      <c r="BK646" s="500"/>
      <c r="BL646" s="500"/>
      <c r="BM646" s="500"/>
      <c r="BN646" s="500"/>
      <c r="BO646" s="500"/>
      <c r="BP646" s="500"/>
      <c r="BQ646" s="500"/>
      <c r="BR646" s="500"/>
      <c r="BS646" s="500"/>
      <c r="BT646" s="500"/>
      <c r="BU646" s="500"/>
      <c r="BV646" s="500"/>
      <c r="BW646" s="500"/>
      <c r="CL646" s="59">
        <f>+BR644/CL644</f>
        <v>0.66000685843373497</v>
      </c>
    </row>
    <row r="648" spans="42:90" x14ac:dyDescent="0.3">
      <c r="BA648" s="56">
        <f>+BR644+BA626</f>
        <v>236869372.11289155</v>
      </c>
      <c r="BC648" s="59">
        <f>+BA648/CL644</f>
        <v>0.71346196419545649</v>
      </c>
      <c r="BE648" s="56"/>
      <c r="BP648" s="1">
        <v>164760000</v>
      </c>
      <c r="CL648" s="56">
        <f>+CL644-BR644</f>
        <v>112877723</v>
      </c>
    </row>
    <row r="649" spans="42:90" x14ac:dyDescent="0.3">
      <c r="BP649" s="56">
        <f>+BP648-BP644</f>
        <v>0</v>
      </c>
    </row>
    <row r="651" spans="42:90" x14ac:dyDescent="0.3">
      <c r="CL651" s="59">
        <f>+BP644/CL644</f>
        <v>0.49626506024096384</v>
      </c>
    </row>
    <row r="653" spans="42:90" x14ac:dyDescent="0.3">
      <c r="BE653" s="500"/>
      <c r="BF653" s="500"/>
      <c r="BG653" s="500"/>
      <c r="BH653" s="500"/>
      <c r="BI653" s="500"/>
      <c r="BJ653" s="500"/>
      <c r="BK653" s="500"/>
      <c r="BL653" s="500"/>
      <c r="BM653" s="500"/>
      <c r="BN653" s="500"/>
      <c r="BO653" s="500"/>
      <c r="BP653" s="500"/>
      <c r="BQ653" s="500"/>
      <c r="BR653" s="500"/>
      <c r="BS653" s="500"/>
      <c r="BT653" s="500"/>
      <c r="BU653" s="500"/>
      <c r="BV653" s="500"/>
      <c r="BW653" s="500"/>
      <c r="BX653" s="500"/>
      <c r="BY653" s="500"/>
    </row>
    <row r="654" spans="42:90" x14ac:dyDescent="0.3">
      <c r="BE654" s="500"/>
      <c r="BF654" s="500"/>
      <c r="BG654" s="500"/>
      <c r="BH654" s="500"/>
      <c r="BI654" s="500"/>
      <c r="BJ654" s="500"/>
      <c r="BK654" s="500"/>
      <c r="BL654" s="500"/>
      <c r="BM654" s="500"/>
      <c r="BN654" s="500"/>
      <c r="BO654" s="500"/>
      <c r="BP654" s="500"/>
      <c r="BQ654" s="500"/>
      <c r="BR654" s="500"/>
      <c r="BS654" s="500"/>
      <c r="BT654" s="500"/>
      <c r="BU654" s="500"/>
      <c r="BV654" s="500"/>
      <c r="BW654" s="500"/>
      <c r="BX654" s="500"/>
      <c r="BY654" s="500"/>
    </row>
    <row r="655" spans="42:90" x14ac:dyDescent="0.3">
      <c r="AP655" s="1">
        <v>1500000</v>
      </c>
      <c r="BE655" s="500"/>
      <c r="BF655" s="500"/>
      <c r="BG655" s="500"/>
      <c r="BH655" s="500"/>
      <c r="BI655" s="500"/>
      <c r="BJ655" s="500"/>
      <c r="BK655" s="500"/>
      <c r="BL655" s="500"/>
      <c r="BM655" s="500"/>
      <c r="BN655" s="500"/>
      <c r="BO655" s="500"/>
      <c r="BP655" s="500"/>
      <c r="BQ655" s="500"/>
      <c r="BR655" s="500"/>
      <c r="BS655" s="500"/>
      <c r="BT655" s="500"/>
      <c r="BU655" s="500"/>
      <c r="BV655" s="500"/>
      <c r="BW655" s="500"/>
      <c r="BX655" s="500"/>
      <c r="BY655" s="500"/>
    </row>
    <row r="656" spans="42:90" x14ac:dyDescent="0.3">
      <c r="AP656">
        <v>7</v>
      </c>
      <c r="BE656" s="500"/>
      <c r="BY656" s="500"/>
      <c r="CL656">
        <v>177090000</v>
      </c>
    </row>
    <row r="657" spans="42:90" x14ac:dyDescent="0.3">
      <c r="AP657" s="1">
        <f>+AP655*AP656</f>
        <v>10500000</v>
      </c>
      <c r="BE657" s="500"/>
      <c r="BY657" s="500"/>
      <c r="CL657" s="231">
        <f>+CL656/CL644</f>
        <v>0.53340361445783135</v>
      </c>
    </row>
    <row r="658" spans="42:90" x14ac:dyDescent="0.3">
      <c r="BE658" s="500"/>
      <c r="BY658" s="500"/>
    </row>
    <row r="659" spans="42:90" x14ac:dyDescent="0.3">
      <c r="BE659" s="500"/>
      <c r="BY659" s="500"/>
    </row>
    <row r="660" spans="42:90" x14ac:dyDescent="0.3">
      <c r="BE660" s="500"/>
      <c r="BY660" s="500"/>
      <c r="CL660" s="56">
        <f>+BR644+27420000</f>
        <v>246542277</v>
      </c>
    </row>
    <row r="661" spans="42:90" x14ac:dyDescent="0.3">
      <c r="BE661" s="500"/>
      <c r="BY661" s="500"/>
    </row>
    <row r="662" spans="42:90" x14ac:dyDescent="0.3">
      <c r="BE662" s="500"/>
      <c r="BY662" s="500"/>
      <c r="CL662" s="59">
        <f>+CL660/CL644</f>
        <v>0.7425972198795181</v>
      </c>
    </row>
    <row r="663" spans="42:90" x14ac:dyDescent="0.3">
      <c r="BE663" s="500"/>
      <c r="BY663" s="500"/>
    </row>
    <row r="664" spans="42:90" x14ac:dyDescent="0.3">
      <c r="BE664" s="500"/>
      <c r="BY664" s="500"/>
    </row>
    <row r="665" spans="42:90" x14ac:dyDescent="0.3">
      <c r="BE665" s="500"/>
      <c r="BY665" s="500"/>
    </row>
    <row r="666" spans="42:90" x14ac:dyDescent="0.3">
      <c r="BE666" s="500"/>
      <c r="BY666" s="500"/>
    </row>
    <row r="667" spans="42:90" x14ac:dyDescent="0.3">
      <c r="BE667" s="500"/>
      <c r="BY667" s="500"/>
    </row>
    <row r="668" spans="42:90" x14ac:dyDescent="0.3">
      <c r="BE668" s="500"/>
      <c r="BY668" s="500"/>
    </row>
    <row r="669" spans="42:90" x14ac:dyDescent="0.3">
      <c r="BE669" s="500"/>
      <c r="BF669" s="500"/>
      <c r="BG669" s="500"/>
      <c r="BH669" s="500"/>
      <c r="BI669" s="500"/>
      <c r="BJ669" s="500"/>
      <c r="BK669" s="500"/>
      <c r="BL669" s="500"/>
      <c r="BM669" s="500"/>
      <c r="BN669" s="500"/>
      <c r="BO669" s="500"/>
      <c r="BP669" s="500"/>
      <c r="BQ669" s="500"/>
      <c r="BR669" s="500"/>
      <c r="BS669" s="500"/>
      <c r="BT669" s="500"/>
      <c r="BU669" s="500"/>
      <c r="BV669" s="500"/>
      <c r="BW669" s="500"/>
      <c r="BX669" s="500"/>
      <c r="BY669" s="500"/>
    </row>
    <row r="670" spans="42:90" x14ac:dyDescent="0.3">
      <c r="BE670" s="500"/>
      <c r="BF670" s="500"/>
      <c r="BG670" s="500"/>
      <c r="BH670" s="500"/>
      <c r="BI670" s="500"/>
      <c r="BJ670" s="500"/>
      <c r="BK670" s="500"/>
      <c r="BL670" s="500"/>
      <c r="BM670" s="500"/>
      <c r="BN670" s="500"/>
      <c r="BO670" s="500"/>
      <c r="BP670" s="500"/>
      <c r="BQ670" s="500"/>
      <c r="BR670" s="500"/>
      <c r="BS670" s="500"/>
      <c r="BT670" s="500"/>
      <c r="BU670" s="500"/>
      <c r="BV670" s="500"/>
      <c r="BW670" s="500"/>
      <c r="BX670" s="500"/>
      <c r="BY670" s="500"/>
    </row>
    <row r="671" spans="42:90" x14ac:dyDescent="0.3">
      <c r="BE671" s="500"/>
      <c r="BF671" s="500"/>
      <c r="BG671" s="500"/>
      <c r="BH671" s="500"/>
      <c r="BI671" s="500"/>
      <c r="BJ671" s="500"/>
      <c r="BK671" s="500"/>
      <c r="BL671" s="500"/>
      <c r="BM671" s="500"/>
      <c r="BN671" s="500"/>
      <c r="BO671" s="500"/>
      <c r="BP671" s="500"/>
      <c r="BQ671" s="500"/>
      <c r="BR671" s="500"/>
      <c r="BS671" s="500"/>
      <c r="BT671" s="500"/>
      <c r="BU671" s="500"/>
      <c r="BV671" s="500"/>
      <c r="BW671" s="500"/>
      <c r="BX671" s="500"/>
      <c r="BY671" s="500"/>
    </row>
    <row r="672" spans="42:90" x14ac:dyDescent="0.3">
      <c r="BE672" s="500"/>
      <c r="BF672" s="500"/>
      <c r="BG672" s="500"/>
      <c r="BH672" s="500"/>
      <c r="BI672" s="500"/>
      <c r="BJ672" s="500"/>
      <c r="BK672" s="500"/>
      <c r="BL672" s="500"/>
      <c r="BM672" s="500"/>
      <c r="BN672" s="500"/>
      <c r="BO672" s="500"/>
      <c r="BP672" s="500"/>
      <c r="BQ672" s="500"/>
      <c r="BR672" s="500"/>
      <c r="BS672" s="500"/>
      <c r="BT672" s="500"/>
      <c r="BU672" s="500"/>
      <c r="BV672" s="500"/>
      <c r="BW672" s="500"/>
      <c r="BX672" s="500"/>
      <c r="BY672" s="500"/>
    </row>
    <row r="673" spans="57:77" x14ac:dyDescent="0.3">
      <c r="BE673" s="500"/>
      <c r="BF673" s="500"/>
      <c r="BG673" s="500"/>
      <c r="BH673" s="500"/>
      <c r="BI673" s="500"/>
      <c r="BJ673" s="500"/>
      <c r="BK673" s="500"/>
      <c r="BL673" s="500"/>
      <c r="BM673" s="500"/>
      <c r="BN673" s="500"/>
      <c r="BO673" s="500"/>
      <c r="BP673" s="500"/>
      <c r="BQ673" s="500"/>
      <c r="BR673" s="500"/>
      <c r="BS673" s="500"/>
      <c r="BT673" s="500"/>
      <c r="BU673" s="500"/>
      <c r="BV673" s="500"/>
      <c r="BW673" s="500"/>
      <c r="BX673" s="500"/>
      <c r="BY673" s="500"/>
    </row>
    <row r="674" spans="57:77" x14ac:dyDescent="0.3">
      <c r="BE674" s="500"/>
      <c r="BF674" s="500"/>
      <c r="BG674" s="500"/>
      <c r="BH674" s="500"/>
      <c r="BI674" s="500"/>
      <c r="BJ674" s="500"/>
      <c r="BK674" s="500"/>
      <c r="BL674" s="500"/>
      <c r="BM674" s="500"/>
      <c r="BN674" s="500"/>
      <c r="BO674" s="500"/>
      <c r="BP674" s="500"/>
      <c r="BQ674" s="500"/>
      <c r="BR674" s="500"/>
      <c r="BS674" s="500"/>
      <c r="BT674" s="500"/>
      <c r="BU674" s="500"/>
      <c r="BV674" s="500"/>
      <c r="BW674" s="500"/>
      <c r="BX674" s="500"/>
      <c r="BY674" s="500"/>
    </row>
    <row r="675" spans="57:77" x14ac:dyDescent="0.3">
      <c r="BE675" s="500"/>
      <c r="BF675" s="500"/>
      <c r="BG675" s="500"/>
      <c r="BH675" s="500"/>
      <c r="BI675" s="500"/>
      <c r="BJ675" s="500"/>
      <c r="BK675" s="500"/>
      <c r="BL675" s="500"/>
      <c r="BM675" s="500"/>
      <c r="BN675" s="500"/>
      <c r="BO675" s="500"/>
      <c r="BP675" s="500"/>
      <c r="BQ675" s="500"/>
      <c r="BR675" s="500"/>
      <c r="BS675" s="500"/>
      <c r="BT675" s="500"/>
      <c r="BU675" s="500"/>
      <c r="BV675" s="500"/>
      <c r="BW675" s="500"/>
      <c r="BX675" s="500"/>
      <c r="BY675" s="500"/>
    </row>
    <row r="676" spans="57:77" x14ac:dyDescent="0.3">
      <c r="BE676" s="500"/>
      <c r="BF676" s="500"/>
      <c r="BG676" s="500"/>
      <c r="BH676" s="500"/>
      <c r="BI676" s="500"/>
      <c r="BJ676" s="500"/>
      <c r="BK676" s="500"/>
      <c r="BL676" s="500"/>
      <c r="BM676" s="500"/>
      <c r="BN676" s="500"/>
      <c r="BO676" s="500"/>
      <c r="BP676" s="500"/>
      <c r="BQ676" s="500"/>
      <c r="BR676" s="500"/>
      <c r="BS676" s="500"/>
      <c r="BT676" s="500"/>
      <c r="BU676" s="500"/>
      <c r="BV676" s="500"/>
      <c r="BW676" s="500"/>
      <c r="BX676" s="500"/>
      <c r="BY676" s="500"/>
    </row>
  </sheetData>
  <mergeCells count="60">
    <mergeCell ref="BI645:BN645"/>
    <mergeCell ref="BR645:BV645"/>
    <mergeCell ref="AV609:AY609"/>
    <mergeCell ref="BE616:BE617"/>
    <mergeCell ref="AV592:AX592"/>
    <mergeCell ref="AK547:AN547"/>
    <mergeCell ref="AK548:AN548"/>
    <mergeCell ref="AK549:AN549"/>
    <mergeCell ref="AS615:BH615"/>
    <mergeCell ref="H577:J577"/>
    <mergeCell ref="AK554:AN554"/>
    <mergeCell ref="AK545:AN545"/>
    <mergeCell ref="AK555:AN555"/>
    <mergeCell ref="AV604:AX604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544:AV544"/>
    <mergeCell ref="AK546:AN54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637:BV638"/>
    <mergeCell ref="BR639:BV639"/>
    <mergeCell ref="AT619:AX619"/>
    <mergeCell ref="AT623:AZ623"/>
    <mergeCell ref="AT617:AY617"/>
    <mergeCell ref="AT620:AZ620"/>
    <mergeCell ref="AT636:BV636"/>
    <mergeCell ref="BG616:BG617"/>
    <mergeCell ref="AT618:AX618"/>
    <mergeCell ref="BP630:BT630"/>
    <mergeCell ref="BI644:BN644"/>
    <mergeCell ref="BR640:BV640"/>
    <mergeCell ref="BR641:BV641"/>
    <mergeCell ref="BR642:BV642"/>
    <mergeCell ref="BR644:BV644"/>
    <mergeCell ref="BI643:BN643"/>
    <mergeCell ref="BR643:BV643"/>
    <mergeCell ref="AT640:AX640"/>
    <mergeCell ref="AT641:AX641"/>
    <mergeCell ref="AT642:AZ642"/>
    <mergeCell ref="BA637:BE637"/>
    <mergeCell ref="BG637:BP637"/>
    <mergeCell ref="BI639:BN639"/>
    <mergeCell ref="BI642:BN642"/>
    <mergeCell ref="BI638:BN638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50:AP552 AR550:AR55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41"/>
  <sheetViews>
    <sheetView topLeftCell="A491" workbookViewId="0">
      <selection activeCell="AD528" sqref="AD528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+K529</f>
        <v>3624293</v>
      </c>
      <c r="AG16" s="187"/>
      <c r="AH16" s="201">
        <f>+AJ31</f>
        <v>11261.513557122304</v>
      </c>
      <c r="AI16" s="201"/>
      <c r="AJ16" s="202">
        <f>+S529</f>
        <v>89069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734486</v>
      </c>
      <c r="AG17" s="188"/>
      <c r="AH17" s="149">
        <v>10656</v>
      </c>
      <c r="AI17" s="201"/>
      <c r="AJ17" s="148">
        <v>18142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1254613</v>
      </c>
      <c r="AG18" s="188"/>
      <c r="AH18" s="149">
        <v>9800</v>
      </c>
      <c r="AI18" s="201"/>
      <c r="AJ18" s="148">
        <v>27966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5613392</v>
      </c>
      <c r="AG19" s="188"/>
      <c r="AH19" s="188"/>
      <c r="AI19" s="188"/>
      <c r="AJ19" s="206">
        <f>SUM(AJ16:AJ18)</f>
        <v>135177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Table'!H531</f>
        <v>0.15374758983314335</v>
      </c>
      <c r="AG21" s="188"/>
      <c r="AH21" s="188"/>
      <c r="AI21" s="188"/>
      <c r="AJ21" s="208">
        <f>+AJ19/'Main Table'!AA531</f>
        <v>0.21821008231083763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+E529</f>
        <v>2201523</v>
      </c>
      <c r="AE27" s="155"/>
      <c r="AF27" s="186">
        <v>11317</v>
      </c>
      <c r="AG27" s="155"/>
      <c r="AH27" s="177">
        <f>+AD27/AD$31</f>
        <v>0.50507791287422465</v>
      </c>
      <c r="AI27" s="177"/>
      <c r="AJ27" s="155">
        <f>+AF27*AH27</f>
        <v>5715.9667399976006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+G529</f>
        <v>1060934</v>
      </c>
      <c r="AE28" s="155"/>
      <c r="AF28" s="186">
        <v>11945</v>
      </c>
      <c r="AG28" s="155"/>
      <c r="AH28" s="177">
        <f>+AD28/AD$31</f>
        <v>0.24340164986570781</v>
      </c>
      <c r="AI28" s="177"/>
      <c r="AJ28" s="155">
        <f>+AF28*AH28</f>
        <v>2907.4327076458799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+I529</f>
        <v>361836</v>
      </c>
      <c r="AE29" s="155"/>
      <c r="AF29" s="186">
        <v>10149</v>
      </c>
      <c r="AG29" s="155"/>
      <c r="AH29" s="177">
        <f>+AD29/AD$31</f>
        <v>8.3013155748433223E-2</v>
      </c>
      <c r="AI29" s="177"/>
      <c r="AJ29" s="155">
        <f>+AF29*AH29</f>
        <v>842.50051769084882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734486</v>
      </c>
      <c r="AE30" s="237"/>
      <c r="AF30" s="155">
        <f>+AH17</f>
        <v>10656</v>
      </c>
      <c r="AG30" s="237"/>
      <c r="AH30" s="177">
        <f>+AD30/AD$31</f>
        <v>0.16850728151163433</v>
      </c>
      <c r="AI30" s="237"/>
      <c r="AJ30" s="155">
        <f>+AF30*AH30</f>
        <v>1795.6135917879753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4358779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11261.513557122304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Table'!AA531</f>
        <v>619481</v>
      </c>
      <c r="AJ49" s="56">
        <f>+AJ19</f>
        <v>135177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135177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484304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203407.68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280896.32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0.45343815225971418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524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ref="K483" si="236">SUM(E483:I483)</f>
        <v>3490675</v>
      </c>
      <c r="L483" s="6"/>
      <c r="M483" s="438">
        <f t="shared" ref="M483" si="237">+(K483-K482)/K482</f>
        <v>1.3122393249474174E-4</v>
      </c>
      <c r="N483" s="29"/>
      <c r="O483" s="29"/>
      <c r="P483" s="29"/>
      <c r="Q483" s="332">
        <f t="shared" ref="Q483" si="238">+K483-K482</f>
        <v>458</v>
      </c>
      <c r="R483" s="6"/>
      <c r="S483" s="7">
        <f>53705+26477+8279</f>
        <v>88461</v>
      </c>
      <c r="T483" s="6"/>
      <c r="U483" s="243">
        <f t="shared" ref="U483" si="239">+S483/K483</f>
        <v>2.5342089996920367E-2</v>
      </c>
      <c r="W483">
        <f t="shared" si="215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ref="K484" si="240">SUM(E484:I484)</f>
        <v>3491302</v>
      </c>
      <c r="L484" s="6"/>
      <c r="M484" s="438">
        <f t="shared" ref="M484" si="241">+(K484-K483)/K483</f>
        <v>1.7962141992594556E-4</v>
      </c>
      <c r="N484" s="29"/>
      <c r="O484" s="29"/>
      <c r="P484" s="29"/>
      <c r="Q484" s="332">
        <f t="shared" ref="Q484" si="242">+K484-K483</f>
        <v>627</v>
      </c>
      <c r="R484" s="6"/>
      <c r="S484" s="7">
        <f>53711+26477+8279</f>
        <v>88467</v>
      </c>
      <c r="T484" s="6"/>
      <c r="U484" s="243">
        <f t="shared" ref="U484" si="243">+S484/K484</f>
        <v>2.5339257388790771E-2</v>
      </c>
      <c r="W484">
        <f t="shared" si="215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ref="K485" si="244">SUM(E485:I485)</f>
        <v>3492040</v>
      </c>
      <c r="L485" s="6"/>
      <c r="M485" s="438">
        <f t="shared" ref="M485" si="245">+(K485-K484)/K484</f>
        <v>2.1138245846391977E-4</v>
      </c>
      <c r="N485" s="29"/>
      <c r="O485" s="29"/>
      <c r="P485" s="29"/>
      <c r="Q485" s="332">
        <f t="shared" ref="Q485" si="246">+K485-K484</f>
        <v>738</v>
      </c>
      <c r="R485" s="6"/>
      <c r="S485" s="7">
        <f>53717+26490+8278</f>
        <v>88485</v>
      </c>
      <c r="T485" s="6"/>
      <c r="U485" s="243">
        <f t="shared" ref="U485" si="247">+S485/K485</f>
        <v>2.5339056826382288E-2</v>
      </c>
      <c r="W485">
        <f t="shared" si="215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ref="K486" si="248">SUM(E486:I486)</f>
        <v>3493093</v>
      </c>
      <c r="L486" s="6"/>
      <c r="M486" s="438">
        <f t="shared" ref="M486" si="249">+(K486-K485)/K485</f>
        <v>3.0154293765248964E-4</v>
      </c>
      <c r="N486" s="29"/>
      <c r="O486" s="29"/>
      <c r="P486" s="29"/>
      <c r="Q486" s="332">
        <f t="shared" ref="Q486" si="250">+K486-K485</f>
        <v>1053</v>
      </c>
      <c r="R486" s="6"/>
      <c r="S486" s="7">
        <f>53721+26493+8279</f>
        <v>88493</v>
      </c>
      <c r="T486" s="6"/>
      <c r="U486" s="243">
        <f t="shared" ref="U486" si="251">+S486/K486</f>
        <v>2.5333708549987073E-2</v>
      </c>
      <c r="W486">
        <f t="shared" si="215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ref="K487" si="252">SUM(E487:I487)</f>
        <v>3494406</v>
      </c>
      <c r="L487" s="6"/>
      <c r="M487" s="438">
        <f t="shared" ref="M487" si="253">+(K487-K486)/K486</f>
        <v>3.7588463862828729E-4</v>
      </c>
      <c r="N487" s="29"/>
      <c r="O487" s="29"/>
      <c r="P487" s="29"/>
      <c r="Q487" s="332">
        <f t="shared" ref="Q487" si="254">+K487-K486</f>
        <v>1313</v>
      </c>
      <c r="R487" s="6"/>
      <c r="S487" s="7">
        <f>53726+26496+8279</f>
        <v>88501</v>
      </c>
      <c r="T487" s="6"/>
      <c r="U487" s="243">
        <f t="shared" ref="U487" si="255">+S487/K487</f>
        <v>2.5326478949498139E-2</v>
      </c>
      <c r="W487">
        <f t="shared" si="215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ref="K488" si="256">SUM(E488:I488)</f>
        <v>3495549</v>
      </c>
      <c r="L488" s="6"/>
      <c r="M488" s="438">
        <f t="shared" ref="M488" si="257">+(K488-K487)/K487</f>
        <v>3.2709421858822358E-4</v>
      </c>
      <c r="N488" s="29"/>
      <c r="O488" s="29"/>
      <c r="P488" s="29"/>
      <c r="Q488" s="332">
        <f t="shared" ref="Q488" si="258">+K488-K487</f>
        <v>1143</v>
      </c>
      <c r="R488" s="6"/>
      <c r="S488" s="7">
        <f>53733+26501+8279</f>
        <v>88513</v>
      </c>
      <c r="T488" s="6"/>
      <c r="U488" s="243">
        <f t="shared" ref="U488" si="259">+S488/K488</f>
        <v>2.5321630450610189E-2</v>
      </c>
      <c r="W488">
        <f t="shared" si="215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ref="K489" si="260">SUM(E489:I489)</f>
        <v>3496526</v>
      </c>
      <c r="L489" s="6"/>
      <c r="M489" s="438">
        <f t="shared" ref="M489" si="261">+(K489-K488)/K488</f>
        <v>2.7949829912268429E-4</v>
      </c>
      <c r="N489" s="29"/>
      <c r="O489" s="29"/>
      <c r="P489" s="29"/>
      <c r="Q489" s="332">
        <f t="shared" ref="Q489" si="262">+K489-K488</f>
        <v>977</v>
      </c>
      <c r="R489" s="6"/>
      <c r="S489" s="7">
        <f>53735+26505+8279</f>
        <v>88519</v>
      </c>
      <c r="T489" s="6"/>
      <c r="U489" s="243">
        <f t="shared" ref="U489" si="263">+S489/K489</f>
        <v>2.531627106447943E-2</v>
      </c>
      <c r="W489">
        <f t="shared" si="215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ref="K490" si="264">SUM(E490:I490)</f>
        <v>3497444</v>
      </c>
      <c r="L490" s="6"/>
      <c r="M490" s="438">
        <f t="shared" ref="M490" si="265">+(K490-K489)/K489</f>
        <v>2.6254631025194724E-4</v>
      </c>
      <c r="N490" s="29"/>
      <c r="O490" s="29"/>
      <c r="P490" s="29"/>
      <c r="Q490" s="332">
        <f t="shared" ref="Q490" si="266">+K490-K489</f>
        <v>918</v>
      </c>
      <c r="R490" s="6"/>
      <c r="S490" s="7">
        <f>53737+26509+8279</f>
        <v>88525</v>
      </c>
      <c r="T490" s="6"/>
      <c r="U490" s="243">
        <f t="shared" ref="U490" si="267">+S490/K490</f>
        <v>2.531134165407652E-2</v>
      </c>
      <c r="W490">
        <f t="shared" si="215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ref="K491" si="268">SUM(E491:I491)</f>
        <v>3498655</v>
      </c>
      <c r="L491" s="6"/>
      <c r="M491" s="438">
        <f t="shared" ref="M491" si="269">+(K491-K490)/K490</f>
        <v>3.4625286351975903E-4</v>
      </c>
      <c r="N491" s="29"/>
      <c r="O491" s="29"/>
      <c r="P491" s="29"/>
      <c r="Q491" s="332">
        <f t="shared" ref="Q491" si="270">+K491-K490</f>
        <v>1211</v>
      </c>
      <c r="R491" s="6"/>
      <c r="S491" s="7">
        <f>53743+26516+8279</f>
        <v>88538</v>
      </c>
      <c r="T491" s="6"/>
      <c r="U491" s="243">
        <f t="shared" ref="U491" si="271">+S491/K491</f>
        <v>2.5306296276712052E-2</v>
      </c>
      <c r="W491">
        <f t="shared" si="215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ref="K492" si="272">SUM(E492:I492)</f>
        <v>3499902</v>
      </c>
      <c r="L492" s="6"/>
      <c r="M492" s="438">
        <f t="shared" ref="M492" si="273">+(K492-K491)/K491</f>
        <v>3.5642268243081982E-4</v>
      </c>
      <c r="N492" s="29"/>
      <c r="O492" s="29"/>
      <c r="P492" s="29"/>
      <c r="Q492" s="332">
        <f t="shared" ref="Q492" si="274">+K492-K491</f>
        <v>1247</v>
      </c>
      <c r="R492" s="6"/>
      <c r="S492" s="7">
        <f>53754+26527+8279</f>
        <v>88560</v>
      </c>
      <c r="T492" s="6"/>
      <c r="U492" s="243">
        <f t="shared" ref="U492" si="275">+S492/K492</f>
        <v>2.5303565642695137E-2</v>
      </c>
      <c r="W492">
        <f t="shared" si="215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ref="K493" si="276">SUM(E493:I493)</f>
        <v>3501448</v>
      </c>
      <c r="L493" s="6"/>
      <c r="M493" s="438">
        <f t="shared" ref="M493" si="277">+(K493-K492)/K492</f>
        <v>4.4172665406059939E-4</v>
      </c>
      <c r="N493" s="29"/>
      <c r="O493" s="29"/>
      <c r="P493" s="29"/>
      <c r="Q493" s="332">
        <f t="shared" ref="Q493" si="278">+K493-K492</f>
        <v>1546</v>
      </c>
      <c r="R493" s="6"/>
      <c r="S493" s="7">
        <f>53759+26529+8282</f>
        <v>88570</v>
      </c>
      <c r="T493" s="6"/>
      <c r="U493" s="243">
        <f t="shared" ref="U493" si="279">+S493/K493</f>
        <v>2.529524927972656E-2</v>
      </c>
      <c r="W493">
        <f t="shared" si="215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ref="K494" si="280">SUM(E494:I494)</f>
        <v>3502797</v>
      </c>
      <c r="L494" s="6"/>
      <c r="M494" s="438">
        <f t="shared" ref="M494" si="281">+(K494-K493)/K493</f>
        <v>3.8526918006493311E-4</v>
      </c>
      <c r="N494" s="29"/>
      <c r="O494" s="29"/>
      <c r="P494" s="29"/>
      <c r="Q494" s="332">
        <f t="shared" ref="Q494" si="282">+K494-K493</f>
        <v>1349</v>
      </c>
      <c r="R494" s="6"/>
      <c r="S494" s="7">
        <f>53760+26531+8282</f>
        <v>88573</v>
      </c>
      <c r="T494" s="6"/>
      <c r="U494" s="243">
        <f t="shared" ref="U494" si="283">+S494/K494</f>
        <v>2.5286364011388614E-2</v>
      </c>
      <c r="W494">
        <f t="shared" si="215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ref="K495" si="284">SUM(E495:I495)</f>
        <v>3504713</v>
      </c>
      <c r="L495" s="6"/>
      <c r="M495" s="438">
        <f t="shared" ref="M495" si="285">+(K495-K494)/K494</f>
        <v>5.4699144712068665E-4</v>
      </c>
      <c r="N495" s="29"/>
      <c r="O495" s="29"/>
      <c r="P495" s="29"/>
      <c r="Q495" s="332">
        <f t="shared" ref="Q495" si="286">+K495-K494</f>
        <v>1916</v>
      </c>
      <c r="R495" s="6"/>
      <c r="S495" s="7">
        <f>53765+26536+8282</f>
        <v>88583</v>
      </c>
      <c r="T495" s="6"/>
      <c r="U495" s="243">
        <f t="shared" ref="U495" si="287">+S495/K495</f>
        <v>2.5275393448764564E-2</v>
      </c>
      <c r="W495">
        <f t="shared" si="215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ref="K496" si="288">SUM(E496:I496)</f>
        <v>3506286</v>
      </c>
      <c r="L496" s="6"/>
      <c r="M496" s="438">
        <f t="shared" ref="M496" si="289">+(K496-K495)/K495</f>
        <v>4.488241975876484E-4</v>
      </c>
      <c r="N496" s="29"/>
      <c r="O496" s="29"/>
      <c r="P496" s="29"/>
      <c r="Q496" s="332">
        <f t="shared" ref="Q496" si="290">+K496-K495</f>
        <v>1573</v>
      </c>
      <c r="R496" s="6"/>
      <c r="S496" s="7">
        <f>53775+8282+26539</f>
        <v>88596</v>
      </c>
      <c r="T496" s="6"/>
      <c r="U496" s="243">
        <f t="shared" ref="U496" si="291">+S496/K496</f>
        <v>2.5267761956668681E-2</v>
      </c>
      <c r="W496">
        <f t="shared" si="215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ref="K497" si="292">SUM(E497:I497)</f>
        <v>3507919</v>
      </c>
      <c r="L497" s="6"/>
      <c r="M497" s="438">
        <f t="shared" ref="M497" si="293">+(K497-K496)/K496</f>
        <v>4.6573496856788067E-4</v>
      </c>
      <c r="N497" s="29"/>
      <c r="O497" s="29"/>
      <c r="P497" s="29"/>
      <c r="Q497" s="332">
        <f t="shared" ref="Q497" si="294">+K497-K496</f>
        <v>1633</v>
      </c>
      <c r="R497" s="6"/>
      <c r="S497" s="7">
        <f>53780+26545+8282</f>
        <v>88607</v>
      </c>
      <c r="T497" s="6"/>
      <c r="U497" s="243">
        <f t="shared" ref="U497" si="295">+S497/K497</f>
        <v>2.5259135116859881E-2</v>
      </c>
      <c r="W497">
        <f t="shared" si="215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ref="K498" si="296">SUM(E498:I498)</f>
        <v>3509913</v>
      </c>
      <c r="L498" s="6"/>
      <c r="M498" s="438">
        <f t="shared" ref="M498" si="297">+(K498-K497)/K497</f>
        <v>5.6842817636325131E-4</v>
      </c>
      <c r="N498" s="29"/>
      <c r="O498" s="29"/>
      <c r="P498" s="29"/>
      <c r="Q498" s="332">
        <f t="shared" ref="Q498" si="298">+K498-K497</f>
        <v>1994</v>
      </c>
      <c r="R498" s="6"/>
      <c r="S498" s="7">
        <f>53784+26557+8282</f>
        <v>88623</v>
      </c>
      <c r="T498" s="6"/>
      <c r="U498" s="243">
        <f t="shared" ref="U498" si="299">+S498/K498</f>
        <v>2.52493437871537E-2</v>
      </c>
      <c r="W498">
        <f t="shared" si="215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ref="K499" si="300">SUM(E499:I499)</f>
        <v>3512027</v>
      </c>
      <c r="L499" s="6"/>
      <c r="M499" s="438">
        <f t="shared" ref="M499" si="301">+(K499-K498)/K498</f>
        <v>6.0229413093714856E-4</v>
      </c>
      <c r="N499" s="29"/>
      <c r="O499" s="29"/>
      <c r="P499" s="29"/>
      <c r="Q499" s="332">
        <f t="shared" ref="Q499" si="302">+K499-K498</f>
        <v>2114</v>
      </c>
      <c r="R499" s="6"/>
      <c r="S499" s="7">
        <f>53791+26562+8282</f>
        <v>88635</v>
      </c>
      <c r="T499" s="6"/>
      <c r="U499" s="243">
        <f t="shared" ref="U499" si="303">+S499/K499</f>
        <v>2.5237562239698044E-2</v>
      </c>
      <c r="W499">
        <f t="shared" si="215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ref="K500" si="304">SUM(E500:I500)</f>
        <v>3514706</v>
      </c>
      <c r="L500" s="6"/>
      <c r="M500" s="438">
        <f t="shared" ref="M500" si="305">+(K500-K499)/K499</f>
        <v>7.6280734743781864E-4</v>
      </c>
      <c r="N500" s="29"/>
      <c r="O500" s="29"/>
      <c r="P500" s="29"/>
      <c r="Q500" s="332">
        <f t="shared" ref="Q500" si="306">+K500-K499</f>
        <v>2679</v>
      </c>
      <c r="R500" s="6"/>
      <c r="S500" s="7">
        <f>53798+26564+8286</f>
        <v>88648</v>
      </c>
      <c r="T500" s="6"/>
      <c r="U500" s="243">
        <f t="shared" ref="U500" si="307">+S500/K500</f>
        <v>2.5222024260350653E-2</v>
      </c>
      <c r="W500">
        <f t="shared" si="215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ref="K501" si="308">SUM(E501:I501)</f>
        <v>3517557</v>
      </c>
      <c r="L501" s="6"/>
      <c r="M501" s="438">
        <f t="shared" ref="M501" si="309">+(K501-K500)/K500</f>
        <v>8.1116315276441326E-4</v>
      </c>
      <c r="N501" s="29"/>
      <c r="O501" s="29"/>
      <c r="P501" s="29"/>
      <c r="Q501" s="332">
        <f t="shared" ref="Q501" si="310">+K501-K500</f>
        <v>2851</v>
      </c>
      <c r="R501" s="6"/>
      <c r="S501" s="7">
        <f>53801+26568+8286</f>
        <v>88655</v>
      </c>
      <c r="T501" s="6"/>
      <c r="U501" s="243">
        <f t="shared" ref="U501" si="311">+S501/K501</f>
        <v>2.5203571683415506E-2</v>
      </c>
      <c r="W501">
        <f t="shared" si="215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ref="K502" si="312">SUM(E502:I502)</f>
        <v>3520314</v>
      </c>
      <c r="L502" s="6"/>
      <c r="M502" s="438">
        <f t="shared" ref="M502" si="313">+(K502-K501)/K501</f>
        <v>7.837826082135982E-4</v>
      </c>
      <c r="N502" s="29"/>
      <c r="O502" s="29"/>
      <c r="P502" s="29"/>
      <c r="Q502" s="332">
        <f t="shared" ref="Q502" si="314">+K502-K501</f>
        <v>2757</v>
      </c>
      <c r="R502" s="6"/>
      <c r="S502" s="7">
        <f>53804+26573+8286</f>
        <v>88663</v>
      </c>
      <c r="T502" s="6"/>
      <c r="U502" s="243">
        <f t="shared" ref="U502" si="315">+S502/K502</f>
        <v>2.5186105557629235E-2</v>
      </c>
      <c r="W502">
        <f t="shared" si="215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ref="K503" si="316">SUM(E503:I503)</f>
        <v>3521781</v>
      </c>
      <c r="L503" s="6"/>
      <c r="M503" s="438">
        <f t="shared" ref="M503" si="317">+(K503-K502)/K502</f>
        <v>4.1672418994441972E-4</v>
      </c>
      <c r="N503" s="29"/>
      <c r="O503" s="29"/>
      <c r="P503" s="29"/>
      <c r="Q503" s="332">
        <f t="shared" ref="Q503" si="318">+K503-K502</f>
        <v>1467</v>
      </c>
      <c r="R503" s="6"/>
      <c r="S503" s="7">
        <f>53813+26575+8286</f>
        <v>88674</v>
      </c>
      <c r="T503" s="6"/>
      <c r="U503" s="243">
        <f t="shared" ref="U503" si="319">+S503/K503</f>
        <v>2.5178737689822279E-2</v>
      </c>
      <c r="W503">
        <f t="shared" si="215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ref="K504" si="320">SUM(E504:I504)</f>
        <v>3525502</v>
      </c>
      <c r="L504" s="6"/>
      <c r="M504" s="438">
        <f t="shared" ref="M504" si="321">+(K504-K503)/K503</f>
        <v>1.0565676854977638E-3</v>
      </c>
      <c r="N504" s="29"/>
      <c r="O504" s="29"/>
      <c r="P504" s="29"/>
      <c r="Q504" s="332">
        <f t="shared" ref="Q504" si="322">+K504-K503</f>
        <v>3721</v>
      </c>
      <c r="R504" s="6"/>
      <c r="S504" s="7">
        <f>53610+26579+8288</f>
        <v>88477</v>
      </c>
      <c r="T504" s="6"/>
      <c r="U504" s="243">
        <f t="shared" ref="U504" si="323">+S504/K504</f>
        <v>2.5096284160383401E-2</v>
      </c>
      <c r="W504">
        <f t="shared" si="215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" si="324">SUM(E505:I505)</f>
        <v>3528399</v>
      </c>
      <c r="L505" s="6"/>
      <c r="M505" s="438">
        <f t="shared" ref="M505" si="325">+(K505-K504)/K504</f>
        <v>8.2172694838919395E-4</v>
      </c>
      <c r="N505" s="29"/>
      <c r="O505" s="29"/>
      <c r="P505" s="29"/>
      <c r="Q505" s="332">
        <f t="shared" ref="Q505" si="326">+K505-K504</f>
        <v>2897</v>
      </c>
      <c r="R505" s="6"/>
      <c r="S505" s="7">
        <f>53611+26586+8288</f>
        <v>88485</v>
      </c>
      <c r="T505" s="6"/>
      <c r="U505" s="243">
        <f t="shared" ref="U505" si="327">+S505/K505</f>
        <v>2.5077946116638168E-2</v>
      </c>
      <c r="W505">
        <f t="shared" si="215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ref="K506" si="328">SUM(E506:I506)</f>
        <v>3531612</v>
      </c>
      <c r="L506" s="6"/>
      <c r="M506" s="438">
        <f t="shared" ref="M506" si="329">+(K506-K505)/K505</f>
        <v>9.1061129991250995E-4</v>
      </c>
      <c r="N506" s="29"/>
      <c r="O506" s="29"/>
      <c r="P506" s="29"/>
      <c r="Q506" s="332">
        <f t="shared" ref="Q506" si="330">+K506-K505</f>
        <v>3213</v>
      </c>
      <c r="R506" s="6"/>
      <c r="S506" s="7">
        <f>53623+26589+8288</f>
        <v>88500</v>
      </c>
      <c r="T506" s="6"/>
      <c r="U506" s="243">
        <f t="shared" ref="U506" si="331">+S506/K506</f>
        <v>2.5059377983764921E-2</v>
      </c>
      <c r="W506">
        <f t="shared" si="215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ref="K507" si="332">SUM(E507:I507)</f>
        <v>3535637</v>
      </c>
      <c r="L507" s="6"/>
      <c r="M507" s="438">
        <f t="shared" ref="M507" si="333">+(K507-K506)/K506</f>
        <v>1.1397061738378962E-3</v>
      </c>
      <c r="N507" s="29"/>
      <c r="O507" s="29"/>
      <c r="P507" s="29"/>
      <c r="Q507" s="332">
        <f t="shared" ref="Q507" si="334">+K507-K506</f>
        <v>4025</v>
      </c>
      <c r="R507" s="6"/>
      <c r="S507" s="7">
        <f>53625+26590+8293</f>
        <v>88508</v>
      </c>
      <c r="T507" s="6"/>
      <c r="U507" s="243">
        <f t="shared" ref="U507" si="335">+S507/K507</f>
        <v>2.5033112845012088E-2</v>
      </c>
      <c r="W507">
        <f t="shared" si="215"/>
        <v>497</v>
      </c>
      <c r="Y507" s="56"/>
    </row>
    <row r="508" spans="3:25" x14ac:dyDescent="0.3">
      <c r="C508" s="157">
        <f t="shared" ref="C508:C527" si="336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ref="K508" si="337">SUM(E508:I508)</f>
        <v>3539824</v>
      </c>
      <c r="L508" s="6"/>
      <c r="M508" s="438">
        <f t="shared" ref="M508" si="338">+(K508-K507)/K507</f>
        <v>1.1842279057493741E-3</v>
      </c>
      <c r="N508" s="29"/>
      <c r="O508" s="29"/>
      <c r="P508" s="29"/>
      <c r="Q508" s="332">
        <f t="shared" ref="Q508" si="339">+K508-K507</f>
        <v>4187</v>
      </c>
      <c r="R508" s="6"/>
      <c r="S508" s="7">
        <f>53632+26595+8293</f>
        <v>88520</v>
      </c>
      <c r="T508" s="6"/>
      <c r="U508" s="243">
        <f t="shared" ref="U508" si="340">+S508/K508</f>
        <v>2.5006892998069959E-2</v>
      </c>
      <c r="W508">
        <f t="shared" si="215"/>
        <v>498</v>
      </c>
      <c r="Y508" s="56"/>
    </row>
    <row r="509" spans="3:25" x14ac:dyDescent="0.3">
      <c r="C509" s="157">
        <f t="shared" si="336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ref="K509" si="341">SUM(E509:I509)</f>
        <v>3544078</v>
      </c>
      <c r="L509" s="6"/>
      <c r="M509" s="438">
        <f t="shared" ref="M509" si="342">+(K509-K508)/K508</f>
        <v>1.2017546635086941E-3</v>
      </c>
      <c r="N509" s="29"/>
      <c r="O509" s="29"/>
      <c r="P509" s="29"/>
      <c r="Q509" s="332">
        <f t="shared" ref="Q509" si="343">+K509-K508</f>
        <v>4254</v>
      </c>
      <c r="R509" s="6"/>
      <c r="S509" s="7">
        <f>53641+26602+8293</f>
        <v>88536</v>
      </c>
      <c r="T509" s="6"/>
      <c r="U509" s="243">
        <f t="shared" ref="U509" si="344">+S509/K509</f>
        <v>2.498139149307662E-2</v>
      </c>
      <c r="W509">
        <f t="shared" si="215"/>
        <v>499</v>
      </c>
      <c r="Y509" s="56"/>
    </row>
    <row r="510" spans="3:25" x14ac:dyDescent="0.3">
      <c r="C510" s="157">
        <f t="shared" si="336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ref="K510" si="345">SUM(E510:I510)</f>
        <v>3547580</v>
      </c>
      <c r="L510" s="6"/>
      <c r="M510" s="438">
        <f t="shared" ref="M510" si="346">+(K510-K509)/K509</f>
        <v>9.8812723647730095E-4</v>
      </c>
      <c r="N510" s="29"/>
      <c r="O510" s="29"/>
      <c r="P510" s="29"/>
      <c r="Q510" s="332">
        <f t="shared" ref="Q510" si="347">+K510-K509</f>
        <v>3502</v>
      </c>
      <c r="R510" s="6"/>
      <c r="S510" s="7">
        <f>53650+26607+8293</f>
        <v>88550</v>
      </c>
      <c r="T510" s="6"/>
      <c r="U510" s="243">
        <f t="shared" ref="U510" si="348">+S510/K510</f>
        <v>2.4960677419536698E-2</v>
      </c>
      <c r="W510">
        <f t="shared" si="215"/>
        <v>500</v>
      </c>
      <c r="Y510" s="56"/>
    </row>
    <row r="511" spans="3:25" x14ac:dyDescent="0.3">
      <c r="C511" s="157">
        <f t="shared" si="336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ref="K511" si="349">SUM(E511:I511)</f>
        <v>3552095</v>
      </c>
      <c r="L511" s="6"/>
      <c r="M511" s="438">
        <f t="shared" ref="M511" si="350">+(K511-K510)/K510</f>
        <v>1.2726985719842823E-3</v>
      </c>
      <c r="N511" s="29"/>
      <c r="O511" s="29"/>
      <c r="P511" s="29"/>
      <c r="Q511" s="332">
        <f t="shared" ref="Q511" si="351">+K511-K510</f>
        <v>4515</v>
      </c>
      <c r="R511" s="6"/>
      <c r="S511" s="7">
        <f>53657+26606+8293</f>
        <v>88556</v>
      </c>
      <c r="T511" s="6"/>
      <c r="U511" s="243">
        <f t="shared" ref="U511" si="352">+S511/K511</f>
        <v>2.4930639523999217E-2</v>
      </c>
      <c r="W511">
        <f t="shared" si="215"/>
        <v>501</v>
      </c>
      <c r="Y511" s="56"/>
    </row>
    <row r="512" spans="3:25" x14ac:dyDescent="0.3">
      <c r="C512" s="157">
        <f t="shared" si="336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ref="K512" si="353">SUM(E512:I512)</f>
        <v>3557024</v>
      </c>
      <c r="L512" s="6"/>
      <c r="M512" s="438">
        <f t="shared" ref="M512" si="354">+(K512-K511)/K511</f>
        <v>1.3876318060187017E-3</v>
      </c>
      <c r="N512" s="29"/>
      <c r="O512" s="29"/>
      <c r="P512" s="29"/>
      <c r="Q512" s="332">
        <f t="shared" ref="Q512" si="355">+K512-K511</f>
        <v>4929</v>
      </c>
      <c r="R512" s="6"/>
      <c r="S512" s="7">
        <f>53670+26614+8292</f>
        <v>88576</v>
      </c>
      <c r="T512" s="6"/>
      <c r="U512" s="243">
        <f t="shared" ref="U512" si="356">+S512/K512</f>
        <v>2.4901715591460725E-2</v>
      </c>
      <c r="W512">
        <f t="shared" si="215"/>
        <v>502</v>
      </c>
      <c r="Y512" s="56"/>
    </row>
    <row r="513" spans="3:25" x14ac:dyDescent="0.3">
      <c r="C513" s="157">
        <f t="shared" si="336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ref="K513" si="357">SUM(E513:I513)</f>
        <v>3561717</v>
      </c>
      <c r="L513" s="6"/>
      <c r="M513" s="438">
        <f t="shared" ref="M513" si="358">+(K513-K512)/K512</f>
        <v>1.3193613537608967E-3</v>
      </c>
      <c r="N513" s="29"/>
      <c r="O513" s="29"/>
      <c r="P513" s="29"/>
      <c r="Q513" s="332">
        <f t="shared" ref="Q513" si="359">+K513-K512</f>
        <v>4693</v>
      </c>
      <c r="R513" s="6"/>
      <c r="S513" s="7">
        <f>53676+26625+8292</f>
        <v>88593</v>
      </c>
      <c r="T513" s="6"/>
      <c r="U513" s="243">
        <f t="shared" ref="U513" si="360">+S513/K513</f>
        <v>2.487367749880184E-2</v>
      </c>
      <c r="W513">
        <f t="shared" si="215"/>
        <v>503</v>
      </c>
      <c r="Y513" s="56"/>
    </row>
    <row r="514" spans="3:25" x14ac:dyDescent="0.3">
      <c r="C514" s="157">
        <f t="shared" si="336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ref="K514" si="361">SUM(E514:I514)</f>
        <v>3567363</v>
      </c>
      <c r="L514" s="6"/>
      <c r="M514" s="438">
        <f t="shared" ref="M514" si="362">+(K514-K513)/K513</f>
        <v>1.5851905134517986E-3</v>
      </c>
      <c r="N514" s="29"/>
      <c r="O514" s="29"/>
      <c r="P514" s="29"/>
      <c r="Q514" s="332">
        <f t="shared" ref="Q514" si="363">+K514-K513</f>
        <v>5646</v>
      </c>
      <c r="R514" s="6"/>
      <c r="S514" s="7">
        <f>53691+26629+8296</f>
        <v>88616</v>
      </c>
      <c r="T514" s="6"/>
      <c r="U514" s="243">
        <f t="shared" ref="U514" si="364">+S514/K514</f>
        <v>2.4840757724963788E-2</v>
      </c>
      <c r="W514">
        <f t="shared" si="215"/>
        <v>504</v>
      </c>
      <c r="Y514" s="56"/>
    </row>
    <row r="515" spans="3:25" x14ac:dyDescent="0.3">
      <c r="C515" s="157">
        <f t="shared" si="336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ref="K515" si="365">SUM(E515:I515)</f>
        <v>3573179</v>
      </c>
      <c r="L515" s="6"/>
      <c r="M515" s="438">
        <f t="shared" ref="M515" si="366">+(K515-K514)/K514</f>
        <v>1.6303359091855805E-3</v>
      </c>
      <c r="N515" s="29"/>
      <c r="O515" s="29"/>
      <c r="P515" s="29"/>
      <c r="Q515" s="332">
        <f t="shared" ref="Q515" si="367">+K515-K514</f>
        <v>5816</v>
      </c>
      <c r="R515" s="6"/>
      <c r="S515" s="7">
        <f>53694+26636+8296</f>
        <v>88626</v>
      </c>
      <c r="T515" s="6"/>
      <c r="U515" s="243">
        <f t="shared" ref="U515" si="368">+S515/K515</f>
        <v>2.4803123493113557E-2</v>
      </c>
      <c r="W515">
        <f t="shared" si="215"/>
        <v>505</v>
      </c>
      <c r="Y515" s="56"/>
    </row>
    <row r="516" spans="3:25" x14ac:dyDescent="0.3">
      <c r="C516" s="157">
        <f t="shared" si="336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ref="K516" si="369">SUM(E516:I516)</f>
        <v>3579209</v>
      </c>
      <c r="L516" s="6"/>
      <c r="M516" s="438">
        <f t="shared" ref="M516" si="370">+(K516-K515)/K515</f>
        <v>1.687572886776733E-3</v>
      </c>
      <c r="N516" s="29"/>
      <c r="O516" s="29"/>
      <c r="P516" s="29"/>
      <c r="Q516" s="332">
        <f t="shared" ref="Q516" si="371">+K516-K515</f>
        <v>6030</v>
      </c>
      <c r="R516" s="6"/>
      <c r="S516" s="7">
        <f>53729+26645+8296</f>
        <v>88670</v>
      </c>
      <c r="T516" s="6"/>
      <c r="U516" s="243">
        <f t="shared" ref="U516" si="372">+S516/K516</f>
        <v>2.4773630151242915E-2</v>
      </c>
      <c r="W516">
        <f t="shared" si="215"/>
        <v>506</v>
      </c>
      <c r="Y516" s="56"/>
    </row>
    <row r="517" spans="3:25" x14ac:dyDescent="0.3">
      <c r="C517" s="157">
        <f t="shared" si="336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ref="K517" si="373">SUM(E517:I517)</f>
        <v>3583956</v>
      </c>
      <c r="L517" s="6"/>
      <c r="M517" s="438">
        <f t="shared" ref="M517" si="374">+(K517-K516)/K516</f>
        <v>1.3262706927703858E-3</v>
      </c>
      <c r="N517" s="29"/>
      <c r="O517" s="29"/>
      <c r="P517" s="29"/>
      <c r="Q517" s="332">
        <f t="shared" ref="Q517" si="375">+K517-K516</f>
        <v>4747</v>
      </c>
      <c r="R517" s="6"/>
      <c r="S517" s="7">
        <f>53744+26650+8296</f>
        <v>88690</v>
      </c>
      <c r="T517" s="6"/>
      <c r="U517" s="243">
        <f t="shared" ref="U517" si="376">+S517/K517</f>
        <v>2.4746397556219997E-2</v>
      </c>
      <c r="W517">
        <f t="shared" si="215"/>
        <v>507</v>
      </c>
      <c r="Y517" s="56"/>
    </row>
    <row r="518" spans="3:25" x14ac:dyDescent="0.3">
      <c r="C518" s="157">
        <f t="shared" si="336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ref="K518" si="377">SUM(E518:I518)</f>
        <v>3588170</v>
      </c>
      <c r="L518" s="6"/>
      <c r="M518" s="438">
        <f t="shared" ref="M518" si="378">+(K518-K517)/K517</f>
        <v>1.1757956849916685E-3</v>
      </c>
      <c r="N518" s="29"/>
      <c r="O518" s="29"/>
      <c r="P518" s="29"/>
      <c r="Q518" s="332">
        <f t="shared" ref="Q518" si="379">+K518-K517</f>
        <v>4214</v>
      </c>
      <c r="R518" s="6"/>
      <c r="S518" s="7">
        <f>53750+26650+8296</f>
        <v>88696</v>
      </c>
      <c r="T518" s="6"/>
      <c r="U518" s="243">
        <f t="shared" ref="U518" si="380">+S518/K518</f>
        <v>2.4719007181933966E-2</v>
      </c>
      <c r="W518">
        <f t="shared" si="215"/>
        <v>508</v>
      </c>
      <c r="Y518" s="56"/>
    </row>
    <row r="519" spans="3:25" x14ac:dyDescent="0.3">
      <c r="C519" s="157">
        <f t="shared" si="336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ref="K519:K520" si="381">SUM(E519:I519)</f>
        <v>3592046</v>
      </c>
      <c r="L519" s="6"/>
      <c r="M519" s="438">
        <f t="shared" ref="M519" si="382">+(K519-K518)/K518</f>
        <v>1.0802163777078567E-3</v>
      </c>
      <c r="N519" s="29"/>
      <c r="O519" s="29"/>
      <c r="P519" s="29"/>
      <c r="Q519" s="332">
        <f t="shared" ref="Q519" si="383">+K519-K518</f>
        <v>3876</v>
      </c>
      <c r="R519" s="6"/>
      <c r="S519" s="7">
        <f>53758+26659+8297</f>
        <v>88714</v>
      </c>
      <c r="T519" s="6"/>
      <c r="U519" s="243">
        <f t="shared" ref="U519" si="384">+S519/K519</f>
        <v>2.4697345189900129E-2</v>
      </c>
      <c r="W519">
        <f t="shared" si="215"/>
        <v>509</v>
      </c>
      <c r="Y519" s="56"/>
    </row>
    <row r="520" spans="3:25" x14ac:dyDescent="0.3">
      <c r="C520" s="157">
        <f t="shared" si="336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381"/>
        <v>3601299</v>
      </c>
      <c r="L520" s="6"/>
      <c r="M520" s="438">
        <f t="shared" ref="M520" si="385">+(K520-K519)/K519</f>
        <v>2.5759692387012862E-3</v>
      </c>
      <c r="N520" s="29"/>
      <c r="O520" s="29"/>
      <c r="P520" s="29"/>
      <c r="Q520" s="332">
        <f t="shared" ref="Q520" si="386">+K520-K519</f>
        <v>9253</v>
      </c>
      <c r="R520" s="6"/>
      <c r="S520" s="7">
        <f>53797+26665+8297</f>
        <v>88759</v>
      </c>
      <c r="T520" s="6"/>
      <c r="U520" s="243">
        <f t="shared" ref="U520" si="387">+S520/K520</f>
        <v>2.4646384540689344E-2</v>
      </c>
      <c r="W520">
        <f t="shared" si="215"/>
        <v>510</v>
      </c>
      <c r="Y520" s="56"/>
    </row>
    <row r="521" spans="3:25" x14ac:dyDescent="0.3">
      <c r="C521" s="157">
        <f t="shared" si="336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ref="K521" si="388">SUM(E521:I521)</f>
        <v>3608770</v>
      </c>
      <c r="L521" s="6"/>
      <c r="M521" s="438">
        <f t="shared" ref="M521" si="389">+(K521-K520)/K520</f>
        <v>2.0745292184847744E-3</v>
      </c>
      <c r="N521" s="29"/>
      <c r="O521" s="29"/>
      <c r="P521" s="29"/>
      <c r="Q521" s="332">
        <f t="shared" ref="Q521" si="390">+K521-K520</f>
        <v>7471</v>
      </c>
      <c r="R521" s="6"/>
      <c r="S521" s="7">
        <f>53828+26672+8307</f>
        <v>88807</v>
      </c>
      <c r="T521" s="6"/>
      <c r="U521" s="243">
        <f t="shared" ref="U521" si="391">+S521/K521</f>
        <v>2.4608661676970268E-2</v>
      </c>
      <c r="W521">
        <f t="shared" si="215"/>
        <v>511</v>
      </c>
      <c r="Y521" s="56"/>
    </row>
    <row r="522" spans="3:25" x14ac:dyDescent="0.3">
      <c r="C522" s="157">
        <f t="shared" si="336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ref="K522" si="392">SUM(E522:I522)</f>
        <v>3615798</v>
      </c>
      <c r="L522" s="6"/>
      <c r="M522" s="438">
        <f t="shared" ref="M522" si="393">+(K522-K521)/K521</f>
        <v>1.9474779495506779E-3</v>
      </c>
      <c r="N522" s="29"/>
      <c r="O522" s="29"/>
      <c r="P522" s="29"/>
      <c r="Q522" s="332">
        <f t="shared" ref="Q522" si="394">+K522-K521</f>
        <v>7028</v>
      </c>
      <c r="R522" s="6"/>
      <c r="S522" s="7">
        <f>53840+26681+8307</f>
        <v>88828</v>
      </c>
      <c r="T522" s="6"/>
      <c r="U522" s="243">
        <f t="shared" ref="U522" si="395">+S522/K522</f>
        <v>2.4566637848685131E-2</v>
      </c>
      <c r="W522">
        <f t="shared" si="215"/>
        <v>512</v>
      </c>
      <c r="Y522" s="56"/>
    </row>
    <row r="523" spans="3:25" x14ac:dyDescent="0.3">
      <c r="C523" s="157">
        <f t="shared" si="336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ref="K523" si="396">SUM(E523:I523)</f>
        <v>3622964</v>
      </c>
      <c r="L523" s="6"/>
      <c r="M523" s="438">
        <f t="shared" ref="M523" si="397">+(K523-K522)/K522</f>
        <v>1.9818584998387632E-3</v>
      </c>
      <c r="N523" s="29"/>
      <c r="O523" s="29"/>
      <c r="P523" s="29"/>
      <c r="Q523" s="332">
        <f t="shared" ref="Q523" si="398">+K523-K522</f>
        <v>7166</v>
      </c>
      <c r="R523" s="6"/>
      <c r="S523" s="7">
        <f>53855+26692+8307</f>
        <v>88854</v>
      </c>
      <c r="T523" s="6"/>
      <c r="U523" s="243">
        <f t="shared" ref="U523" si="399">+S523/K523</f>
        <v>2.4525222994211369E-2</v>
      </c>
      <c r="W523">
        <f t="shared" si="215"/>
        <v>513</v>
      </c>
      <c r="Y523" s="56"/>
    </row>
    <row r="524" spans="3:25" x14ac:dyDescent="0.3">
      <c r="C524" s="157">
        <f t="shared" si="336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ref="K524" si="400">SUM(E524:I524)</f>
        <v>3624293</v>
      </c>
      <c r="L524" s="6"/>
      <c r="M524" s="438">
        <f t="shared" ref="M524" si="401">+(K524-K523)/K523</f>
        <v>3.668267197797163E-4</v>
      </c>
      <c r="N524" s="29"/>
      <c r="O524" s="29"/>
      <c r="P524" s="29"/>
      <c r="Q524" s="332">
        <f t="shared" ref="Q524" si="402">+K524-K523</f>
        <v>1329</v>
      </c>
      <c r="R524" s="6"/>
      <c r="S524" s="7">
        <f>54067+26695+8307</f>
        <v>89069</v>
      </c>
      <c r="T524" s="6"/>
      <c r="U524" s="243">
        <f t="shared" ref="U524" si="403">+S524/K524</f>
        <v>2.457555170070411E-2</v>
      </c>
      <c r="W524">
        <f t="shared" si="215"/>
        <v>514</v>
      </c>
      <c r="Y524" s="56"/>
    </row>
    <row r="525" spans="3:25" x14ac:dyDescent="0.3">
      <c r="C525" s="157">
        <f t="shared" si="336"/>
        <v>44424</v>
      </c>
      <c r="E525" s="241"/>
      <c r="F525" s="7"/>
      <c r="G525" s="7"/>
      <c r="H525" s="7"/>
      <c r="I525" s="7"/>
      <c r="J525" s="244"/>
      <c r="K525" s="7"/>
      <c r="L525" s="6"/>
      <c r="M525" s="438"/>
      <c r="N525" s="29"/>
      <c r="O525" s="29"/>
      <c r="P525" s="29"/>
      <c r="Q525" s="332"/>
      <c r="R525" s="6"/>
      <c r="S525" s="7"/>
      <c r="T525" s="6"/>
      <c r="U525" s="243"/>
      <c r="Y525" s="56"/>
    </row>
    <row r="526" spans="3:25" x14ac:dyDescent="0.3">
      <c r="C526" s="157">
        <f t="shared" si="336"/>
        <v>44425</v>
      </c>
      <c r="E526" s="241"/>
      <c r="F526" s="7"/>
      <c r="G526" s="7"/>
      <c r="H526" s="7"/>
      <c r="I526" s="7"/>
      <c r="J526" s="244"/>
      <c r="K526" s="7"/>
      <c r="L526" s="6"/>
      <c r="M526" s="438"/>
      <c r="N526" s="29"/>
      <c r="O526" s="29"/>
      <c r="P526" s="29"/>
      <c r="Q526" s="332"/>
      <c r="R526" s="6"/>
      <c r="S526" s="7"/>
      <c r="T526" s="6"/>
      <c r="U526" s="243"/>
      <c r="Y526" s="56"/>
    </row>
    <row r="527" spans="3:25" ht="15" thickBot="1" x14ac:dyDescent="0.35">
      <c r="C527" s="157">
        <f t="shared" si="336"/>
        <v>44426</v>
      </c>
      <c r="E527" s="245"/>
      <c r="F527" s="246"/>
      <c r="G527" s="246"/>
      <c r="H527" s="246"/>
      <c r="I527" s="246"/>
      <c r="J527" s="246"/>
      <c r="K527" s="246"/>
      <c r="L527" s="247"/>
      <c r="M527" s="248"/>
      <c r="N527" s="248"/>
      <c r="O527" s="248"/>
      <c r="P527" s="248"/>
      <c r="Q527" s="331"/>
      <c r="R527" s="247"/>
      <c r="S527" s="247"/>
      <c r="T527" s="247"/>
      <c r="U527" s="249"/>
      <c r="W527">
        <f>+W405+1</f>
        <v>396</v>
      </c>
      <c r="Y527" s="59"/>
    </row>
    <row r="528" spans="3:25" x14ac:dyDescent="0.3">
      <c r="E528" s="56"/>
      <c r="F528" s="1"/>
      <c r="G528" s="56"/>
      <c r="H528" s="56"/>
      <c r="I528" s="56"/>
      <c r="J528" s="1"/>
      <c r="K528" s="56"/>
      <c r="S528" s="56"/>
    </row>
    <row r="529" spans="3:41" x14ac:dyDescent="0.3">
      <c r="C529" s="166" t="s">
        <v>73</v>
      </c>
      <c r="E529" s="56">
        <f>+E524</f>
        <v>2201523</v>
      </c>
      <c r="F529" s="56"/>
      <c r="G529" s="56">
        <f t="shared" ref="G529:U529" si="404">+G524</f>
        <v>1060934</v>
      </c>
      <c r="H529" s="56">
        <f t="shared" si="404"/>
        <v>0</v>
      </c>
      <c r="I529" s="56">
        <f t="shared" si="404"/>
        <v>361836</v>
      </c>
      <c r="J529" s="56">
        <f t="shared" si="404"/>
        <v>0</v>
      </c>
      <c r="K529" s="56">
        <f t="shared" si="404"/>
        <v>3624293</v>
      </c>
      <c r="L529" s="56">
        <f t="shared" si="404"/>
        <v>0</v>
      </c>
      <c r="M529" s="56">
        <f t="shared" si="404"/>
        <v>3.668267197797163E-4</v>
      </c>
      <c r="N529" s="56">
        <f t="shared" si="404"/>
        <v>0</v>
      </c>
      <c r="O529" s="56">
        <f t="shared" si="404"/>
        <v>0</v>
      </c>
      <c r="P529" s="56">
        <f t="shared" si="404"/>
        <v>0</v>
      </c>
      <c r="Q529" s="56">
        <f t="shared" si="404"/>
        <v>1329</v>
      </c>
      <c r="R529" s="56">
        <f t="shared" si="404"/>
        <v>0</v>
      </c>
      <c r="S529" s="56">
        <f t="shared" si="404"/>
        <v>89069</v>
      </c>
      <c r="T529" s="56">
        <f t="shared" si="404"/>
        <v>0</v>
      </c>
      <c r="U529" s="56">
        <f t="shared" si="404"/>
        <v>2.457555170070411E-2</v>
      </c>
      <c r="V529" s="56">
        <f>+V259</f>
        <v>0</v>
      </c>
    </row>
    <row r="530" spans="3:41" x14ac:dyDescent="0.3">
      <c r="E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</row>
    <row r="531" spans="3:41" x14ac:dyDescent="0.3">
      <c r="E531" s="59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</row>
    <row r="532" spans="3:41" x14ac:dyDescent="0.3">
      <c r="C532" s="111"/>
      <c r="D532" s="112"/>
      <c r="E532" s="349"/>
      <c r="F532" s="10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</row>
    <row r="533" spans="3:41" x14ac:dyDescent="0.3">
      <c r="E533" s="56"/>
      <c r="K533" s="56"/>
      <c r="Q533" s="56"/>
    </row>
    <row r="534" spans="3:41" x14ac:dyDescent="0.3">
      <c r="D534" s="549" t="s">
        <v>26</v>
      </c>
      <c r="E534" t="s">
        <v>158</v>
      </c>
      <c r="K534" s="549"/>
      <c r="Q534" s="56"/>
      <c r="S534" s="59"/>
    </row>
    <row r="536" spans="3:41" x14ac:dyDescent="0.3">
      <c r="U536" s="549"/>
    </row>
    <row r="537" spans="3:41" x14ac:dyDescent="0.3">
      <c r="AO537" s="1">
        <v>3797000</v>
      </c>
    </row>
    <row r="538" spans="3:41" x14ac:dyDescent="0.3">
      <c r="C538" s="1"/>
    </row>
    <row r="539" spans="3:41" x14ac:dyDescent="0.3">
      <c r="C539" s="1"/>
      <c r="AO539" s="1">
        <v>30000</v>
      </c>
    </row>
    <row r="540" spans="3:41" x14ac:dyDescent="0.3">
      <c r="C540" s="59"/>
    </row>
    <row r="541" spans="3:41" x14ac:dyDescent="0.3">
      <c r="AO541" s="235">
        <f>+AO539/AO537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518"/>
  <sheetViews>
    <sheetView topLeftCell="A453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7" t="s">
        <v>101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2.1734879714812524E-2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0" t="s">
        <v>91</v>
      </c>
      <c r="F15" s="710"/>
      <c r="G15" s="710"/>
      <c r="H15" s="710"/>
      <c r="I15" s="71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6" t="s">
        <v>44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9" t="s">
        <v>67</v>
      </c>
      <c r="F19" s="719"/>
      <c r="G19" s="719"/>
      <c r="H19" s="719"/>
      <c r="I19" s="134" t="s">
        <v>66</v>
      </c>
      <c r="J19" s="135"/>
      <c r="K19" s="724" t="s">
        <v>64</v>
      </c>
      <c r="L19" s="72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Table'!$H$515</f>
        <v>35736933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Table'!AA531</f>
        <v>619481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20044</v>
      </c>
      <c r="J22" s="116"/>
      <c r="K22" s="127"/>
      <c r="L22" s="238">
        <v>20061</v>
      </c>
      <c r="M22" s="127"/>
      <c r="N22" s="147">
        <f>+(I22-L22)/I22</f>
        <v>-8.4813410496906801E-4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35097408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Table'!AP531</f>
        <v>30153576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0" t="s">
        <v>47</v>
      </c>
      <c r="E25" s="721"/>
      <c r="F25" s="721"/>
      <c r="G25" s="721"/>
      <c r="H25" s="721"/>
      <c r="I25" s="119">
        <f>+I23-I24</f>
        <v>4943832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30153576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0" t="s">
        <v>44</v>
      </c>
      <c r="E27" s="721"/>
      <c r="F27" s="721"/>
      <c r="G27" s="721"/>
      <c r="H27" s="721"/>
      <c r="I27" s="136">
        <f>+I25+I26</f>
        <v>35097408</v>
      </c>
      <c r="J27" s="116"/>
      <c r="K27" s="725">
        <v>35028563</v>
      </c>
      <c r="L27" s="725"/>
      <c r="M27" s="127"/>
      <c r="N27" s="137">
        <f>+I27-K27</f>
        <v>68845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2" t="s">
        <v>61</v>
      </c>
      <c r="F28" s="722"/>
      <c r="G28" s="722"/>
      <c r="H28" s="124"/>
      <c r="I28" s="232">
        <f>+I27/I32</f>
        <v>0.96129789072106198</v>
      </c>
      <c r="J28" s="127"/>
      <c r="K28" s="127"/>
      <c r="L28" s="127"/>
      <c r="M28" s="98"/>
      <c r="N28" s="463">
        <f>+N27/K27</f>
        <v>1.9653960683457096E-3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1" t="s">
        <v>101</v>
      </c>
      <c r="F31" s="702"/>
      <c r="G31" s="702"/>
      <c r="H31" s="702"/>
      <c r="I31" s="702"/>
      <c r="J31" s="70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6">
        <f>+'Main Table'!H531</f>
        <v>36510439</v>
      </c>
      <c r="J32" s="69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7">
        <f>+I27</f>
        <v>35097408</v>
      </c>
      <c r="J34" s="698"/>
      <c r="K34" s="22"/>
      <c r="L34" s="25">
        <f>+I34/$I$32</f>
        <v>0.96129789072106198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4">
        <f>+I21</f>
        <v>619481</v>
      </c>
      <c r="J35" s="705"/>
      <c r="K35" s="22"/>
      <c r="L35" s="25">
        <f>+I35/$I$32</f>
        <v>1.6967229564125483E-2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23" t="s">
        <v>101</v>
      </c>
      <c r="F36" s="723"/>
      <c r="G36" s="723"/>
      <c r="H36" s="233"/>
      <c r="I36" s="699">
        <f>+I32-I34-I35</f>
        <v>793550</v>
      </c>
      <c r="J36" s="700"/>
      <c r="K36" s="259"/>
      <c r="L36" s="234">
        <f>+I36/$I$32</f>
        <v>2.1734879714812524E-2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1" t="s">
        <v>114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4" t="s">
        <v>67</v>
      </c>
      <c r="F42" s="714"/>
      <c r="G42" s="714"/>
      <c r="H42" s="714"/>
      <c r="I42" s="260" t="s">
        <v>66</v>
      </c>
      <c r="J42" s="261"/>
      <c r="K42" s="715" t="s">
        <v>35</v>
      </c>
      <c r="L42" s="71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Table'!AP549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0" t="s">
        <v>47</v>
      </c>
      <c r="E48" s="681"/>
      <c r="F48" s="681"/>
      <c r="G48" s="681"/>
      <c r="H48" s="68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0" t="s">
        <v>44</v>
      </c>
      <c r="E50" s="681"/>
      <c r="F50" s="681"/>
      <c r="G50" s="681"/>
      <c r="H50" s="681"/>
      <c r="I50" s="340">
        <f>+I48+I49</f>
        <v>22172</v>
      </c>
      <c r="J50" s="336"/>
      <c r="K50" s="682">
        <v>30167</v>
      </c>
      <c r="L50" s="68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83" t="s">
        <v>61</v>
      </c>
      <c r="F51" s="683"/>
      <c r="G51" s="68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4" t="s">
        <v>115</v>
      </c>
      <c r="F54" s="685"/>
      <c r="G54" s="685"/>
      <c r="H54" s="685"/>
      <c r="I54" s="685"/>
      <c r="J54" s="68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7">
        <f>+K50</f>
        <v>30167</v>
      </c>
      <c r="J55" s="687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8">
        <f>+I50</f>
        <v>22172</v>
      </c>
      <c r="J57" s="689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0">
        <f>+I44</f>
        <v>1836</v>
      </c>
      <c r="J58" s="691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2" t="s">
        <v>101</v>
      </c>
      <c r="F59" s="692"/>
      <c r="G59" s="692"/>
      <c r="H59" s="267"/>
      <c r="I59" s="693">
        <f>+I55-I57-I58</f>
        <v>6159</v>
      </c>
      <c r="J59" s="694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5">
        <f>+I45</f>
        <v>1397</v>
      </c>
      <c r="J60" s="695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93">
        <f>+I59-I60</f>
        <v>4762</v>
      </c>
      <c r="J61" s="693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4" t="s">
        <v>104</v>
      </c>
      <c r="F64" s="685"/>
      <c r="G64" s="685"/>
      <c r="H64" s="685"/>
      <c r="I64" s="685"/>
      <c r="J64" s="685"/>
      <c r="K64" s="685"/>
      <c r="L64" s="685"/>
      <c r="M64" s="68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9">
        <v>11690000</v>
      </c>
      <c r="J65" s="679"/>
      <c r="K65" s="679"/>
      <c r="L65" s="67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6" t="s">
        <v>95</v>
      </c>
      <c r="G67" s="70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4" t="s">
        <v>118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7" t="s">
        <v>67</v>
      </c>
      <c r="F73" s="657"/>
      <c r="G73" s="657"/>
      <c r="H73" s="657"/>
      <c r="I73" s="355" t="s">
        <v>66</v>
      </c>
      <c r="J73" s="356"/>
      <c r="K73" s="658" t="s">
        <v>35</v>
      </c>
      <c r="L73" s="65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Table'!AP590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9" t="s">
        <v>47</v>
      </c>
      <c r="E79" s="660"/>
      <c r="F79" s="660"/>
      <c r="G79" s="660"/>
      <c r="H79" s="66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9" t="s">
        <v>44</v>
      </c>
      <c r="E81" s="660"/>
      <c r="F81" s="660"/>
      <c r="G81" s="660"/>
      <c r="H81" s="660"/>
      <c r="I81" s="370">
        <f>+I79+I80</f>
        <v>36684</v>
      </c>
      <c r="J81" s="363"/>
      <c r="K81" s="662">
        <v>48675</v>
      </c>
      <c r="L81" s="66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1" t="s">
        <v>61</v>
      </c>
      <c r="F82" s="661"/>
      <c r="G82" s="66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2.1734879714812524E-2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2.1734879714812524E-2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2.1734879714812524E-2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2.1734879714812524E-2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ref="AA437" si="64">+W436-W437</f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ref="AA438" si="65">+W437-W438</f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ref="AA439" si="66">+W438-W439</f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ref="AA440" si="67">+W439-W440</f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ref="AA441" si="68">+W440-W441</f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ref="AA442" si="69">+W441-W442</f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ref="AA443" si="70">+W442-W443</f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ref="AA444" si="71">+W443-W444</f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ref="AA445" si="72">+W444-W445</f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ref="AA446" si="73">+W445-W446</f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ref="AA447" si="74">+W446-W447</f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ref="AA448" si="75">+W447-W448</f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ref="AA449" si="76">+W448-W449</f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ref="AA450" si="77">+W449-W450</f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ref="AA451" si="78">+W450-W451</f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ref="AA452" si="79">+W451-W452</f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ref="AA453" si="80">+W452-W453</f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ref="AA454" si="81">+W453-W454</f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ref="AA455" si="82">+W454-W455</f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ref="AA456" si="83">+W455-W456</f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ref="AA457" si="84">+W456-W457</f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ref="AA458" si="85">+W457-W458</f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" si="86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ref="AA460" si="87">+W459-W460</f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ref="AA461" si="88">+W460-W461</f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ref="AA462" si="89">+W461-W462</f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ref="AA463" si="90">+W462-W463</f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ref="AA464" si="91">+W463-W464</f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ref="AA465" si="92">+W464-W465</f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ref="AA466" si="93">+W465-W466</f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ref="AA467" si="94">+W466-W467</f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ref="AA468" si="95">+W467-W468</f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ref="AA469" si="96">+W468-W469</f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ref="AA470" si="97">+W469-W470</f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ref="AA471" si="98">+W470-W471</f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ref="AA472" si="99">+W471-W472</f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ref="AA473" si="100">+W472-W473</f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482" si="101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ref="AA474" si="102">+W473-W474</f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101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ref="AA475" si="103">+W474-W475</f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101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ref="AA476" si="104">+W475-W476</f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101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ref="AA477" si="105">+W476-W477</f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101"/>
        <v>44423</v>
      </c>
      <c r="V478" s="6"/>
      <c r="W478" s="253">
        <f>+I$36</f>
        <v>793550</v>
      </c>
      <c r="X478" s="6"/>
      <c r="Y478" s="44">
        <v>3.0000000000000001E-3</v>
      </c>
      <c r="Z478" s="6"/>
      <c r="AA478" s="254">
        <f t="shared" ref="AA478" si="106">+W477-W478</f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101"/>
        <v>44424</v>
      </c>
      <c r="V479" s="6"/>
      <c r="W479" s="253"/>
      <c r="X479" s="6"/>
      <c r="Y479" s="44"/>
      <c r="Z479" s="6"/>
      <c r="AA479" s="254"/>
      <c r="AB479" s="6"/>
      <c r="AC479" s="258"/>
      <c r="AD479" s="251"/>
    </row>
    <row r="480" spans="15:31" x14ac:dyDescent="0.3">
      <c r="O480" s="98"/>
      <c r="T480" s="250"/>
      <c r="U480" s="252">
        <f t="shared" si="101"/>
        <v>44425</v>
      </c>
      <c r="V480" s="6"/>
      <c r="W480" s="253"/>
      <c r="X480" s="6"/>
      <c r="Y480" s="44"/>
      <c r="Z480" s="6"/>
      <c r="AA480" s="254"/>
      <c r="AB480" s="6"/>
      <c r="AC480" s="258"/>
      <c r="AD480" s="251"/>
    </row>
    <row r="481" spans="4:36" x14ac:dyDescent="0.3">
      <c r="O481" s="98"/>
      <c r="T481" s="250"/>
      <c r="U481" s="252">
        <f t="shared" si="101"/>
        <v>44426</v>
      </c>
      <c r="V481" s="6"/>
      <c r="W481" s="253"/>
      <c r="X481" s="6"/>
      <c r="Y481" s="44"/>
      <c r="Z481" s="6"/>
      <c r="AA481" s="254"/>
      <c r="AB481" s="6"/>
      <c r="AC481" s="258"/>
      <c r="AD481" s="251"/>
    </row>
    <row r="482" spans="4:36" ht="15" thickBot="1" x14ac:dyDescent="0.35">
      <c r="O482" s="98"/>
      <c r="T482" s="255"/>
      <c r="U482" s="350">
        <f t="shared" si="101"/>
        <v>44427</v>
      </c>
      <c r="V482" s="247"/>
      <c r="W482" s="351"/>
      <c r="X482" s="247"/>
      <c r="Y482" s="256"/>
      <c r="Z482" s="247"/>
      <c r="AA482" s="352"/>
      <c r="AB482" s="247"/>
      <c r="AC482" s="353"/>
      <c r="AD482" s="257"/>
    </row>
    <row r="483" spans="4:36" x14ac:dyDescent="0.3">
      <c r="O483" s="98"/>
    </row>
    <row r="484" spans="4:36" x14ac:dyDescent="0.3">
      <c r="O484" s="98"/>
      <c r="P484" s="57"/>
      <c r="Q484" s="57"/>
      <c r="R484" s="57"/>
    </row>
    <row r="485" spans="4:36" x14ac:dyDescent="0.3">
      <c r="O485" s="98"/>
    </row>
    <row r="486" spans="4:36" ht="15" thickBot="1" x14ac:dyDescent="0.35">
      <c r="O486" s="98"/>
    </row>
    <row r="487" spans="4:36" ht="15.6" thickTop="1" thickBot="1" x14ac:dyDescent="0.35">
      <c r="Q487" s="441"/>
      <c r="R487" s="442"/>
      <c r="S487" s="442"/>
      <c r="T487" s="442"/>
      <c r="U487" s="442"/>
      <c r="V487" s="442"/>
      <c r="W487" s="442"/>
      <c r="X487" s="442"/>
      <c r="Y487" s="442"/>
      <c r="Z487" s="442"/>
      <c r="AA487" s="442"/>
      <c r="AB487" s="443"/>
    </row>
    <row r="488" spans="4:36" ht="15" thickBot="1" x14ac:dyDescent="0.35">
      <c r="E488" s="666" t="s">
        <v>106</v>
      </c>
      <c r="F488" s="667"/>
      <c r="G488" s="667"/>
      <c r="H488" s="667"/>
      <c r="I488" s="667"/>
      <c r="J488" s="667"/>
      <c r="K488" s="667"/>
      <c r="L488" s="667"/>
      <c r="M488" s="668"/>
      <c r="Q488" s="444"/>
      <c r="R488" s="6"/>
      <c r="S488" s="6"/>
      <c r="T488" s="6"/>
      <c r="U488" s="5" t="s">
        <v>132</v>
      </c>
      <c r="V488" s="5"/>
      <c r="W488" s="5"/>
      <c r="X488" s="5"/>
      <c r="Y488" s="5"/>
      <c r="Z488" s="5"/>
      <c r="AA488" s="5" t="s">
        <v>28</v>
      </c>
      <c r="AB488" s="445"/>
    </row>
    <row r="489" spans="4:36" x14ac:dyDescent="0.3">
      <c r="E489" s="395"/>
      <c r="F489" s="396" t="s">
        <v>107</v>
      </c>
      <c r="G489" s="396"/>
      <c r="H489" s="396"/>
      <c r="I489" s="669">
        <v>21477737</v>
      </c>
      <c r="J489" s="669"/>
      <c r="K489" s="669"/>
      <c r="L489" s="669"/>
      <c r="M489" s="397"/>
      <c r="Q489" s="444"/>
      <c r="R489" s="437" t="s">
        <v>134</v>
      </c>
      <c r="S489" s="6"/>
      <c r="T489" s="6"/>
      <c r="U489" s="437" t="s">
        <v>133</v>
      </c>
      <c r="V489" s="5"/>
      <c r="W489" s="437" t="s">
        <v>20</v>
      </c>
      <c r="X489" s="5"/>
      <c r="Y489" s="437" t="s">
        <v>4</v>
      </c>
      <c r="Z489" s="5"/>
      <c r="AA489" s="446" t="s">
        <v>131</v>
      </c>
      <c r="AB489" s="445"/>
    </row>
    <row r="490" spans="4:36" x14ac:dyDescent="0.3">
      <c r="E490" s="395"/>
      <c r="F490" s="396" t="s">
        <v>97</v>
      </c>
      <c r="G490" s="396"/>
      <c r="H490" s="396"/>
      <c r="I490" s="396"/>
      <c r="J490" s="396"/>
      <c r="K490" s="396"/>
      <c r="L490" s="398">
        <f>+I502/I489</f>
        <v>4.5847474526762295E-4</v>
      </c>
      <c r="M490" s="397"/>
      <c r="Q490" s="444"/>
      <c r="R490" s="6" t="s">
        <v>121</v>
      </c>
      <c r="S490" s="6"/>
      <c r="T490" s="6"/>
      <c r="U490" s="7">
        <v>2003</v>
      </c>
      <c r="V490" s="6"/>
      <c r="W490" s="7">
        <v>389666</v>
      </c>
      <c r="X490" s="6"/>
      <c r="Y490" s="7">
        <v>31257</v>
      </c>
      <c r="Z490" s="6"/>
      <c r="AA490" s="253">
        <f>+AJ490</f>
        <v>19500</v>
      </c>
      <c r="AB490" s="445"/>
      <c r="AJ490" s="1">
        <v>19500</v>
      </c>
    </row>
    <row r="491" spans="4:36" x14ac:dyDescent="0.3">
      <c r="E491" s="395"/>
      <c r="F491" s="670" t="s">
        <v>95</v>
      </c>
      <c r="G491" s="670"/>
      <c r="H491" s="396"/>
      <c r="I491" s="396"/>
      <c r="J491" s="396"/>
      <c r="K491" s="396"/>
      <c r="L491" s="399">
        <f>+I502/(I489/100000)</f>
        <v>45.847474526762298</v>
      </c>
      <c r="M491" s="397"/>
      <c r="Q491" s="444"/>
      <c r="R491" s="6" t="s">
        <v>122</v>
      </c>
      <c r="S491" s="6"/>
      <c r="T491" s="6"/>
      <c r="U491" s="7">
        <v>1913</v>
      </c>
      <c r="V491" s="6"/>
      <c r="W491" s="7">
        <v>169892</v>
      </c>
      <c r="X491" s="6"/>
      <c r="Y491" s="7">
        <v>13076</v>
      </c>
      <c r="Z491" s="6"/>
      <c r="AA491" s="253">
        <f t="shared" ref="AA491:AA499" si="107">+AJ491</f>
        <v>8900</v>
      </c>
      <c r="AB491" s="445"/>
      <c r="AJ491" s="1">
        <v>8900</v>
      </c>
    </row>
    <row r="492" spans="4:36" x14ac:dyDescent="0.3">
      <c r="E492" s="395"/>
      <c r="F492" s="400"/>
      <c r="G492" s="400"/>
      <c r="H492" s="396"/>
      <c r="I492" s="396"/>
      <c r="J492" s="396"/>
      <c r="K492" s="396"/>
      <c r="L492" s="399"/>
      <c r="M492" s="397"/>
      <c r="Q492" s="444"/>
      <c r="R492" s="6" t="s">
        <v>123</v>
      </c>
      <c r="S492" s="6"/>
      <c r="T492" s="6"/>
      <c r="U492" s="7">
        <v>1568</v>
      </c>
      <c r="V492" s="6"/>
      <c r="W492" s="7">
        <v>16606</v>
      </c>
      <c r="X492" s="6"/>
      <c r="Y492" s="7">
        <v>912</v>
      </c>
      <c r="Z492" s="6"/>
      <c r="AA492" s="253">
        <f t="shared" si="107"/>
        <v>1100</v>
      </c>
      <c r="AB492" s="445"/>
      <c r="AJ492" s="1">
        <v>1100</v>
      </c>
    </row>
    <row r="493" spans="4:36" x14ac:dyDescent="0.3">
      <c r="E493" s="395"/>
      <c r="F493" s="400" t="s">
        <v>108</v>
      </c>
      <c r="G493" s="400"/>
      <c r="H493" s="670" t="s">
        <v>109</v>
      </c>
      <c r="I493" s="670"/>
      <c r="J493" s="396"/>
      <c r="K493" s="396"/>
      <c r="L493" s="399"/>
      <c r="M493" s="397"/>
      <c r="Q493" s="444"/>
      <c r="R493" s="6" t="s">
        <v>56</v>
      </c>
      <c r="S493" s="6"/>
      <c r="T493" s="6"/>
      <c r="U493" s="7">
        <v>1561</v>
      </c>
      <c r="V493" s="6"/>
      <c r="W493" s="7">
        <v>107611</v>
      </c>
      <c r="X493" s="6"/>
      <c r="Y493" s="7">
        <v>7937</v>
      </c>
      <c r="Z493" s="6"/>
      <c r="AA493" s="253">
        <f t="shared" si="107"/>
        <v>7000</v>
      </c>
      <c r="AB493" s="445"/>
      <c r="AJ493" s="1">
        <v>7000</v>
      </c>
    </row>
    <row r="494" spans="4:36" ht="15" thickBot="1" x14ac:dyDescent="0.35">
      <c r="E494" s="401"/>
      <c r="F494" s="402"/>
      <c r="G494" s="402"/>
      <c r="H494" s="402"/>
      <c r="I494" s="402"/>
      <c r="J494" s="402"/>
      <c r="K494" s="402"/>
      <c r="L494" s="402"/>
      <c r="M494" s="403"/>
      <c r="Q494" s="444"/>
      <c r="R494" s="6" t="s">
        <v>128</v>
      </c>
      <c r="S494" s="6"/>
      <c r="T494" s="6"/>
      <c r="U494" s="7">
        <v>1435</v>
      </c>
      <c r="V494" s="6"/>
      <c r="W494" s="7">
        <v>10128</v>
      </c>
      <c r="X494" s="6"/>
      <c r="Y494" s="7">
        <v>541</v>
      </c>
      <c r="Z494" s="6"/>
      <c r="AA494" s="253">
        <f t="shared" si="107"/>
        <v>700</v>
      </c>
      <c r="AB494" s="445"/>
      <c r="AJ494" s="1">
        <v>700</v>
      </c>
    </row>
    <row r="495" spans="4:36" x14ac:dyDescent="0.3">
      <c r="Q495" s="444"/>
      <c r="R495" s="6" t="s">
        <v>124</v>
      </c>
      <c r="S495" s="6"/>
      <c r="T495" s="6"/>
      <c r="U495" s="7">
        <v>1288</v>
      </c>
      <c r="V495" s="6"/>
      <c r="W495" s="7">
        <v>45913</v>
      </c>
      <c r="X495" s="6"/>
      <c r="Y495" s="7">
        <v>4287</v>
      </c>
      <c r="Z495" s="6"/>
      <c r="AA495" s="253">
        <f t="shared" si="107"/>
        <v>3600</v>
      </c>
      <c r="AB495" s="445"/>
      <c r="AJ495" s="1">
        <v>3600</v>
      </c>
    </row>
    <row r="496" spans="4:36" ht="15" thickBot="1" x14ac:dyDescent="0.35">
      <c r="D496" s="78"/>
      <c r="E496" s="139"/>
      <c r="F496" s="139"/>
      <c r="G496" s="139"/>
      <c r="H496" s="139"/>
      <c r="I496" s="310"/>
      <c r="J496" s="78"/>
      <c r="K496" s="98"/>
      <c r="L496" s="98"/>
      <c r="M496" s="98"/>
      <c r="N496" s="98"/>
      <c r="Q496" s="444"/>
      <c r="R496" s="6" t="s">
        <v>129</v>
      </c>
      <c r="S496" s="6"/>
      <c r="T496" s="6"/>
      <c r="U496" s="7">
        <v>1129</v>
      </c>
      <c r="V496" s="6"/>
      <c r="W496" s="7">
        <v>52477</v>
      </c>
      <c r="X496" s="6"/>
      <c r="Y496" s="7">
        <v>3152</v>
      </c>
      <c r="Z496" s="6"/>
      <c r="AA496" s="253">
        <f t="shared" si="107"/>
        <v>4600</v>
      </c>
      <c r="AB496" s="445"/>
      <c r="AJ496" s="1">
        <v>4600</v>
      </c>
    </row>
    <row r="497" spans="4:36" ht="16.2" thickBot="1" x14ac:dyDescent="0.35">
      <c r="D497" s="381"/>
      <c r="E497" s="671" t="s">
        <v>119</v>
      </c>
      <c r="F497" s="672"/>
      <c r="G497" s="672"/>
      <c r="H497" s="672"/>
      <c r="I497" s="672"/>
      <c r="J497" s="673"/>
      <c r="K497" s="382"/>
      <c r="L497" s="394" t="s">
        <v>10</v>
      </c>
      <c r="M497" s="383"/>
      <c r="N497" s="98"/>
      <c r="Q497" s="444"/>
      <c r="R497" s="6" t="s">
        <v>125</v>
      </c>
      <c r="S497" s="6"/>
      <c r="T497" s="6"/>
      <c r="U497" s="7">
        <v>1118</v>
      </c>
      <c r="V497" s="6"/>
      <c r="W497" s="7">
        <v>10889</v>
      </c>
      <c r="X497" s="6"/>
      <c r="Y497" s="7">
        <v>505</v>
      </c>
      <c r="Z497" s="6"/>
      <c r="AA497" s="253">
        <f t="shared" si="107"/>
        <v>980</v>
      </c>
      <c r="AB497" s="445"/>
      <c r="AJ497" s="1">
        <v>980</v>
      </c>
    </row>
    <row r="498" spans="4:36" x14ac:dyDescent="0.3">
      <c r="D498" s="360"/>
      <c r="E498" s="384" t="s">
        <v>75</v>
      </c>
      <c r="F498" s="16"/>
      <c r="G498" s="16"/>
      <c r="H498" s="16"/>
      <c r="I498" s="674">
        <f>+K81</f>
        <v>48675</v>
      </c>
      <c r="J498" s="674"/>
      <c r="K498" s="16"/>
      <c r="L498" s="60">
        <f>+I498/$I$498</f>
        <v>1</v>
      </c>
      <c r="M498" s="385"/>
      <c r="N498" s="98"/>
      <c r="Q498" s="444"/>
      <c r="R498" s="6" t="s">
        <v>126</v>
      </c>
      <c r="S498" s="6"/>
      <c r="T498" s="6"/>
      <c r="U498" s="7">
        <v>1093</v>
      </c>
      <c r="V498" s="6"/>
      <c r="W498" s="7">
        <v>138546</v>
      </c>
      <c r="X498" s="6"/>
      <c r="Y498" s="7">
        <v>6770</v>
      </c>
      <c r="Z498" s="6"/>
      <c r="AA498" s="253">
        <f t="shared" si="107"/>
        <v>12700</v>
      </c>
      <c r="AB498" s="445"/>
      <c r="AJ498" s="1">
        <v>12700</v>
      </c>
    </row>
    <row r="499" spans="4:36" x14ac:dyDescent="0.3">
      <c r="D499" s="360"/>
      <c r="E499" s="384"/>
      <c r="F499" s="16"/>
      <c r="G499" s="16"/>
      <c r="H499" s="16"/>
      <c r="I499" s="16"/>
      <c r="J499" s="16"/>
      <c r="K499" s="16"/>
      <c r="L499" s="16"/>
      <c r="M499" s="385"/>
      <c r="N499" s="98"/>
      <c r="Q499" s="444"/>
      <c r="R499" s="6" t="s">
        <v>127</v>
      </c>
      <c r="S499" s="6"/>
      <c r="T499" s="6"/>
      <c r="U499" s="447">
        <v>1081</v>
      </c>
      <c r="V499" s="6"/>
      <c r="W499" s="447">
        <v>65337</v>
      </c>
      <c r="X499" s="6"/>
      <c r="Y499" s="447">
        <v>3108</v>
      </c>
      <c r="Z499" s="6"/>
      <c r="AA499" s="448">
        <f t="shared" si="107"/>
        <v>6100</v>
      </c>
      <c r="AB499" s="445"/>
      <c r="AJ499" s="439">
        <v>6100</v>
      </c>
    </row>
    <row r="500" spans="4:36" x14ac:dyDescent="0.3">
      <c r="D500" s="372"/>
      <c r="E500" s="15"/>
      <c r="F500" s="386" t="s">
        <v>100</v>
      </c>
      <c r="G500" s="386"/>
      <c r="H500" s="15"/>
      <c r="I500" s="675">
        <f>+I81</f>
        <v>36684</v>
      </c>
      <c r="J500" s="676"/>
      <c r="K500" s="15"/>
      <c r="L500" s="60">
        <f>+I500/$I$498</f>
        <v>0.75365177195685673</v>
      </c>
      <c r="M500" s="365"/>
      <c r="N500" s="98"/>
      <c r="Q500" s="444"/>
      <c r="R500" s="5" t="s">
        <v>31</v>
      </c>
      <c r="S500" s="6"/>
      <c r="T500" s="6"/>
      <c r="U500" s="253">
        <f>+W500/(AA500/100)</f>
        <v>1545.0521632402579</v>
      </c>
      <c r="V500" s="6"/>
      <c r="W500" s="253">
        <f>SUM(W490:W499)</f>
        <v>1007065</v>
      </c>
      <c r="X500" s="6"/>
      <c r="Y500" s="253">
        <f>SUM(Y490:Y499)</f>
        <v>71545</v>
      </c>
      <c r="Z500" s="6"/>
      <c r="AA500" s="253">
        <f>SUM(AA490:AA499)</f>
        <v>65180</v>
      </c>
      <c r="AB500" s="445"/>
      <c r="AJ500" s="56">
        <f>SUM(AJ490:AJ499)</f>
        <v>65180</v>
      </c>
    </row>
    <row r="501" spans="4:36" x14ac:dyDescent="0.3">
      <c r="D501" s="372"/>
      <c r="E501" s="15"/>
      <c r="F501" s="15" t="s">
        <v>76</v>
      </c>
      <c r="G501" s="15"/>
      <c r="H501" s="15"/>
      <c r="I501" s="677">
        <f>+I75</f>
        <v>2144</v>
      </c>
      <c r="J501" s="678"/>
      <c r="K501" s="15"/>
      <c r="L501" s="60">
        <f>+I501/$I$498</f>
        <v>4.4047252182845401E-2</v>
      </c>
      <c r="M501" s="365"/>
      <c r="N501" s="98"/>
      <c r="Q501" s="444"/>
      <c r="R501" s="5"/>
      <c r="S501" s="6"/>
      <c r="T501" s="6"/>
      <c r="U501" s="6"/>
      <c r="V501" s="6"/>
      <c r="W501" s="253"/>
      <c r="X501" s="6"/>
      <c r="Y501" s="253"/>
      <c r="Z501" s="6"/>
      <c r="AA501" s="6"/>
      <c r="AB501" s="445"/>
      <c r="AJ501" s="56"/>
    </row>
    <row r="502" spans="4:36" ht="15" thickBot="1" x14ac:dyDescent="0.35">
      <c r="D502" s="372"/>
      <c r="E502" s="663" t="s">
        <v>101</v>
      </c>
      <c r="F502" s="663"/>
      <c r="G502" s="663"/>
      <c r="H502" s="15"/>
      <c r="I502" s="664">
        <f>+I498-I500-I501</f>
        <v>9847</v>
      </c>
      <c r="J502" s="665"/>
      <c r="K502" s="387"/>
      <c r="L502" s="388">
        <f>+I502/$I$498</f>
        <v>0.20230097586029788</v>
      </c>
      <c r="M502" s="365"/>
      <c r="N502" s="98"/>
      <c r="Q502" s="444"/>
      <c r="R502" s="5" t="s">
        <v>57</v>
      </c>
      <c r="S502" s="6"/>
      <c r="T502" s="6"/>
      <c r="U502" s="7">
        <v>7441</v>
      </c>
      <c r="V502" s="6"/>
      <c r="W502" s="7">
        <f>+'Main Table'!H106</f>
        <v>3029734</v>
      </c>
      <c r="X502" s="6"/>
      <c r="Y502" s="7">
        <f>+'Main Table'!AA106</f>
        <v>129682</v>
      </c>
      <c r="Z502" s="6"/>
      <c r="AA502" s="253">
        <f>+AJ502</f>
        <v>333000</v>
      </c>
      <c r="AB502" s="445"/>
      <c r="AJ502" s="56">
        <v>333000</v>
      </c>
    </row>
    <row r="503" spans="4:36" ht="15.6" thickTop="1" thickBot="1" x14ac:dyDescent="0.35">
      <c r="D503" s="372"/>
      <c r="E503" s="389"/>
      <c r="F503" s="389"/>
      <c r="G503" s="389"/>
      <c r="H503" s="15"/>
      <c r="I503" s="390"/>
      <c r="J503" s="389"/>
      <c r="K503" s="387"/>
      <c r="L503" s="391"/>
      <c r="M503" s="365"/>
      <c r="N503" s="98"/>
      <c r="Q503" s="444"/>
      <c r="R503" s="5" t="s">
        <v>130</v>
      </c>
      <c r="S503" s="6"/>
      <c r="T503" s="6"/>
      <c r="U503" s="449"/>
      <c r="V503" s="6"/>
      <c r="W503" s="450">
        <f>+W500/W502</f>
        <v>0.33239386692033029</v>
      </c>
      <c r="X503" s="6"/>
      <c r="Y503" s="450">
        <f>+Y500/Y502</f>
        <v>0.55169568637127742</v>
      </c>
      <c r="Z503" s="6"/>
      <c r="AA503" s="450">
        <f>+AA500/AA502</f>
        <v>0.19573573573573574</v>
      </c>
      <c r="AB503" s="445"/>
      <c r="AJ503" s="440">
        <f>+AJ500/AJ502</f>
        <v>0.19573573573573574</v>
      </c>
    </row>
    <row r="504" spans="4:36" ht="15.6" thickTop="1" thickBot="1" x14ac:dyDescent="0.35">
      <c r="D504" s="392"/>
      <c r="E504" s="393"/>
      <c r="F504" s="393"/>
      <c r="G504" s="393"/>
      <c r="H504" s="393"/>
      <c r="I504" s="393"/>
      <c r="J504" s="393"/>
      <c r="K504" s="393"/>
      <c r="L504" s="393"/>
      <c r="M504" s="380"/>
      <c r="N504" s="98"/>
      <c r="Q504" s="451"/>
      <c r="R504" s="452"/>
      <c r="S504" s="452"/>
      <c r="T504" s="452"/>
      <c r="U504" s="452"/>
      <c r="V504" s="452"/>
      <c r="W504" s="452"/>
      <c r="X504" s="452"/>
      <c r="Y504" s="452"/>
      <c r="Z504" s="452"/>
      <c r="AA504" s="452"/>
      <c r="AB504" s="453"/>
    </row>
    <row r="508" spans="4:36" x14ac:dyDescent="0.3">
      <c r="F508" s="1">
        <v>1248371</v>
      </c>
    </row>
    <row r="509" spans="4:36" x14ac:dyDescent="0.3">
      <c r="W509" s="1"/>
    </row>
    <row r="510" spans="4:36" x14ac:dyDescent="0.3">
      <c r="F510">
        <v>700</v>
      </c>
    </row>
    <row r="511" spans="4:36" x14ac:dyDescent="0.3">
      <c r="F511" s="76">
        <f>+F510/F508</f>
        <v>5.6073074430597954E-4</v>
      </c>
    </row>
    <row r="513" spans="6:6" x14ac:dyDescent="0.3">
      <c r="F513" s="1">
        <v>60000</v>
      </c>
    </row>
    <row r="514" spans="6:6" x14ac:dyDescent="0.3">
      <c r="F514">
        <f>+F511*F513</f>
        <v>33.643844658358773</v>
      </c>
    </row>
    <row r="516" spans="6:6" x14ac:dyDescent="0.3">
      <c r="F516" s="1">
        <v>331000000</v>
      </c>
    </row>
    <row r="517" spans="6:6" x14ac:dyDescent="0.3">
      <c r="F517" s="56">
        <f>+W86</f>
        <v>811067</v>
      </c>
    </row>
    <row r="518" spans="6:6" x14ac:dyDescent="0.3">
      <c r="F518" s="57">
        <f>+F517/F516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502:G502"/>
    <mergeCell ref="I502:J502"/>
    <mergeCell ref="E488:M488"/>
    <mergeCell ref="I489:L489"/>
    <mergeCell ref="F491:G491"/>
    <mergeCell ref="E497:J497"/>
    <mergeCell ref="I498:J498"/>
    <mergeCell ref="I500:J500"/>
    <mergeCell ref="I501:J501"/>
    <mergeCell ref="H493:I493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2021-08-17T00:09:14Z</dcterms:modified>
</cp:coreProperties>
</file>