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eresman\Documents\excel\A-MAK Table\"/>
    </mc:Choice>
  </mc:AlternateContent>
  <xr:revisionPtr revIDLastSave="0" documentId="8_{DA154A44-5A08-4847-A387-A8270412B164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Table'!$A$1:$CJ$169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62" i="2" l="1"/>
  <c r="BL168" i="1" l="1"/>
  <c r="BJ168" i="1"/>
  <c r="BI168" i="1"/>
  <c r="BD168" i="1"/>
  <c r="BB168" i="1"/>
  <c r="AW168" i="1"/>
  <c r="AU168" i="1"/>
  <c r="AT168" i="1"/>
  <c r="AS168" i="1"/>
  <c r="AO168" i="1"/>
  <c r="AN168" i="1"/>
  <c r="AM168" i="1"/>
  <c r="AK168" i="1"/>
  <c r="AF168" i="1"/>
  <c r="AD168" i="1"/>
  <c r="Y168" i="1"/>
  <c r="X168" i="1"/>
  <c r="V168" i="1"/>
  <c r="U168" i="1"/>
  <c r="P168" i="1"/>
  <c r="M168" i="1"/>
  <c r="I168" i="1"/>
  <c r="BO167" i="1"/>
  <c r="BO168" i="1" s="1"/>
  <c r="BL167" i="1"/>
  <c r="BJ167" i="1"/>
  <c r="BI167" i="1"/>
  <c r="BH167" i="1"/>
  <c r="BH168" i="1" s="1"/>
  <c r="BF167" i="1"/>
  <c r="BF168" i="1" s="1"/>
  <c r="BD167" i="1"/>
  <c r="BC167" i="1"/>
  <c r="BC168" i="1" s="1"/>
  <c r="BB167" i="1"/>
  <c r="AZ167" i="1"/>
  <c r="AZ168" i="1" s="1"/>
  <c r="AY167" i="1"/>
  <c r="AY168" i="1" s="1"/>
  <c r="AW167" i="1"/>
  <c r="AU167" i="1"/>
  <c r="AT167" i="1"/>
  <c r="AS167" i="1"/>
  <c r="AQ167" i="1"/>
  <c r="AQ168" i="1" s="1"/>
  <c r="AP167" i="1"/>
  <c r="AP168" i="1" s="1"/>
  <c r="AO167" i="1"/>
  <c r="AN167" i="1"/>
  <c r="AM167" i="1"/>
  <c r="AK167" i="1"/>
  <c r="AJ167" i="1"/>
  <c r="AJ168" i="1" s="1"/>
  <c r="AF167" i="1"/>
  <c r="AD167" i="1"/>
  <c r="AB167" i="1"/>
  <c r="AB168" i="1" s="1"/>
  <c r="Z167" i="1"/>
  <c r="Z168" i="1" s="1"/>
  <c r="Y167" i="1"/>
  <c r="X167" i="1"/>
  <c r="W167" i="1"/>
  <c r="W168" i="1" s="1"/>
  <c r="V167" i="1"/>
  <c r="U167" i="1"/>
  <c r="T167" i="1"/>
  <c r="T168" i="1" s="1"/>
  <c r="R167" i="1"/>
  <c r="R168" i="1" s="1"/>
  <c r="P167" i="1"/>
  <c r="M167" i="1"/>
  <c r="L167" i="1"/>
  <c r="L168" i="1" s="1"/>
  <c r="K167" i="1"/>
  <c r="K168" i="1" s="1"/>
  <c r="I167" i="1"/>
  <c r="D167" i="1"/>
  <c r="D168" i="1" s="1"/>
  <c r="BW161" i="1"/>
  <c r="BN161" i="1" s="1"/>
  <c r="BN167" i="1" s="1"/>
  <c r="BN168" i="1" s="1"/>
  <c r="BE161" i="1"/>
  <c r="BP161" i="1" s="1"/>
  <c r="BA161" i="1"/>
  <c r="BK161" i="1" s="1"/>
  <c r="BK167" i="1" s="1"/>
  <c r="BK168" i="1" s="1"/>
  <c r="AX161" i="1"/>
  <c r="AX167" i="1" s="1"/>
  <c r="AX168" i="1" s="1"/>
  <c r="AL161" i="1"/>
  <c r="AR161" i="1" s="1"/>
  <c r="AR167" i="1" s="1"/>
  <c r="AR168" i="1" s="1"/>
  <c r="AG161" i="1"/>
  <c r="AI161" i="1" s="1"/>
  <c r="AI167" i="1" s="1"/>
  <c r="AI168" i="1" s="1"/>
  <c r="AA161" i="1"/>
  <c r="AE161" i="1" s="1"/>
  <c r="AE167" i="1" s="1"/>
  <c r="AE168" i="1" s="1"/>
  <c r="V161" i="1"/>
  <c r="Q161" i="1"/>
  <c r="N161" i="1"/>
  <c r="N167" i="1" s="1"/>
  <c r="N168" i="1" s="1"/>
  <c r="J161" i="1"/>
  <c r="J167" i="1" s="1"/>
  <c r="J168" i="1" s="1"/>
  <c r="H161" i="1"/>
  <c r="O161" i="1" s="1"/>
  <c r="O167" i="1" s="1"/>
  <c r="O168" i="1" s="1"/>
  <c r="S170" i="2"/>
  <c r="R170" i="2"/>
  <c r="P170" i="2"/>
  <c r="O170" i="2"/>
  <c r="N170" i="2"/>
  <c r="L170" i="2"/>
  <c r="J170" i="2"/>
  <c r="I170" i="2"/>
  <c r="H170" i="2"/>
  <c r="G170" i="2"/>
  <c r="E170" i="2"/>
  <c r="W162" i="2"/>
  <c r="K162" i="2"/>
  <c r="Q162" i="2" s="1"/>
  <c r="Q170" i="2" s="1"/>
  <c r="I20" i="3"/>
  <c r="BM161" i="1" l="1"/>
  <c r="BM167" i="1" s="1"/>
  <c r="BM168" i="1" s="1"/>
  <c r="BA167" i="1"/>
  <c r="BA168" i="1" s="1"/>
  <c r="AA167" i="1"/>
  <c r="AA168" i="1" s="1"/>
  <c r="BE167" i="1"/>
  <c r="BE168" i="1" s="1"/>
  <c r="Q167" i="1"/>
  <c r="Q168" i="1" s="1"/>
  <c r="K170" i="2"/>
  <c r="AL167" i="1"/>
  <c r="AL168" i="1" s="1"/>
  <c r="AG167" i="1"/>
  <c r="AG168" i="1" s="1"/>
  <c r="BR161" i="1"/>
  <c r="BP167" i="1"/>
  <c r="BP168" i="1" s="1"/>
  <c r="H167" i="1"/>
  <c r="H168" i="1" s="1"/>
  <c r="BG161" i="1"/>
  <c r="BG167" i="1" s="1"/>
  <c r="BG168" i="1" s="1"/>
  <c r="AV161" i="1"/>
  <c r="AV167" i="1" s="1"/>
  <c r="AV168" i="1" s="1"/>
  <c r="AC161" i="1"/>
  <c r="AC167" i="1" s="1"/>
  <c r="AC168" i="1" s="1"/>
  <c r="S161" i="1"/>
  <c r="S167" i="1" s="1"/>
  <c r="S168" i="1" s="1"/>
  <c r="U162" i="2"/>
  <c r="M162" i="2"/>
  <c r="M170" i="2" s="1"/>
  <c r="S161" i="2"/>
  <c r="BW160" i="1" l="1"/>
  <c r="BN160" i="1" s="1"/>
  <c r="BE160" i="1"/>
  <c r="BA160" i="1"/>
  <c r="BK160" i="1" s="1"/>
  <c r="AL160" i="1"/>
  <c r="AR160" i="1" s="1"/>
  <c r="AG160" i="1"/>
  <c r="AI160" i="1" s="1"/>
  <c r="AA160" i="1"/>
  <c r="V160" i="1"/>
  <c r="Q160" i="1"/>
  <c r="S160" i="1" s="1"/>
  <c r="N160" i="1"/>
  <c r="J160" i="1"/>
  <c r="H160" i="1"/>
  <c r="O160" i="1" s="1"/>
  <c r="K161" i="2"/>
  <c r="Q161" i="2" s="1"/>
  <c r="U115" i="3"/>
  <c r="U116" i="3" s="1"/>
  <c r="U117" i="3" s="1"/>
  <c r="U118" i="3" s="1"/>
  <c r="U119" i="3" s="1"/>
  <c r="U120" i="3" s="1"/>
  <c r="U121" i="3" s="1"/>
  <c r="S160" i="2"/>
  <c r="BN159" i="1"/>
  <c r="BE159" i="1"/>
  <c r="BP159" i="1" s="1"/>
  <c r="BR159" i="1" s="1"/>
  <c r="BA159" i="1"/>
  <c r="BK159" i="1" s="1"/>
  <c r="AX159" i="1"/>
  <c r="AL159" i="1"/>
  <c r="AR159" i="1" s="1"/>
  <c r="AG159" i="1"/>
  <c r="AI159" i="1" s="1"/>
  <c r="AA159" i="1"/>
  <c r="AE159" i="1" s="1"/>
  <c r="V159" i="1"/>
  <c r="Q159" i="1"/>
  <c r="S159" i="1" s="1"/>
  <c r="N159" i="1"/>
  <c r="J159" i="1"/>
  <c r="H159" i="1"/>
  <c r="AV159" i="1" s="1"/>
  <c r="K160" i="2"/>
  <c r="M160" i="2" s="1"/>
  <c r="S159" i="2"/>
  <c r="W160" i="2"/>
  <c r="W161" i="2" s="1"/>
  <c r="W163" i="2" s="1"/>
  <c r="W164" i="2" s="1"/>
  <c r="W165" i="2" s="1"/>
  <c r="W166" i="2" s="1"/>
  <c r="W167" i="2" s="1"/>
  <c r="W168" i="2" s="1"/>
  <c r="C160" i="2"/>
  <c r="C161" i="2" s="1"/>
  <c r="C162" i="2" s="1"/>
  <c r="C163" i="2" s="1"/>
  <c r="C164" i="2" s="1"/>
  <c r="C165" i="2" s="1"/>
  <c r="C166" i="2" s="1"/>
  <c r="C167" i="2" s="1"/>
  <c r="C168" i="2" s="1"/>
  <c r="BW158" i="1"/>
  <c r="AX158" i="1" s="1"/>
  <c r="BE158" i="1"/>
  <c r="BA158" i="1"/>
  <c r="BK158" i="1" s="1"/>
  <c r="AL158" i="1"/>
  <c r="AR158" i="1" s="1"/>
  <c r="AG158" i="1"/>
  <c r="AI158" i="1" s="1"/>
  <c r="AA158" i="1"/>
  <c r="V158" i="1"/>
  <c r="Q158" i="1"/>
  <c r="S158" i="1" s="1"/>
  <c r="J158" i="1"/>
  <c r="H158" i="1"/>
  <c r="AV158" i="1" s="1"/>
  <c r="K159" i="2"/>
  <c r="Q159" i="2" s="1"/>
  <c r="AH160" i="1" l="1"/>
  <c r="AH161" i="1"/>
  <c r="AH167" i="1" s="1"/>
  <c r="AH168" i="1" s="1"/>
  <c r="BG160" i="1"/>
  <c r="AV160" i="1"/>
  <c r="BM160" i="1"/>
  <c r="BP160" i="1"/>
  <c r="AC160" i="1"/>
  <c r="AX160" i="1"/>
  <c r="AE160" i="1"/>
  <c r="U161" i="2"/>
  <c r="M161" i="2"/>
  <c r="AP216" i="1"/>
  <c r="AP217" i="1" s="1"/>
  <c r="AP218" i="1" s="1"/>
  <c r="U160" i="2"/>
  <c r="AH159" i="1"/>
  <c r="BG159" i="1"/>
  <c r="O159" i="1"/>
  <c r="BM159" i="1"/>
  <c r="AC159" i="1"/>
  <c r="Q160" i="2"/>
  <c r="O158" i="1"/>
  <c r="AC158" i="1"/>
  <c r="BG158" i="1"/>
  <c r="AE158" i="1"/>
  <c r="BM158" i="1"/>
  <c r="BN158" i="1"/>
  <c r="BP158" i="1"/>
  <c r="U159" i="2"/>
  <c r="M159" i="2"/>
  <c r="BR160" i="1" l="1"/>
  <c r="BR158" i="1"/>
  <c r="AH158" i="1"/>
  <c r="BN157" i="1"/>
  <c r="BE157" i="1"/>
  <c r="BA157" i="1"/>
  <c r="BK157" i="1" s="1"/>
  <c r="AX157" i="1"/>
  <c r="AV157" i="1"/>
  <c r="AL157" i="1"/>
  <c r="AR157" i="1" s="1"/>
  <c r="AG157" i="1"/>
  <c r="AA157" i="1"/>
  <c r="AE157" i="1" s="1"/>
  <c r="V157" i="1"/>
  <c r="Q157" i="1"/>
  <c r="J157" i="1"/>
  <c r="H157" i="1"/>
  <c r="O157" i="1" s="1"/>
  <c r="S158" i="2"/>
  <c r="K158" i="2"/>
  <c r="Q158" i="2" s="1"/>
  <c r="BM157" i="1" l="1"/>
  <c r="BG157" i="1"/>
  <c r="AI157" i="1"/>
  <c r="BP157" i="1"/>
  <c r="AC157" i="1"/>
  <c r="S157" i="1"/>
  <c r="U158" i="2"/>
  <c r="M158" i="2"/>
  <c r="BQ167" i="1"/>
  <c r="BQ168" i="1" s="1"/>
  <c r="AH156" i="1"/>
  <c r="BN156" i="1"/>
  <c r="BE156" i="1"/>
  <c r="BP156" i="1" s="1"/>
  <c r="BR156" i="1" s="1"/>
  <c r="BA156" i="1"/>
  <c r="BK156" i="1" s="1"/>
  <c r="AX156" i="1"/>
  <c r="AL156" i="1"/>
  <c r="AG156" i="1"/>
  <c r="AI156" i="1" s="1"/>
  <c r="AA156" i="1"/>
  <c r="V156" i="1"/>
  <c r="Q156" i="1"/>
  <c r="O156" i="1"/>
  <c r="J156" i="1"/>
  <c r="H156" i="1"/>
  <c r="AV156" i="1" s="1"/>
  <c r="S157" i="2"/>
  <c r="K157" i="2"/>
  <c r="M157" i="2" s="1"/>
  <c r="B156" i="1"/>
  <c r="B157" i="1" s="1"/>
  <c r="B158" i="1" s="1"/>
  <c r="B159" i="1" s="1"/>
  <c r="B160" i="1" s="1"/>
  <c r="B161" i="1" s="1"/>
  <c r="B162" i="1" s="1"/>
  <c r="B163" i="1" s="1"/>
  <c r="BW156" i="1"/>
  <c r="BW157" i="1" s="1"/>
  <c r="BW159" i="1" s="1"/>
  <c r="BW162" i="1" s="1"/>
  <c r="BW163" i="1" s="1"/>
  <c r="BR157" i="1" l="1"/>
  <c r="AH157" i="1"/>
  <c r="BM156" i="1"/>
  <c r="AR156" i="1"/>
  <c r="AE156" i="1"/>
  <c r="AC156" i="1"/>
  <c r="BG156" i="1"/>
  <c r="S156" i="1"/>
  <c r="U157" i="2"/>
  <c r="Q157" i="2"/>
  <c r="N138" i="1" l="1"/>
  <c r="N145" i="1"/>
  <c r="N152" i="1"/>
  <c r="BE155" i="1"/>
  <c r="BA155" i="1"/>
  <c r="BK155" i="1" s="1"/>
  <c r="AL155" i="1"/>
  <c r="AR155" i="1" s="1"/>
  <c r="AG155" i="1"/>
  <c r="AI155" i="1" s="1"/>
  <c r="Q155" i="1"/>
  <c r="S156" i="2"/>
  <c r="K156" i="2"/>
  <c r="M156" i="2" s="1"/>
  <c r="BM155" i="1" l="1"/>
  <c r="BG155" i="1"/>
  <c r="S155" i="1"/>
  <c r="U156" i="2"/>
  <c r="Q156" i="2"/>
  <c r="S155" i="2" l="1"/>
  <c r="AH155" i="1" l="1"/>
  <c r="BE154" i="1"/>
  <c r="BA154" i="1"/>
  <c r="BK154" i="1" s="1"/>
  <c r="AL154" i="1"/>
  <c r="AG154" i="1"/>
  <c r="AI154" i="1" s="1"/>
  <c r="Q154" i="1"/>
  <c r="K155" i="2"/>
  <c r="Q155" i="2" s="1"/>
  <c r="J219" i="1"/>
  <c r="AA214" i="1"/>
  <c r="H212" i="1"/>
  <c r="O214" i="1"/>
  <c r="O215" i="1" s="1"/>
  <c r="H213" i="1"/>
  <c r="J213" i="1" s="1"/>
  <c r="H214" i="1"/>
  <c r="J214" i="1" s="1"/>
  <c r="S154" i="2"/>
  <c r="BM154" i="1" l="1"/>
  <c r="AR154" i="1"/>
  <c r="BG154" i="1"/>
  <c r="S154" i="1"/>
  <c r="U155" i="2"/>
  <c r="M155" i="2"/>
  <c r="J212" i="1"/>
  <c r="AH154" i="1"/>
  <c r="BE153" i="1"/>
  <c r="BA153" i="1"/>
  <c r="AL153" i="1"/>
  <c r="AR153" i="1" s="1"/>
  <c r="AG153" i="1"/>
  <c r="Q153" i="1"/>
  <c r="K154" i="2"/>
  <c r="M154" i="2" s="1"/>
  <c r="BG153" i="1" l="1"/>
  <c r="AI153" i="1"/>
  <c r="U154" i="2"/>
  <c r="Q154" i="2"/>
  <c r="S153" i="2"/>
  <c r="AG112" i="1" l="1"/>
  <c r="N131" i="1"/>
  <c r="K153" i="2"/>
  <c r="M153" i="2" s="1"/>
  <c r="K152" i="2"/>
  <c r="M152" i="2"/>
  <c r="Q152" i="2"/>
  <c r="S152" i="2"/>
  <c r="U152" i="2"/>
  <c r="U153" i="2" l="1"/>
  <c r="Q153" i="2"/>
  <c r="BE152" i="1" l="1"/>
  <c r="BA152" i="1"/>
  <c r="AL152" i="1"/>
  <c r="AG152" i="1"/>
  <c r="Q152" i="1"/>
  <c r="BE151" i="1"/>
  <c r="BA151" i="1"/>
  <c r="AL151" i="1"/>
  <c r="AR151" i="1" s="1"/>
  <c r="Q151" i="1"/>
  <c r="AR152" i="1" l="1"/>
  <c r="BG152" i="1"/>
  <c r="BG151" i="1"/>
  <c r="S151" i="2"/>
  <c r="K151" i="2"/>
  <c r="BC149" i="1"/>
  <c r="BA150" i="1" s="1"/>
  <c r="AP149" i="1"/>
  <c r="AL150" i="1" s="1"/>
  <c r="BE150" i="1"/>
  <c r="Q150" i="1"/>
  <c r="S150" i="2"/>
  <c r="U151" i="2" l="1"/>
  <c r="BG150" i="1"/>
  <c r="AR150" i="1"/>
  <c r="BE149" i="1"/>
  <c r="BA149" i="1"/>
  <c r="AL149" i="1"/>
  <c r="Q149" i="1"/>
  <c r="K150" i="2"/>
  <c r="Q150" i="2" s="1"/>
  <c r="Q151" i="2" l="1"/>
  <c r="M151" i="2"/>
  <c r="BG149" i="1"/>
  <c r="AR149" i="1"/>
  <c r="U150" i="2"/>
  <c r="M150" i="2"/>
  <c r="S149" i="2"/>
  <c r="BE148" i="1" l="1"/>
  <c r="BA148" i="1"/>
  <c r="AL148" i="1"/>
  <c r="Q148" i="1"/>
  <c r="K149" i="2"/>
  <c r="Q149" i="2" s="1"/>
  <c r="AR148" i="1" l="1"/>
  <c r="BG148" i="1"/>
  <c r="U149" i="2"/>
  <c r="M149" i="2"/>
  <c r="S148" i="2"/>
  <c r="BE147" i="1" l="1"/>
  <c r="BA147" i="1"/>
  <c r="BK153" i="1" s="1"/>
  <c r="AL147" i="1"/>
  <c r="AR147" i="1" s="1"/>
  <c r="Q147" i="1"/>
  <c r="K148" i="2"/>
  <c r="Q148" i="2" s="1"/>
  <c r="F159" i="3"/>
  <c r="F158" i="3"/>
  <c r="S147" i="2"/>
  <c r="BM153" i="1" l="1"/>
  <c r="BG147" i="1"/>
  <c r="U148" i="2"/>
  <c r="M148" i="2"/>
  <c r="BE146" i="1" l="1"/>
  <c r="BA146" i="1"/>
  <c r="BK152" i="1" s="1"/>
  <c r="BM152" i="1" s="1"/>
  <c r="AL146" i="1"/>
  <c r="Q146" i="1"/>
  <c r="S153" i="1" s="1"/>
  <c r="K147" i="2"/>
  <c r="Q147" i="2" s="1"/>
  <c r="AR146" i="1" l="1"/>
  <c r="BG146" i="1"/>
  <c r="U147" i="2"/>
  <c r="M147" i="2"/>
  <c r="BE145" i="1"/>
  <c r="BA145" i="1"/>
  <c r="BK151" i="1" s="1"/>
  <c r="BM151" i="1" s="1"/>
  <c r="AL145" i="1"/>
  <c r="AR145" i="1" s="1"/>
  <c r="AG145" i="1"/>
  <c r="AI152" i="1" s="1"/>
  <c r="Q145" i="1"/>
  <c r="S152" i="1" s="1"/>
  <c r="S146" i="2"/>
  <c r="K146" i="2"/>
  <c r="Q146" i="2" s="1"/>
  <c r="BE144" i="1"/>
  <c r="BA144" i="1"/>
  <c r="AL144" i="1"/>
  <c r="Q144" i="1"/>
  <c r="S151" i="1" s="1"/>
  <c r="S145" i="2"/>
  <c r="K145" i="2"/>
  <c r="M145" i="2" s="1"/>
  <c r="BE143" i="1"/>
  <c r="BA143" i="1"/>
  <c r="AL143" i="1"/>
  <c r="AR143" i="1" s="1"/>
  <c r="Q143" i="1"/>
  <c r="S150" i="1" s="1"/>
  <c r="S144" i="2"/>
  <c r="K144" i="2"/>
  <c r="BK150" i="1" l="1"/>
  <c r="BM150" i="1" s="1"/>
  <c r="BK149" i="1"/>
  <c r="BG145" i="1"/>
  <c r="U146" i="2"/>
  <c r="M146" i="2"/>
  <c r="BG144" i="1"/>
  <c r="AR144" i="1"/>
  <c r="Q145" i="2"/>
  <c r="U145" i="2"/>
  <c r="BG143" i="1"/>
  <c r="U144" i="2"/>
  <c r="M144" i="2"/>
  <c r="BE142" i="1"/>
  <c r="BA142" i="1"/>
  <c r="BK148" i="1" s="1"/>
  <c r="BM148" i="1" s="1"/>
  <c r="AL142" i="1"/>
  <c r="AR142" i="1" s="1"/>
  <c r="Q142" i="1"/>
  <c r="S149" i="1" s="1"/>
  <c r="S143" i="2"/>
  <c r="K143" i="2"/>
  <c r="BE141" i="1"/>
  <c r="BA141" i="1"/>
  <c r="AL141" i="1"/>
  <c r="AR141" i="1" s="1"/>
  <c r="Q141" i="1"/>
  <c r="S148" i="1" s="1"/>
  <c r="S142" i="2"/>
  <c r="K142" i="2"/>
  <c r="BK147" i="1" l="1"/>
  <c r="BM147" i="1" s="1"/>
  <c r="BM149" i="1"/>
  <c r="BG141" i="1"/>
  <c r="Q143" i="2"/>
  <c r="Q144" i="2"/>
  <c r="BG142" i="1"/>
  <c r="U143" i="2"/>
  <c r="M143" i="2"/>
  <c r="U142" i="2"/>
  <c r="S141" i="2"/>
  <c r="BE140" i="1" l="1"/>
  <c r="BA140" i="1"/>
  <c r="BK146" i="1" s="1"/>
  <c r="BM146" i="1" s="1"/>
  <c r="AL140" i="1"/>
  <c r="Q140" i="1"/>
  <c r="S147" i="1" s="1"/>
  <c r="K141" i="2"/>
  <c r="S140" i="2"/>
  <c r="W114" i="1"/>
  <c r="AG190" i="1" l="1"/>
  <c r="AR185" i="1" s="1"/>
  <c r="AG143" i="1"/>
  <c r="M142" i="2"/>
  <c r="Q142" i="2"/>
  <c r="AR140" i="1"/>
  <c r="BG140" i="1"/>
  <c r="U141" i="2"/>
  <c r="BE139" i="1" l="1"/>
  <c r="BA139" i="1"/>
  <c r="BK145" i="1" s="1"/>
  <c r="AL139" i="1"/>
  <c r="Q139" i="1"/>
  <c r="S146" i="1" s="1"/>
  <c r="K140" i="2"/>
  <c r="BM145" i="1" l="1"/>
  <c r="Q141" i="2"/>
  <c r="M141" i="2"/>
  <c r="AR139" i="1"/>
  <c r="BG139" i="1"/>
  <c r="U140" i="2"/>
  <c r="S139" i="2" l="1"/>
  <c r="AG189" i="1" l="1"/>
  <c r="V110" i="1"/>
  <c r="V111" i="1" s="1"/>
  <c r="V112" i="1" s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V125" i="1" s="1"/>
  <c r="V126" i="1" s="1"/>
  <c r="V127" i="1" s="1"/>
  <c r="V128" i="1" s="1"/>
  <c r="V129" i="1" s="1"/>
  <c r="V130" i="1" s="1"/>
  <c r="V131" i="1" s="1"/>
  <c r="V132" i="1" s="1"/>
  <c r="V133" i="1" s="1"/>
  <c r="V134" i="1" s="1"/>
  <c r="V135" i="1" s="1"/>
  <c r="V136" i="1" s="1"/>
  <c r="V137" i="1" s="1"/>
  <c r="V138" i="1" s="1"/>
  <c r="V139" i="1" s="1"/>
  <c r="V140" i="1" s="1"/>
  <c r="V141" i="1" s="1"/>
  <c r="V142" i="1" s="1"/>
  <c r="V143" i="1" s="1"/>
  <c r="V144" i="1" s="1"/>
  <c r="V145" i="1" s="1"/>
  <c r="V146" i="1" s="1"/>
  <c r="V147" i="1" s="1"/>
  <c r="V148" i="1" s="1"/>
  <c r="V149" i="1" s="1"/>
  <c r="V150" i="1" l="1"/>
  <c r="V151" i="1" s="1"/>
  <c r="V152" i="1" s="1"/>
  <c r="G167" i="1"/>
  <c r="G168" i="1" s="1"/>
  <c r="F167" i="1"/>
  <c r="F168" i="1" s="1"/>
  <c r="E167" i="1"/>
  <c r="E168" i="1" s="1"/>
  <c r="BE138" i="1"/>
  <c r="BA138" i="1"/>
  <c r="BK144" i="1" s="1"/>
  <c r="AL138" i="1"/>
  <c r="AG138" i="1"/>
  <c r="AI145" i="1" s="1"/>
  <c r="Q138" i="1"/>
  <c r="S145" i="1" s="1"/>
  <c r="K139" i="2"/>
  <c r="BE137" i="1"/>
  <c r="BA137" i="1"/>
  <c r="AL137" i="1"/>
  <c r="AR137" i="1" s="1"/>
  <c r="Q137" i="1"/>
  <c r="S144" i="1" s="1"/>
  <c r="V153" i="1" l="1"/>
  <c r="V154" i="1" s="1"/>
  <c r="BM144" i="1"/>
  <c r="BK143" i="1"/>
  <c r="BM143" i="1" s="1"/>
  <c r="Q140" i="2"/>
  <c r="M140" i="2"/>
  <c r="AR138" i="1"/>
  <c r="BG138" i="1"/>
  <c r="U139" i="2"/>
  <c r="BG137" i="1"/>
  <c r="V155" i="1" l="1"/>
  <c r="S138" i="2"/>
  <c r="U138" i="2" s="1"/>
  <c r="K138" i="2"/>
  <c r="BE136" i="1"/>
  <c r="BA136" i="1"/>
  <c r="BK142" i="1" s="1"/>
  <c r="BM142" i="1" s="1"/>
  <c r="AL136" i="1"/>
  <c r="AR136" i="1" s="1"/>
  <c r="Q136" i="1"/>
  <c r="S143" i="1" s="1"/>
  <c r="Q138" i="2" l="1"/>
  <c r="M139" i="2"/>
  <c r="Q139" i="2"/>
  <c r="M138" i="2"/>
  <c r="BG136" i="1"/>
  <c r="BE135" i="1"/>
  <c r="BA135" i="1"/>
  <c r="BK141" i="1" s="1"/>
  <c r="BM141" i="1" s="1"/>
  <c r="AL135" i="1"/>
  <c r="AR135" i="1" s="1"/>
  <c r="Q135" i="1"/>
  <c r="S142" i="1" s="1"/>
  <c r="S136" i="2"/>
  <c r="K136" i="2"/>
  <c r="BG135" i="1" l="1"/>
  <c r="U136" i="2"/>
  <c r="S135" i="2"/>
  <c r="BE134" i="1" l="1"/>
  <c r="BA134" i="1"/>
  <c r="BK140" i="1" s="1"/>
  <c r="BM140" i="1" s="1"/>
  <c r="AL134" i="1"/>
  <c r="AR134" i="1" s="1"/>
  <c r="Q134" i="1"/>
  <c r="S141" i="1" s="1"/>
  <c r="K135" i="2"/>
  <c r="S134" i="2"/>
  <c r="BE133" i="1"/>
  <c r="BA133" i="1"/>
  <c r="AL133" i="1"/>
  <c r="AR133" i="1" s="1"/>
  <c r="Q133" i="1"/>
  <c r="S140" i="1" s="1"/>
  <c r="K134" i="2"/>
  <c r="Q135" i="2" l="1"/>
  <c r="M136" i="2"/>
  <c r="Q136" i="2"/>
  <c r="BK139" i="1"/>
  <c r="BG134" i="1"/>
  <c r="U135" i="2"/>
  <c r="M135" i="2"/>
  <c r="BG133" i="1"/>
  <c r="U134" i="2"/>
  <c r="D194" i="1"/>
  <c r="S133" i="2"/>
  <c r="BM139" i="1" l="1"/>
  <c r="W24" i="1"/>
  <c r="W25" i="1"/>
  <c r="BE132" i="1"/>
  <c r="BA132" i="1"/>
  <c r="BK138" i="1" s="1"/>
  <c r="AL132" i="1"/>
  <c r="AR132" i="1" s="1"/>
  <c r="Q132" i="1"/>
  <c r="S139" i="1" s="1"/>
  <c r="K133" i="2"/>
  <c r="M134" i="2" l="1"/>
  <c r="Q134" i="2"/>
  <c r="BM138" i="1"/>
  <c r="BG132" i="1"/>
  <c r="U133" i="2"/>
  <c r="AR188" i="1" l="1"/>
  <c r="S132" i="2"/>
  <c r="K132" i="2"/>
  <c r="BE131" i="1"/>
  <c r="BA131" i="1"/>
  <c r="AL131" i="1"/>
  <c r="AR131" i="1" s="1"/>
  <c r="AG131" i="1"/>
  <c r="AI138" i="1" s="1"/>
  <c r="Q131" i="1"/>
  <c r="S138" i="1" s="1"/>
  <c r="BE130" i="1"/>
  <c r="BA130" i="1"/>
  <c r="AL130" i="1"/>
  <c r="AR130" i="1" s="1"/>
  <c r="Q130" i="1"/>
  <c r="K131" i="2"/>
  <c r="Q131" i="2" s="1"/>
  <c r="K130" i="2"/>
  <c r="U130" i="2" s="1"/>
  <c r="S129" i="2"/>
  <c r="S137" i="1" l="1"/>
  <c r="Q133" i="2"/>
  <c r="M133" i="2"/>
  <c r="U132" i="2"/>
  <c r="U131" i="2"/>
  <c r="M132" i="2"/>
  <c r="M131" i="2"/>
  <c r="Q132" i="2"/>
  <c r="BG131" i="1"/>
  <c r="BG130" i="1"/>
  <c r="BE129" i="1" l="1"/>
  <c r="BA129" i="1"/>
  <c r="AL129" i="1"/>
  <c r="AR129" i="1" s="1"/>
  <c r="Q129" i="1"/>
  <c r="K129" i="2"/>
  <c r="S136" i="1" l="1"/>
  <c r="Q130" i="2"/>
  <c r="M130" i="2"/>
  <c r="BG129" i="1"/>
  <c r="U129" i="2"/>
  <c r="BE128" i="1"/>
  <c r="BA128" i="1"/>
  <c r="AL128" i="1"/>
  <c r="AR128" i="1" s="1"/>
  <c r="Q128" i="1"/>
  <c r="S135" i="1" s="1"/>
  <c r="S128" i="2"/>
  <c r="BG128" i="1" l="1"/>
  <c r="BE127" i="1" l="1"/>
  <c r="BA127" i="1"/>
  <c r="AL127" i="1"/>
  <c r="AR127" i="1" s="1"/>
  <c r="Q127" i="1"/>
  <c r="S134" i="1" s="1"/>
  <c r="K128" i="2"/>
  <c r="Q128" i="2" l="1"/>
  <c r="Q129" i="2"/>
  <c r="M129" i="2"/>
  <c r="BG127" i="1"/>
  <c r="U128" i="2"/>
  <c r="S127" i="2"/>
  <c r="BE126" i="1"/>
  <c r="BA126" i="1"/>
  <c r="AL126" i="1"/>
  <c r="AR126" i="1" s="1"/>
  <c r="Q126" i="1"/>
  <c r="S133" i="1" s="1"/>
  <c r="K127" i="2"/>
  <c r="M128" i="2" s="1"/>
  <c r="S126" i="2"/>
  <c r="BG126" i="1" l="1"/>
  <c r="U127" i="2"/>
  <c r="BE125" i="1" l="1"/>
  <c r="BA125" i="1"/>
  <c r="BK131" i="1" s="1"/>
  <c r="BM131" i="1" s="1"/>
  <c r="AL125" i="1"/>
  <c r="AR125" i="1" s="1"/>
  <c r="Q125" i="1"/>
  <c r="S132" i="1" s="1"/>
  <c r="K126" i="2"/>
  <c r="M127" i="2" l="1"/>
  <c r="Q127" i="2"/>
  <c r="BG125" i="1"/>
  <c r="U126" i="2"/>
  <c r="S125" i="2" l="1"/>
  <c r="AH114" i="1"/>
  <c r="AR184" i="1" s="1"/>
  <c r="AH113" i="1"/>
  <c r="AP184" i="1" s="1"/>
  <c r="BE124" i="1"/>
  <c r="BA124" i="1"/>
  <c r="AL124" i="1"/>
  <c r="AG124" i="1"/>
  <c r="AI131" i="1" s="1"/>
  <c r="K125" i="2"/>
  <c r="S124" i="2"/>
  <c r="AV184" i="1" l="1"/>
  <c r="AH115" i="1"/>
  <c r="Q126" i="2"/>
  <c r="M126" i="2"/>
  <c r="BG124" i="1"/>
  <c r="AR124" i="1"/>
  <c r="U125" i="2"/>
  <c r="BE123" i="1" l="1"/>
  <c r="BA123" i="1"/>
  <c r="AL123" i="1"/>
  <c r="AR123" i="1" s="1"/>
  <c r="K124" i="2"/>
  <c r="M125" i="2" l="1"/>
  <c r="Q125" i="2"/>
  <c r="BG123" i="1"/>
  <c r="U124" i="2"/>
  <c r="S123" i="2"/>
  <c r="BE122" i="1" l="1"/>
  <c r="BA122" i="1"/>
  <c r="AL122" i="1"/>
  <c r="AR122" i="1" s="1"/>
  <c r="K123" i="2"/>
  <c r="M124" i="2" l="1"/>
  <c r="Q124" i="2"/>
  <c r="BG122" i="1"/>
  <c r="U123" i="2"/>
  <c r="M123" i="2"/>
  <c r="S122" i="2"/>
  <c r="D201" i="1"/>
  <c r="BE121" i="1"/>
  <c r="BA121" i="1"/>
  <c r="AL121" i="1"/>
  <c r="AR121" i="1" s="1"/>
  <c r="K122" i="2"/>
  <c r="Q123" i="2" l="1"/>
  <c r="BG121" i="1"/>
  <c r="U122" i="2"/>
  <c r="E121" i="2" l="1"/>
  <c r="S121" i="2"/>
  <c r="BE120" i="1" l="1"/>
  <c r="BA120" i="1"/>
  <c r="AL120" i="1"/>
  <c r="AR120" i="1" s="1"/>
  <c r="K121" i="2"/>
  <c r="M122" i="2" l="1"/>
  <c r="Q122" i="2"/>
  <c r="BG120" i="1"/>
  <c r="U121" i="2"/>
  <c r="D118" i="1" l="1"/>
  <c r="N124" i="1" s="1"/>
  <c r="D116" i="1"/>
  <c r="AH145" i="1" s="1"/>
  <c r="D115" i="1"/>
  <c r="D114" i="1"/>
  <c r="AG188" i="1" l="1"/>
  <c r="AP185" i="1" s="1"/>
  <c r="N117" i="1"/>
  <c r="AH138" i="1"/>
  <c r="AH131" i="1"/>
  <c r="Q124" i="1"/>
  <c r="S131" i="1" s="1"/>
  <c r="Q123" i="1"/>
  <c r="S130" i="1" s="1"/>
  <c r="AH124" i="1"/>
  <c r="Q120" i="1"/>
  <c r="Q121" i="1"/>
  <c r="Q122" i="1"/>
  <c r="S129" i="1" s="1"/>
  <c r="S120" i="2"/>
  <c r="AV185" i="1" l="1"/>
  <c r="S127" i="1"/>
  <c r="S128" i="1"/>
  <c r="BE119" i="1"/>
  <c r="BA119" i="1"/>
  <c r="AL119" i="1"/>
  <c r="AR119" i="1" s="1"/>
  <c r="Q119" i="1"/>
  <c r="S126" i="1" s="1"/>
  <c r="K120" i="2"/>
  <c r="Q121" i="2" l="1"/>
  <c r="M121" i="2"/>
  <c r="BG119" i="1"/>
  <c r="U120" i="2"/>
  <c r="S119" i="2"/>
  <c r="BE118" i="1" l="1"/>
  <c r="BA118" i="1"/>
  <c r="AL118" i="1"/>
  <c r="AR118" i="1" s="1"/>
  <c r="Q118" i="1"/>
  <c r="S125" i="1" s="1"/>
  <c r="K119" i="2"/>
  <c r="Q120" i="2" l="1"/>
  <c r="M120" i="2"/>
  <c r="BK124" i="1"/>
  <c r="BM124" i="1" s="1"/>
  <c r="BG118" i="1"/>
  <c r="U119" i="2"/>
  <c r="S118" i="2" l="1"/>
  <c r="K118" i="2"/>
  <c r="BE117" i="1"/>
  <c r="BA117" i="1"/>
  <c r="AL117" i="1"/>
  <c r="AR117" i="1" s="1"/>
  <c r="AG117" i="1"/>
  <c r="Q117" i="1"/>
  <c r="S124" i="1" s="1"/>
  <c r="Q119" i="2" l="1"/>
  <c r="M119" i="2"/>
  <c r="AI124" i="1"/>
  <c r="U118" i="2"/>
  <c r="M118" i="2"/>
  <c r="BG117" i="1"/>
  <c r="BE116" i="1"/>
  <c r="BA116" i="1"/>
  <c r="AL116" i="1"/>
  <c r="AR116" i="1" s="1"/>
  <c r="S117" i="2"/>
  <c r="K117" i="2"/>
  <c r="S116" i="2"/>
  <c r="K116" i="2"/>
  <c r="BE115" i="1"/>
  <c r="BA115" i="1"/>
  <c r="AL115" i="1"/>
  <c r="AR115" i="1" s="1"/>
  <c r="S115" i="2"/>
  <c r="Q117" i="2" l="1"/>
  <c r="Q118" i="2"/>
  <c r="BG116" i="1"/>
  <c r="U117" i="2"/>
  <c r="M117" i="2"/>
  <c r="U116" i="2"/>
  <c r="BG115" i="1"/>
  <c r="BE114" i="1" l="1"/>
  <c r="BA114" i="1"/>
  <c r="AL114" i="1"/>
  <c r="AR114" i="1" s="1"/>
  <c r="K115" i="2"/>
  <c r="S114" i="2"/>
  <c r="Q116" i="2" l="1"/>
  <c r="M116" i="2"/>
  <c r="U115" i="2"/>
  <c r="BG114" i="1"/>
  <c r="BE113" i="1" l="1"/>
  <c r="BA113" i="1"/>
  <c r="AL113" i="1"/>
  <c r="K114" i="2"/>
  <c r="M115" i="2" l="1"/>
  <c r="Q115" i="2"/>
  <c r="AR113" i="1"/>
  <c r="BG113" i="1"/>
  <c r="U114" i="2"/>
  <c r="S113" i="2" l="1"/>
  <c r="BE112" i="1"/>
  <c r="BA112" i="1"/>
  <c r="AL112" i="1"/>
  <c r="K113" i="2"/>
  <c r="M114" i="2" l="1"/>
  <c r="Q114" i="2"/>
  <c r="AR112" i="1"/>
  <c r="BG112" i="1"/>
  <c r="U113" i="2"/>
  <c r="AH82" i="1"/>
  <c r="AH81" i="1"/>
  <c r="AH80" i="1"/>
  <c r="AH79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H55" i="1"/>
  <c r="AH54" i="1"/>
  <c r="AH53" i="1"/>
  <c r="AH52" i="1"/>
  <c r="S112" i="2" l="1"/>
  <c r="BE111" i="1" l="1"/>
  <c r="K112" i="2"/>
  <c r="Q113" i="2" l="1"/>
  <c r="M113" i="2"/>
  <c r="U112" i="2"/>
  <c r="S111" i="2"/>
  <c r="AP110" i="1"/>
  <c r="BC110" i="1"/>
  <c r="K111" i="2"/>
  <c r="Q112" i="2" s="1"/>
  <c r="BE110" i="1"/>
  <c r="AG110" i="1"/>
  <c r="AI117" i="1" s="1"/>
  <c r="Q110" i="1"/>
  <c r="S117" i="1" s="1"/>
  <c r="BE109" i="1"/>
  <c r="BA109" i="1"/>
  <c r="AL109" i="1"/>
  <c r="AR109" i="1" s="1"/>
  <c r="S110" i="2"/>
  <c r="K110" i="2"/>
  <c r="S109" i="2"/>
  <c r="Q111" i="2" l="1"/>
  <c r="M112" i="2"/>
  <c r="BA111" i="1"/>
  <c r="BK117" i="1" s="1"/>
  <c r="BM117" i="1" s="1"/>
  <c r="AL110" i="1"/>
  <c r="AR110" i="1" s="1"/>
  <c r="AL111" i="1"/>
  <c r="BA110" i="1"/>
  <c r="U111" i="2"/>
  <c r="M111" i="2"/>
  <c r="BG109" i="1"/>
  <c r="U110" i="2"/>
  <c r="K109" i="2"/>
  <c r="BE108" i="1"/>
  <c r="BA108" i="1"/>
  <c r="AL108" i="1"/>
  <c r="AR108" i="1" s="1"/>
  <c r="Q110" i="2" l="1"/>
  <c r="M110" i="2"/>
  <c r="AR111" i="1"/>
  <c r="BG111" i="1"/>
  <c r="BG110" i="1"/>
  <c r="U109" i="2"/>
  <c r="BG108" i="1"/>
  <c r="S108" i="2" l="1"/>
  <c r="BE107" i="1" l="1"/>
  <c r="AL107" i="1"/>
  <c r="AR107" i="1" s="1"/>
  <c r="K108" i="2"/>
  <c r="AA61" i="3"/>
  <c r="BC106" i="1"/>
  <c r="BA107" i="1" s="1"/>
  <c r="AA140" i="3"/>
  <c r="AA139" i="3"/>
  <c r="AA138" i="3"/>
  <c r="AA137" i="3"/>
  <c r="AA136" i="3"/>
  <c r="AA135" i="3"/>
  <c r="AA134" i="3"/>
  <c r="AA133" i="3"/>
  <c r="AA132" i="3"/>
  <c r="AA131" i="3"/>
  <c r="AJ141" i="3"/>
  <c r="AJ144" i="3" s="1"/>
  <c r="Y141" i="3"/>
  <c r="W141" i="3"/>
  <c r="S107" i="2"/>
  <c r="AA141" i="3" l="1"/>
  <c r="AA144" i="3" s="1"/>
  <c r="U141" i="3"/>
  <c r="Q109" i="2"/>
  <c r="M109" i="2"/>
  <c r="BG107" i="1"/>
  <c r="U108" i="2"/>
  <c r="M108" i="2"/>
  <c r="BE106" i="1"/>
  <c r="BA106" i="1"/>
  <c r="AL106" i="1"/>
  <c r="AR106" i="1" s="1"/>
  <c r="K107" i="2"/>
  <c r="Q108" i="2" s="1"/>
  <c r="BG106" i="1" l="1"/>
  <c r="U107" i="2"/>
  <c r="S106" i="2" l="1"/>
  <c r="BE105" i="1"/>
  <c r="BA105" i="1"/>
  <c r="AL105" i="1"/>
  <c r="AR105" i="1" s="1"/>
  <c r="K106" i="2"/>
  <c r="S105" i="2"/>
  <c r="Q107" i="2" l="1"/>
  <c r="M107" i="2"/>
  <c r="BG105" i="1"/>
  <c r="U106" i="2"/>
  <c r="BE104" i="1" l="1"/>
  <c r="BA104" i="1"/>
  <c r="BK110" i="1" s="1"/>
  <c r="BM110" i="1" s="1"/>
  <c r="AL104" i="1"/>
  <c r="AR104" i="1" s="1"/>
  <c r="K105" i="2"/>
  <c r="Q106" i="2" l="1"/>
  <c r="M106" i="2"/>
  <c r="BG104" i="1"/>
  <c r="U105" i="2"/>
  <c r="S104" i="2"/>
  <c r="K104" i="2"/>
  <c r="M105" i="2" s="1"/>
  <c r="BE103" i="1"/>
  <c r="BA103" i="1"/>
  <c r="AL103" i="1"/>
  <c r="AR103" i="1" s="1"/>
  <c r="AG103" i="1"/>
  <c r="Q103" i="1"/>
  <c r="S110" i="1" s="1"/>
  <c r="S103" i="2"/>
  <c r="Q105" i="2" l="1"/>
  <c r="AI110" i="1"/>
  <c r="U104" i="2"/>
  <c r="BG103" i="1"/>
  <c r="BE102" i="1"/>
  <c r="BA102" i="1"/>
  <c r="AL102" i="1"/>
  <c r="AR102" i="1" s="1"/>
  <c r="K103" i="2"/>
  <c r="Q104" i="2" s="1"/>
  <c r="S102" i="2"/>
  <c r="BE101" i="1"/>
  <c r="BA101" i="1"/>
  <c r="AL101" i="1"/>
  <c r="AR101" i="1" s="1"/>
  <c r="S101" i="2"/>
  <c r="K102" i="2"/>
  <c r="M104" i="2" l="1"/>
  <c r="Q103" i="2"/>
  <c r="BG102" i="1"/>
  <c r="U103" i="2"/>
  <c r="M103" i="2"/>
  <c r="BG101" i="1"/>
  <c r="U102" i="2"/>
  <c r="BE100" i="1" l="1"/>
  <c r="BA100" i="1"/>
  <c r="AL100" i="1"/>
  <c r="K101" i="2"/>
  <c r="S100" i="2"/>
  <c r="Q102" i="2" l="1"/>
  <c r="M102" i="2"/>
  <c r="AR100" i="1"/>
  <c r="BG100" i="1"/>
  <c r="U101" i="2"/>
  <c r="BE99" i="1"/>
  <c r="BA99" i="1"/>
  <c r="AL99" i="1"/>
  <c r="AR99" i="1" s="1"/>
  <c r="K100" i="2"/>
  <c r="Q101" i="2" l="1"/>
  <c r="M101" i="2"/>
  <c r="BG99" i="1"/>
  <c r="U100" i="2"/>
  <c r="S99" i="2" l="1"/>
  <c r="BE98" i="1"/>
  <c r="BA98" i="1"/>
  <c r="AL98" i="1"/>
  <c r="AR98" i="1" s="1"/>
  <c r="K99" i="2"/>
  <c r="M100" i="2" l="1"/>
  <c r="Q100" i="2"/>
  <c r="BG98" i="1"/>
  <c r="U99" i="2"/>
  <c r="S98" i="2"/>
  <c r="BE97" i="1" l="1"/>
  <c r="BA97" i="1"/>
  <c r="AL97" i="1"/>
  <c r="AR97" i="1" s="1"/>
  <c r="K98" i="2"/>
  <c r="Q99" i="2" l="1"/>
  <c r="M99" i="2"/>
  <c r="BK103" i="1"/>
  <c r="BM103" i="1" s="1"/>
  <c r="BG97" i="1"/>
  <c r="U98" i="2"/>
  <c r="Q96" i="1" l="1"/>
  <c r="BE96" i="1"/>
  <c r="BA96" i="1"/>
  <c r="AL96" i="1"/>
  <c r="AR96" i="1" s="1"/>
  <c r="AG96" i="1"/>
  <c r="S97" i="2"/>
  <c r="K97" i="2"/>
  <c r="S96" i="2"/>
  <c r="K96" i="2"/>
  <c r="AI103" i="1" l="1"/>
  <c r="S103" i="1"/>
  <c r="Q97" i="2"/>
  <c r="Q98" i="2"/>
  <c r="M98" i="2"/>
  <c r="BG96" i="1"/>
  <c r="U97" i="2"/>
  <c r="M97" i="2"/>
  <c r="U96" i="2"/>
  <c r="BE95" i="1" l="1"/>
  <c r="BA95" i="1"/>
  <c r="AL95" i="1"/>
  <c r="AR95" i="1" s="1"/>
  <c r="S95" i="2"/>
  <c r="BG95" i="1" l="1"/>
  <c r="BE94" i="1"/>
  <c r="BA94" i="1"/>
  <c r="AL94" i="1"/>
  <c r="AR94" i="1" s="1"/>
  <c r="K95" i="2"/>
  <c r="Q96" i="2" l="1"/>
  <c r="M96" i="2"/>
  <c r="BG94" i="1"/>
  <c r="U95" i="2"/>
  <c r="S94" i="2" l="1"/>
  <c r="BE93" i="1" l="1"/>
  <c r="BA93" i="1"/>
  <c r="AL93" i="1"/>
  <c r="AR93" i="1" s="1"/>
  <c r="K94" i="2"/>
  <c r="M95" i="2" l="1"/>
  <c r="Q95" i="2"/>
  <c r="BG93" i="1"/>
  <c r="U94" i="2"/>
  <c r="S93" i="2"/>
  <c r="K93" i="2"/>
  <c r="BE92" i="1"/>
  <c r="BA92" i="1"/>
  <c r="AL92" i="1"/>
  <c r="AR92" i="1" s="1"/>
  <c r="M94" i="2" l="1"/>
  <c r="Q94" i="2"/>
  <c r="U93" i="2"/>
  <c r="BG92" i="1"/>
  <c r="S92" i="2" l="1"/>
  <c r="BE91" i="1" l="1"/>
  <c r="BA91" i="1"/>
  <c r="AL91" i="1"/>
  <c r="AR91" i="1" s="1"/>
  <c r="K92" i="2"/>
  <c r="M93" i="2" l="1"/>
  <c r="Q93" i="2"/>
  <c r="BG91" i="1"/>
  <c r="U92" i="2"/>
  <c r="S91" i="2"/>
  <c r="BE90" i="1" l="1"/>
  <c r="BA90" i="1"/>
  <c r="BK96" i="1" s="1"/>
  <c r="BM96" i="1" s="1"/>
  <c r="AL90" i="1"/>
  <c r="AR90" i="1" s="1"/>
  <c r="K91" i="2"/>
  <c r="Q92" i="2" l="1"/>
  <c r="M92" i="2"/>
  <c r="BG90" i="1"/>
  <c r="U91" i="2"/>
  <c r="S89" i="2"/>
  <c r="S90" i="2"/>
  <c r="K90" i="2"/>
  <c r="M91" i="2" s="1"/>
  <c r="AG75" i="1"/>
  <c r="AG68" i="1"/>
  <c r="AG61" i="1"/>
  <c r="AG47" i="1"/>
  <c r="AG40" i="1"/>
  <c r="Q82" i="1"/>
  <c r="Q75" i="1"/>
  <c r="Q61" i="1"/>
  <c r="Q54" i="1"/>
  <c r="S54" i="1" s="1"/>
  <c r="Q47" i="1"/>
  <c r="Q48" i="1" s="1"/>
  <c r="Q40" i="1"/>
  <c r="Q33" i="1"/>
  <c r="BE89" i="1"/>
  <c r="BA89" i="1"/>
  <c r="AL89" i="1"/>
  <c r="AR89" i="1" s="1"/>
  <c r="AG89" i="1"/>
  <c r="AI96" i="1" s="1"/>
  <c r="Q89" i="1"/>
  <c r="S82" i="1" l="1"/>
  <c r="S89" i="1"/>
  <c r="S96" i="1"/>
  <c r="S40" i="1"/>
  <c r="AI68" i="1"/>
  <c r="S61" i="1"/>
  <c r="AI47" i="1"/>
  <c r="S47" i="1"/>
  <c r="AI75" i="1"/>
  <c r="Q91" i="2"/>
  <c r="U90" i="2"/>
  <c r="BG89" i="1"/>
  <c r="BE88" i="1"/>
  <c r="BA88" i="1"/>
  <c r="AL88" i="1"/>
  <c r="AR88" i="1" s="1"/>
  <c r="K89" i="2"/>
  <c r="Q90" i="2" l="1"/>
  <c r="M90" i="2"/>
  <c r="BG88" i="1"/>
  <c r="U89" i="2"/>
  <c r="S88" i="2"/>
  <c r="BE87" i="1" l="1"/>
  <c r="BA87" i="1"/>
  <c r="AL87" i="1"/>
  <c r="AR87" i="1" s="1"/>
  <c r="K88" i="2"/>
  <c r="Q89" i="2" l="1"/>
  <c r="M89" i="2"/>
  <c r="BG87" i="1"/>
  <c r="U88" i="2"/>
  <c r="S87" i="2"/>
  <c r="K87" i="2"/>
  <c r="Q88" i="2" s="1"/>
  <c r="BE86" i="1"/>
  <c r="BA86" i="1"/>
  <c r="AL86" i="1"/>
  <c r="AR86" i="1" s="1"/>
  <c r="U87" i="2" l="1"/>
  <c r="M88" i="2"/>
  <c r="BG86" i="1"/>
  <c r="S86" i="2"/>
  <c r="BE85" i="1" l="1"/>
  <c r="BA85" i="1"/>
  <c r="AL85" i="1"/>
  <c r="AR85" i="1" s="1"/>
  <c r="K86" i="2"/>
  <c r="Q87" i="2" l="1"/>
  <c r="M87" i="2"/>
  <c r="BG85" i="1"/>
  <c r="U86" i="2"/>
  <c r="S85" i="2"/>
  <c r="K85" i="2" l="1"/>
  <c r="BE84" i="1"/>
  <c r="BA84" i="1"/>
  <c r="AL84" i="1"/>
  <c r="AR84" i="1" s="1"/>
  <c r="Q86" i="2" l="1"/>
  <c r="M86" i="2"/>
  <c r="U85" i="2"/>
  <c r="BG84" i="1"/>
  <c r="BE83" i="1" l="1"/>
  <c r="BA83" i="1"/>
  <c r="BK89" i="1" s="1"/>
  <c r="BM89" i="1" s="1"/>
  <c r="AL83" i="1"/>
  <c r="AR83" i="1" s="1"/>
  <c r="S84" i="2"/>
  <c r="K84" i="2"/>
  <c r="F152" i="3"/>
  <c r="F155" i="3" s="1"/>
  <c r="S83" i="2"/>
  <c r="Q85" i="2" l="1"/>
  <c r="M85" i="2"/>
  <c r="BG83" i="1"/>
  <c r="U84" i="2"/>
  <c r="W78" i="1" l="1"/>
  <c r="K83" i="2"/>
  <c r="BE82" i="1"/>
  <c r="BA82" i="1"/>
  <c r="AL82" i="1"/>
  <c r="S82" i="2"/>
  <c r="K82" i="2"/>
  <c r="BE81" i="1"/>
  <c r="BA81" i="1"/>
  <c r="AL81" i="1"/>
  <c r="AG82" i="1" l="1"/>
  <c r="AI82" i="1" s="1"/>
  <c r="AH78" i="1"/>
  <c r="AG84" i="1" s="1"/>
  <c r="U83" i="2"/>
  <c r="Q84" i="2"/>
  <c r="M84" i="2"/>
  <c r="AR82" i="1"/>
  <c r="BG82" i="1"/>
  <c r="M83" i="2"/>
  <c r="Q83" i="2"/>
  <c r="U82" i="2"/>
  <c r="AR81" i="1"/>
  <c r="BG81" i="1"/>
  <c r="AL80" i="1"/>
  <c r="AR80" i="1" s="1"/>
  <c r="S81" i="2"/>
  <c r="K81" i="2"/>
  <c r="M82" i="2" s="1"/>
  <c r="BE80" i="1"/>
  <c r="BA80" i="1"/>
  <c r="AI89" i="1" l="1"/>
  <c r="AR183" i="1"/>
  <c r="U81" i="2"/>
  <c r="Q82" i="2"/>
  <c r="BG80" i="1"/>
  <c r="S80" i="2"/>
  <c r="K80" i="2"/>
  <c r="BE79" i="1"/>
  <c r="BA79" i="1"/>
  <c r="AL79" i="1"/>
  <c r="U80" i="2" l="1"/>
  <c r="Q81" i="2"/>
  <c r="M81" i="2"/>
  <c r="AR79" i="1"/>
  <c r="BG79" i="1"/>
  <c r="S79" i="2"/>
  <c r="K79" i="2" l="1"/>
  <c r="BE78" i="1"/>
  <c r="BA78" i="1"/>
  <c r="AL78" i="1"/>
  <c r="AR78" i="1" s="1"/>
  <c r="M80" i="2" l="1"/>
  <c r="Q80" i="2"/>
  <c r="U79" i="2"/>
  <c r="BG78" i="1"/>
  <c r="S78" i="2" l="1"/>
  <c r="BE77" i="1"/>
  <c r="BA77" i="1"/>
  <c r="AL77" i="1"/>
  <c r="AR77" i="1" s="1"/>
  <c r="K78" i="2"/>
  <c r="Q79" i="2" l="1"/>
  <c r="M79" i="2"/>
  <c r="BG77" i="1"/>
  <c r="U78" i="2"/>
  <c r="BE76" i="1"/>
  <c r="BA76" i="1"/>
  <c r="AL76" i="1"/>
  <c r="AR76" i="1" s="1"/>
  <c r="S77" i="2"/>
  <c r="K77" i="2"/>
  <c r="Q78" i="2" s="1"/>
  <c r="BK82" i="1" l="1"/>
  <c r="BK83" i="1"/>
  <c r="M78" i="2"/>
  <c r="BM82" i="1"/>
  <c r="BK170" i="1"/>
  <c r="BG76" i="1"/>
  <c r="U77" i="2"/>
  <c r="S76" i="2"/>
  <c r="BE75" i="1" l="1"/>
  <c r="BA75" i="1"/>
  <c r="AL75" i="1"/>
  <c r="AR75" i="1" s="1"/>
  <c r="K76" i="2"/>
  <c r="Q77" i="2" l="1"/>
  <c r="M77" i="2"/>
  <c r="BG75" i="1"/>
  <c r="U76" i="2"/>
  <c r="S75" i="2" l="1"/>
  <c r="BE74" i="1"/>
  <c r="BA74" i="1"/>
  <c r="AL74" i="1"/>
  <c r="AR74" i="1" s="1"/>
  <c r="K75" i="2"/>
  <c r="M76" i="2" l="1"/>
  <c r="Q76" i="2"/>
  <c r="BG74" i="1"/>
  <c r="U75" i="2"/>
  <c r="S74" i="2"/>
  <c r="K74" i="2"/>
  <c r="BE73" i="1"/>
  <c r="BA73" i="1"/>
  <c r="AL73" i="1"/>
  <c r="M75" i="2" l="1"/>
  <c r="Q75" i="2"/>
  <c r="AR73" i="1"/>
  <c r="U74" i="2"/>
  <c r="BG73" i="1"/>
  <c r="D183" i="1"/>
  <c r="I60" i="3"/>
  <c r="AH153" i="1" l="1"/>
  <c r="AH152" i="1"/>
  <c r="S73" i="2"/>
  <c r="K73" i="2"/>
  <c r="S72" i="2"/>
  <c r="BE72" i="1"/>
  <c r="BA72" i="1"/>
  <c r="AL72" i="1"/>
  <c r="AR72" i="1" s="1"/>
  <c r="Q74" i="2" l="1"/>
  <c r="M74" i="2"/>
  <c r="BG72" i="1"/>
  <c r="U73" i="2"/>
  <c r="K72" i="2"/>
  <c r="BE71" i="1"/>
  <c r="BA71" i="1"/>
  <c r="AL71" i="1"/>
  <c r="AR71" i="1" s="1"/>
  <c r="M73" i="2" l="1"/>
  <c r="Q73" i="2"/>
  <c r="U72" i="2"/>
  <c r="BG71" i="1"/>
  <c r="S71" i="2"/>
  <c r="K71" i="2"/>
  <c r="M72" i="2" l="1"/>
  <c r="Q72" i="2"/>
  <c r="U71" i="2"/>
  <c r="BE70" i="1"/>
  <c r="BA70" i="1"/>
  <c r="AL70" i="1"/>
  <c r="AR70" i="1" s="1"/>
  <c r="BG70" i="1" l="1"/>
  <c r="S70" i="2"/>
  <c r="K70" i="2" l="1"/>
  <c r="BE69" i="1"/>
  <c r="BA69" i="1"/>
  <c r="BK75" i="1" s="1"/>
  <c r="BM75" i="1" s="1"/>
  <c r="AL69" i="1"/>
  <c r="AR69" i="1" s="1"/>
  <c r="Q71" i="2" l="1"/>
  <c r="M71" i="2"/>
  <c r="U70" i="2"/>
  <c r="BG69" i="1"/>
  <c r="S69" i="2"/>
  <c r="K69" i="2" l="1"/>
  <c r="BE68" i="1"/>
  <c r="BA68" i="1"/>
  <c r="AL68" i="1"/>
  <c r="AR68" i="1" s="1"/>
  <c r="Q70" i="2" l="1"/>
  <c r="M70" i="2"/>
  <c r="U69" i="2"/>
  <c r="BG68" i="1"/>
  <c r="S68" i="2"/>
  <c r="D65" i="1"/>
  <c r="K68" i="2"/>
  <c r="M69" i="2" s="1"/>
  <c r="BE67" i="1"/>
  <c r="BA67" i="1"/>
  <c r="AL67" i="1"/>
  <c r="Q68" i="1" l="1"/>
  <c r="AG83" i="1"/>
  <c r="S68" i="1"/>
  <c r="S75" i="1"/>
  <c r="Q69" i="2"/>
  <c r="AR67" i="1"/>
  <c r="U68" i="2"/>
  <c r="BG67" i="1"/>
  <c r="AG85" i="1" l="1"/>
  <c r="AP183" i="1"/>
  <c r="AV183" i="1" s="1"/>
  <c r="S67" i="2"/>
  <c r="K67" i="2"/>
  <c r="BE66" i="1"/>
  <c r="BA66" i="1"/>
  <c r="AL66" i="1"/>
  <c r="AR66" i="1" s="1"/>
  <c r="M68" i="2" l="1"/>
  <c r="Q68" i="2"/>
  <c r="U67" i="2"/>
  <c r="BG66" i="1"/>
  <c r="S66" i="2"/>
  <c r="K66" i="2" l="1"/>
  <c r="BE65" i="1"/>
  <c r="BA65" i="1"/>
  <c r="AL65" i="1"/>
  <c r="Q67" i="2" l="1"/>
  <c r="M67" i="2"/>
  <c r="AR65" i="1"/>
  <c r="U66" i="2"/>
  <c r="BG65" i="1"/>
  <c r="S65" i="2" l="1"/>
  <c r="I142" i="3" l="1"/>
  <c r="I139" i="3"/>
  <c r="L139" i="3" s="1"/>
  <c r="I78" i="3"/>
  <c r="I80" i="3" s="1"/>
  <c r="I77" i="3"/>
  <c r="BE64" i="1"/>
  <c r="BA64" i="1"/>
  <c r="AL64" i="1"/>
  <c r="AR64" i="1" s="1"/>
  <c r="K65" i="2"/>
  <c r="Y19" i="3"/>
  <c r="Q66" i="2" l="1"/>
  <c r="M66" i="2"/>
  <c r="L142" i="3"/>
  <c r="I79" i="3"/>
  <c r="I81" i="3" s="1"/>
  <c r="I82" i="3" s="1"/>
  <c r="BG64" i="1"/>
  <c r="U65" i="2"/>
  <c r="S64" i="2"/>
  <c r="N81" i="3" l="1"/>
  <c r="N82" i="3" s="1"/>
  <c r="I141" i="3"/>
  <c r="L141" i="3" s="1"/>
  <c r="K64" i="2"/>
  <c r="BE63" i="1"/>
  <c r="BA63" i="1"/>
  <c r="AL63" i="1"/>
  <c r="AR63" i="1" s="1"/>
  <c r="Y18" i="3"/>
  <c r="Q65" i="2" l="1"/>
  <c r="M65" i="2"/>
  <c r="I143" i="3"/>
  <c r="U64" i="2"/>
  <c r="BG63" i="1"/>
  <c r="L132" i="3" l="1"/>
  <c r="L143" i="3"/>
  <c r="L131" i="3"/>
  <c r="S63" i="2"/>
  <c r="BE62" i="1"/>
  <c r="BA62" i="1"/>
  <c r="BK68" i="1" s="1"/>
  <c r="BM68" i="1" s="1"/>
  <c r="AL62" i="1"/>
  <c r="AR62" i="1" s="1"/>
  <c r="K63" i="2"/>
  <c r="Y17" i="3"/>
  <c r="Q64" i="2" l="1"/>
  <c r="M64" i="2"/>
  <c r="BG62" i="1"/>
  <c r="U63" i="2"/>
  <c r="L55" i="7"/>
  <c r="L56" i="7" s="1"/>
  <c r="L57" i="7" s="1"/>
  <c r="L58" i="7" s="1"/>
  <c r="L59" i="7" s="1"/>
  <c r="S62" i="2"/>
  <c r="BE61" i="1" l="1"/>
  <c r="BA61" i="1"/>
  <c r="AL61" i="1"/>
  <c r="AR61" i="1" s="1"/>
  <c r="K62" i="2"/>
  <c r="Y16" i="3"/>
  <c r="M63" i="2" l="1"/>
  <c r="Q63" i="2"/>
  <c r="BG61" i="1"/>
  <c r="U62" i="2"/>
  <c r="S61" i="2"/>
  <c r="Y15" i="3" l="1"/>
  <c r="K61" i="2"/>
  <c r="Q62" i="2" l="1"/>
  <c r="M62" i="2"/>
  <c r="U61" i="2"/>
  <c r="BE60" i="1"/>
  <c r="BA60" i="1"/>
  <c r="AL60" i="1"/>
  <c r="I58" i="3"/>
  <c r="I55" i="3"/>
  <c r="L55" i="3" l="1"/>
  <c r="L58" i="3"/>
  <c r="AR60" i="1"/>
  <c r="BG60" i="1"/>
  <c r="S60" i="2"/>
  <c r="T170" i="2"/>
  <c r="S59" i="2"/>
  <c r="K60" i="2"/>
  <c r="BE59" i="1"/>
  <c r="BA59" i="1"/>
  <c r="AL59" i="1"/>
  <c r="AR59" i="1" s="1"/>
  <c r="Y14" i="3"/>
  <c r="M61" i="2" l="1"/>
  <c r="Q61" i="2"/>
  <c r="U60" i="2"/>
  <c r="BG59" i="1"/>
  <c r="D55" i="7"/>
  <c r="D56" i="7" s="1"/>
  <c r="D57" i="7" s="1"/>
  <c r="D58" i="7" s="1"/>
  <c r="D59" i="7" s="1"/>
  <c r="D60" i="7" s="1"/>
  <c r="K59" i="2"/>
  <c r="Y13" i="3"/>
  <c r="BE58" i="1"/>
  <c r="BA58" i="1"/>
  <c r="AL58" i="1"/>
  <c r="AR58" i="1" s="1"/>
  <c r="M60" i="2" l="1"/>
  <c r="Q60" i="2"/>
  <c r="U59" i="2"/>
  <c r="BG58" i="1"/>
  <c r="S58" i="2"/>
  <c r="AA11" i="3" l="1"/>
  <c r="AA10" i="3"/>
  <c r="AA9" i="3"/>
  <c r="AA8" i="3"/>
  <c r="AA7" i="3"/>
  <c r="K58" i="2" l="1"/>
  <c r="BE57" i="1"/>
  <c r="BA57" i="1"/>
  <c r="AL57" i="1"/>
  <c r="AR57" i="1" s="1"/>
  <c r="M59" i="2" l="1"/>
  <c r="Q59" i="2"/>
  <c r="U58" i="2"/>
  <c r="BG57" i="1"/>
  <c r="I47" i="3"/>
  <c r="I49" i="3" s="1"/>
  <c r="I46" i="3"/>
  <c r="U7" i="3"/>
  <c r="U8" i="3" s="1"/>
  <c r="U9" i="3" s="1"/>
  <c r="U10" i="3" s="1"/>
  <c r="U11" i="3" s="1"/>
  <c r="U12" i="3" s="1"/>
  <c r="U13" i="3" s="1"/>
  <c r="U14" i="3" s="1"/>
  <c r="U15" i="3" s="1"/>
  <c r="U16" i="3" s="1"/>
  <c r="U17" i="3" s="1"/>
  <c r="U18" i="3" s="1"/>
  <c r="U19" i="3" s="1"/>
  <c r="U20" i="3" s="1"/>
  <c r="U21" i="3" s="1"/>
  <c r="U22" i="3" s="1"/>
  <c r="U23" i="3" s="1"/>
  <c r="U24" i="3" s="1"/>
  <c r="U25" i="3" s="1"/>
  <c r="U26" i="3" s="1"/>
  <c r="U27" i="3" s="1"/>
  <c r="U28" i="3" s="1"/>
  <c r="U29" i="3" s="1"/>
  <c r="U30" i="3" s="1"/>
  <c r="U31" i="3" s="1"/>
  <c r="U32" i="3" s="1"/>
  <c r="U33" i="3" s="1"/>
  <c r="U34" i="3" s="1"/>
  <c r="U35" i="3" s="1"/>
  <c r="U36" i="3" s="1"/>
  <c r="U37" i="3" s="1"/>
  <c r="U38" i="3" s="1"/>
  <c r="U39" i="3" l="1"/>
  <c r="U40" i="3" s="1"/>
  <c r="U41" i="3" s="1"/>
  <c r="U42" i="3" s="1"/>
  <c r="U43" i="3" s="1"/>
  <c r="U44" i="3" s="1"/>
  <c r="U45" i="3" s="1"/>
  <c r="U46" i="3" s="1"/>
  <c r="U47" i="3" s="1"/>
  <c r="U48" i="3" s="1"/>
  <c r="U49" i="3" s="1"/>
  <c r="U50" i="3" s="1"/>
  <c r="U51" i="3" s="1"/>
  <c r="U52" i="3" s="1"/>
  <c r="U53" i="3" s="1"/>
  <c r="U54" i="3" s="1"/>
  <c r="U55" i="3" s="1"/>
  <c r="U56" i="3" s="1"/>
  <c r="U57" i="3" s="1"/>
  <c r="U58" i="3" s="1"/>
  <c r="I48" i="3"/>
  <c r="I50" i="3" s="1"/>
  <c r="I57" i="3" s="1"/>
  <c r="AF30" i="2"/>
  <c r="AD30" i="2"/>
  <c r="S57" i="2"/>
  <c r="L54" i="7"/>
  <c r="K57" i="2"/>
  <c r="BE56" i="1"/>
  <c r="BA56" i="1"/>
  <c r="AL56" i="1"/>
  <c r="AR56" i="1" s="1"/>
  <c r="U59" i="3" l="1"/>
  <c r="U60" i="3" s="1"/>
  <c r="U61" i="3" s="1"/>
  <c r="U62" i="3" s="1"/>
  <c r="U63" i="3" s="1"/>
  <c r="U64" i="3" s="1"/>
  <c r="U65" i="3" s="1"/>
  <c r="U66" i="3" s="1"/>
  <c r="U67" i="3" s="1"/>
  <c r="U68" i="3" s="1"/>
  <c r="U69" i="3" s="1"/>
  <c r="U70" i="3" s="1"/>
  <c r="U71" i="3" s="1"/>
  <c r="U72" i="3" s="1"/>
  <c r="U73" i="3" s="1"/>
  <c r="U74" i="3" s="1"/>
  <c r="U75" i="3" s="1"/>
  <c r="U76" i="3" s="1"/>
  <c r="U77" i="3" s="1"/>
  <c r="U78" i="3" s="1"/>
  <c r="U79" i="3" s="1"/>
  <c r="U80" i="3" s="1"/>
  <c r="U81" i="3" s="1"/>
  <c r="U82" i="3" s="1"/>
  <c r="U83" i="3" s="1"/>
  <c r="U84" i="3" s="1"/>
  <c r="U85" i="3" s="1"/>
  <c r="U86" i="3" s="1"/>
  <c r="U87" i="3" s="1"/>
  <c r="U88" i="3" s="1"/>
  <c r="U89" i="3" s="1"/>
  <c r="U90" i="3" s="1"/>
  <c r="U91" i="3" s="1"/>
  <c r="U92" i="3" s="1"/>
  <c r="U93" i="3" s="1"/>
  <c r="Q58" i="2"/>
  <c r="M58" i="2"/>
  <c r="I59" i="3"/>
  <c r="L57" i="3"/>
  <c r="N50" i="3"/>
  <c r="I51" i="3"/>
  <c r="U57" i="2"/>
  <c r="BG56" i="1"/>
  <c r="S56" i="2"/>
  <c r="L53" i="7"/>
  <c r="K56" i="2"/>
  <c r="Q57" i="2" s="1"/>
  <c r="BE55" i="1"/>
  <c r="BA55" i="1"/>
  <c r="BK61" i="1" s="1"/>
  <c r="BM61" i="1" s="1"/>
  <c r="AL55" i="1"/>
  <c r="AR55" i="1" s="1"/>
  <c r="U94" i="3" l="1"/>
  <c r="U95" i="3" s="1"/>
  <c r="U96" i="3" s="1"/>
  <c r="U97" i="3" s="1"/>
  <c r="U98" i="3" s="1"/>
  <c r="U99" i="3" s="1"/>
  <c r="U100" i="3" s="1"/>
  <c r="M57" i="2"/>
  <c r="I61" i="3"/>
  <c r="L61" i="3" s="1"/>
  <c r="L67" i="3"/>
  <c r="L66" i="3"/>
  <c r="L59" i="3"/>
  <c r="N51" i="3"/>
  <c r="U56" i="2"/>
  <c r="BG55" i="1"/>
  <c r="W48" i="1"/>
  <c r="AG54" i="1" s="1"/>
  <c r="S55" i="2"/>
  <c r="L52" i="7"/>
  <c r="K55" i="2"/>
  <c r="Q56" i="2" s="1"/>
  <c r="BE54" i="1"/>
  <c r="BA54" i="1"/>
  <c r="AL54" i="1"/>
  <c r="AR54" i="1" s="1"/>
  <c r="U101" i="3" l="1"/>
  <c r="U102" i="3" s="1"/>
  <c r="U103" i="3" s="1"/>
  <c r="U104" i="3" s="1"/>
  <c r="U105" i="3" s="1"/>
  <c r="U106" i="3" s="1"/>
  <c r="AI54" i="1"/>
  <c r="AI61" i="1"/>
  <c r="U55" i="2"/>
  <c r="M56" i="2"/>
  <c r="BG54" i="1"/>
  <c r="S54" i="2"/>
  <c r="U107" i="3" l="1"/>
  <c r="U108" i="3" s="1"/>
  <c r="U109" i="3" s="1"/>
  <c r="U110" i="3" s="1"/>
  <c r="U111" i="3" s="1"/>
  <c r="U112" i="3" s="1"/>
  <c r="U113" i="3" s="1"/>
  <c r="U114" i="3" s="1"/>
  <c r="U122" i="3" s="1"/>
  <c r="U123" i="3" s="1"/>
  <c r="L51" i="7"/>
  <c r="K54" i="2"/>
  <c r="BE53" i="1"/>
  <c r="BA53" i="1"/>
  <c r="AL53" i="1"/>
  <c r="AR53" i="1" s="1"/>
  <c r="F73" i="7"/>
  <c r="F71" i="7"/>
  <c r="S53" i="2"/>
  <c r="L50" i="7"/>
  <c r="Q55" i="2" l="1"/>
  <c r="M55" i="2"/>
  <c r="U54" i="2"/>
  <c r="BG53" i="1"/>
  <c r="K53" i="2"/>
  <c r="Q54" i="2" s="1"/>
  <c r="BE52" i="1"/>
  <c r="BA52" i="1"/>
  <c r="AL52" i="1"/>
  <c r="AR52" i="1" s="1"/>
  <c r="M54" i="2" l="1"/>
  <c r="U53" i="2"/>
  <c r="BG52" i="1"/>
  <c r="G46" i="2"/>
  <c r="AO182" i="2"/>
  <c r="S52" i="2"/>
  <c r="AD29" i="2" l="1"/>
  <c r="G51" i="2"/>
  <c r="K51" i="2" s="1"/>
  <c r="G50" i="2"/>
  <c r="G49" i="2"/>
  <c r="G48" i="2"/>
  <c r="K48" i="2" s="1"/>
  <c r="G47" i="2"/>
  <c r="K47" i="2" s="1"/>
  <c r="G45" i="2"/>
  <c r="K45" i="2" s="1"/>
  <c r="G44" i="2"/>
  <c r="K44" i="2" s="1"/>
  <c r="G43" i="2"/>
  <c r="G42" i="2"/>
  <c r="G41" i="2"/>
  <c r="G40" i="2"/>
  <c r="K40" i="2" s="1"/>
  <c r="G39" i="2"/>
  <c r="G38" i="2"/>
  <c r="K38" i="2" s="1"/>
  <c r="G37" i="2"/>
  <c r="K37" i="2" s="1"/>
  <c r="G36" i="2"/>
  <c r="K36" i="2" s="1"/>
  <c r="Q36" i="2" s="1"/>
  <c r="G35" i="2"/>
  <c r="G34" i="2"/>
  <c r="G33" i="2"/>
  <c r="G32" i="2"/>
  <c r="K32" i="2" s="1"/>
  <c r="G31" i="2"/>
  <c r="K31" i="2" s="1"/>
  <c r="K52" i="2"/>
  <c r="K50" i="2"/>
  <c r="K49" i="2"/>
  <c r="Q49" i="2" s="1"/>
  <c r="K46" i="2"/>
  <c r="K43" i="2"/>
  <c r="K42" i="2"/>
  <c r="K41" i="2"/>
  <c r="K39" i="2"/>
  <c r="K35" i="2"/>
  <c r="K34" i="2"/>
  <c r="K33" i="2"/>
  <c r="Q33" i="2" s="1"/>
  <c r="G30" i="2"/>
  <c r="K30" i="2" s="1"/>
  <c r="I24" i="3"/>
  <c r="I26" i="3" s="1"/>
  <c r="BW11" i="1"/>
  <c r="BW12" i="1" s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J16" i="2"/>
  <c r="AJ19" i="2" s="1"/>
  <c r="AD28" i="2"/>
  <c r="F170" i="2"/>
  <c r="AD27" i="2"/>
  <c r="AF41" i="2"/>
  <c r="AH41" i="2" s="1"/>
  <c r="AH40" i="2"/>
  <c r="AH39" i="2"/>
  <c r="AH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G29" i="2"/>
  <c r="K29" i="2" s="1"/>
  <c r="S28" i="2"/>
  <c r="K28" i="2"/>
  <c r="S27" i="2"/>
  <c r="K27" i="2"/>
  <c r="S26" i="2"/>
  <c r="K26" i="2"/>
  <c r="S25" i="2"/>
  <c r="K25" i="2"/>
  <c r="S24" i="2"/>
  <c r="K24" i="2"/>
  <c r="S23" i="2"/>
  <c r="K23" i="2"/>
  <c r="S22" i="2"/>
  <c r="K22" i="2"/>
  <c r="S21" i="2"/>
  <c r="K21" i="2"/>
  <c r="S20" i="2"/>
  <c r="K20" i="2"/>
  <c r="S19" i="2"/>
  <c r="K19" i="2"/>
  <c r="K18" i="2"/>
  <c r="W12" i="2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W68" i="2" s="1"/>
  <c r="W69" i="2" s="1"/>
  <c r="W70" i="2" s="1"/>
  <c r="W71" i="2" s="1"/>
  <c r="W72" i="2" s="1"/>
  <c r="W73" i="2" s="1"/>
  <c r="W74" i="2" s="1"/>
  <c r="W75" i="2" s="1"/>
  <c r="W76" i="2" s="1"/>
  <c r="C149" i="2" l="1"/>
  <c r="C150" i="2" s="1"/>
  <c r="C151" i="2" s="1"/>
  <c r="C152" i="2" s="1"/>
  <c r="C153" i="2" s="1"/>
  <c r="Q41" i="2"/>
  <c r="Q39" i="2"/>
  <c r="Q21" i="2"/>
  <c r="Q25" i="2"/>
  <c r="Q31" i="2"/>
  <c r="Q42" i="2"/>
  <c r="Q38" i="2"/>
  <c r="Q44" i="2"/>
  <c r="Q32" i="2"/>
  <c r="Q48" i="2"/>
  <c r="U50" i="2"/>
  <c r="Q50" i="2"/>
  <c r="Q26" i="2"/>
  <c r="Q43" i="2"/>
  <c r="Q40" i="2"/>
  <c r="Q23" i="2"/>
  <c r="Q34" i="2"/>
  <c r="Q45" i="2"/>
  <c r="AF16" i="2"/>
  <c r="AF19" i="2" s="1"/>
  <c r="Q52" i="2"/>
  <c r="M53" i="2"/>
  <c r="Q53" i="2"/>
  <c r="Q20" i="2"/>
  <c r="Q28" i="2"/>
  <c r="Q35" i="2"/>
  <c r="Q46" i="2"/>
  <c r="Q51" i="2"/>
  <c r="Q29" i="2"/>
  <c r="Q30" i="2"/>
  <c r="Q22" i="2"/>
  <c r="Q19" i="2"/>
  <c r="Q27" i="2"/>
  <c r="Q24" i="2"/>
  <c r="Q37" i="2"/>
  <c r="Q47" i="2"/>
  <c r="AJ49" i="2"/>
  <c r="AD50" i="2"/>
  <c r="W77" i="2"/>
  <c r="W78" i="2" s="1"/>
  <c r="W79" i="2" s="1"/>
  <c r="W80" i="2" s="1"/>
  <c r="W81" i="2" s="1"/>
  <c r="W82" i="2" s="1"/>
  <c r="W83" i="2" s="1"/>
  <c r="W84" i="2" s="1"/>
  <c r="W85" i="2" s="1"/>
  <c r="W86" i="2" s="1"/>
  <c r="W87" i="2" s="1"/>
  <c r="W88" i="2" s="1"/>
  <c r="W89" i="2" s="1"/>
  <c r="W90" i="2" s="1"/>
  <c r="W91" i="2" s="1"/>
  <c r="W92" i="2" s="1"/>
  <c r="W93" i="2" s="1"/>
  <c r="W94" i="2" s="1"/>
  <c r="W95" i="2" s="1"/>
  <c r="W96" i="2" s="1"/>
  <c r="W97" i="2" s="1"/>
  <c r="W98" i="2" s="1"/>
  <c r="W99" i="2" s="1"/>
  <c r="W100" i="2" s="1"/>
  <c r="W101" i="2" s="1"/>
  <c r="W102" i="2" s="1"/>
  <c r="W103" i="2" s="1"/>
  <c r="W104" i="2" s="1"/>
  <c r="W105" i="2" s="1"/>
  <c r="W106" i="2" s="1"/>
  <c r="W107" i="2" s="1"/>
  <c r="W108" i="2" s="1"/>
  <c r="W109" i="2" s="1"/>
  <c r="W110" i="2" s="1"/>
  <c r="W111" i="2" s="1"/>
  <c r="W112" i="2" s="1"/>
  <c r="BW13" i="1"/>
  <c r="AX12" i="1"/>
  <c r="AD31" i="2"/>
  <c r="AH30" i="2" s="1"/>
  <c r="AJ30" i="2" s="1"/>
  <c r="M32" i="2"/>
  <c r="M44" i="2"/>
  <c r="M35" i="2"/>
  <c r="M43" i="2"/>
  <c r="U20" i="2"/>
  <c r="U32" i="2"/>
  <c r="U48" i="2"/>
  <c r="M21" i="2"/>
  <c r="M41" i="2"/>
  <c r="M45" i="2"/>
  <c r="M49" i="2"/>
  <c r="U24" i="2"/>
  <c r="U36" i="2"/>
  <c r="M33" i="2"/>
  <c r="M29" i="2"/>
  <c r="U28" i="2"/>
  <c r="U44" i="2"/>
  <c r="M25" i="2"/>
  <c r="U25" i="2"/>
  <c r="U33" i="2"/>
  <c r="U37" i="2"/>
  <c r="U41" i="2"/>
  <c r="U45" i="2"/>
  <c r="U49" i="2"/>
  <c r="M38" i="2"/>
  <c r="M30" i="2"/>
  <c r="M51" i="2"/>
  <c r="M26" i="2"/>
  <c r="U19" i="2"/>
  <c r="U23" i="2"/>
  <c r="U27" i="2"/>
  <c r="M40" i="2"/>
  <c r="M48" i="2"/>
  <c r="U21" i="2"/>
  <c r="U29" i="2"/>
  <c r="M22" i="2"/>
  <c r="U26" i="2"/>
  <c r="M19" i="2"/>
  <c r="M23" i="2"/>
  <c r="M27" i="2"/>
  <c r="U30" i="2"/>
  <c r="U34" i="2"/>
  <c r="U42" i="2"/>
  <c r="U22" i="2"/>
  <c r="M36" i="2"/>
  <c r="M52" i="2"/>
  <c r="M20" i="2"/>
  <c r="M24" i="2"/>
  <c r="M28" i="2"/>
  <c r="U31" i="2"/>
  <c r="U35" i="2"/>
  <c r="U39" i="2"/>
  <c r="U43" i="2"/>
  <c r="U47" i="2"/>
  <c r="U51" i="2"/>
  <c r="M37" i="2"/>
  <c r="M47" i="2"/>
  <c r="M46" i="2"/>
  <c r="M39" i="2"/>
  <c r="U38" i="2"/>
  <c r="U46" i="2"/>
  <c r="M34" i="2"/>
  <c r="M42" i="2"/>
  <c r="M50" i="2"/>
  <c r="U40" i="2"/>
  <c r="M31" i="2"/>
  <c r="U52" i="2"/>
  <c r="BE51" i="1"/>
  <c r="BA51" i="1"/>
  <c r="AL51" i="1"/>
  <c r="AR51" i="1" s="1"/>
  <c r="C154" i="2" l="1"/>
  <c r="C155" i="2" s="1"/>
  <c r="C156" i="2" s="1"/>
  <c r="C157" i="2" s="1"/>
  <c r="C158" i="2" s="1"/>
  <c r="C159" i="2" s="1"/>
  <c r="W113" i="2"/>
  <c r="W114" i="2" s="1"/>
  <c r="W115" i="2" s="1"/>
  <c r="W116" i="2" s="1"/>
  <c r="W117" i="2" s="1"/>
  <c r="W118" i="2" s="1"/>
  <c r="W119" i="2" s="1"/>
  <c r="W120" i="2" s="1"/>
  <c r="W121" i="2" s="1"/>
  <c r="BW14" i="1"/>
  <c r="AX13" i="1"/>
  <c r="AH29" i="2"/>
  <c r="AJ29" i="2" s="1"/>
  <c r="AH28" i="2"/>
  <c r="AJ28" i="2" s="1"/>
  <c r="AH27" i="2"/>
  <c r="BG51" i="1"/>
  <c r="BE50" i="1"/>
  <c r="BA50" i="1"/>
  <c r="AL50" i="1"/>
  <c r="AR50" i="1" s="1"/>
  <c r="W122" i="2" l="1"/>
  <c r="W123" i="2" s="1"/>
  <c r="W124" i="2" s="1"/>
  <c r="W125" i="2" s="1"/>
  <c r="W126" i="2" s="1"/>
  <c r="W127" i="2" s="1"/>
  <c r="BW15" i="1"/>
  <c r="AX14" i="1"/>
  <c r="AJ27" i="2"/>
  <c r="AH31" i="2"/>
  <c r="BG50" i="1"/>
  <c r="W128" i="2" l="1"/>
  <c r="W129" i="2" s="1"/>
  <c r="W130" i="2" s="1"/>
  <c r="W131" i="2" s="1"/>
  <c r="W132" i="2" s="1"/>
  <c r="W133" i="2" s="1"/>
  <c r="W134" i="2" s="1"/>
  <c r="BW16" i="1"/>
  <c r="AX15" i="1"/>
  <c r="AJ31" i="2"/>
  <c r="AH16" i="2" s="1"/>
  <c r="BE49" i="1"/>
  <c r="BA49" i="1"/>
  <c r="AL49" i="1"/>
  <c r="AR49" i="1" s="1"/>
  <c r="W135" i="2" l="1"/>
  <c r="W136" i="2" s="1"/>
  <c r="W137" i="2" s="1"/>
  <c r="W138" i="2" s="1"/>
  <c r="BW17" i="1"/>
  <c r="AX16" i="1"/>
  <c r="BG49" i="1"/>
  <c r="W139" i="2" l="1"/>
  <c r="W140" i="2" s="1"/>
  <c r="W141" i="2" s="1"/>
  <c r="W142" i="2" s="1"/>
  <c r="W143" i="2" s="1"/>
  <c r="W144" i="2" s="1"/>
  <c r="W145" i="2" s="1"/>
  <c r="W146" i="2" s="1"/>
  <c r="BW18" i="1"/>
  <c r="AX17" i="1"/>
  <c r="BE48" i="1"/>
  <c r="BA48" i="1"/>
  <c r="BK54" i="1" s="1"/>
  <c r="AL48" i="1"/>
  <c r="AR48" i="1" s="1"/>
  <c r="B225" i="1"/>
  <c r="B228" i="1"/>
  <c r="W147" i="2" l="1"/>
  <c r="W148" i="2" s="1"/>
  <c r="BM54" i="1"/>
  <c r="BK176" i="1" s="1"/>
  <c r="BK171" i="1"/>
  <c r="BK173" i="1" s="1"/>
  <c r="BW19" i="1"/>
  <c r="AX18" i="1"/>
  <c r="BG48" i="1"/>
  <c r="BE47" i="1"/>
  <c r="BA47" i="1"/>
  <c r="AL47" i="1"/>
  <c r="AR47" i="1" s="1"/>
  <c r="W149" i="2" l="1"/>
  <c r="BK178" i="1"/>
  <c r="BK175" i="1"/>
  <c r="BW20" i="1"/>
  <c r="AX19" i="1"/>
  <c r="BG47" i="1"/>
  <c r="BE46" i="1"/>
  <c r="BA46" i="1"/>
  <c r="AL46" i="1"/>
  <c r="AR46" i="1" s="1"/>
  <c r="W150" i="2" l="1"/>
  <c r="W151" i="2" s="1"/>
  <c r="BW21" i="1"/>
  <c r="AX20" i="1"/>
  <c r="BG46" i="1"/>
  <c r="BE45" i="1"/>
  <c r="BA45" i="1"/>
  <c r="AL45" i="1"/>
  <c r="AR45" i="1" s="1"/>
  <c r="W152" i="2" l="1"/>
  <c r="W153" i="2" s="1"/>
  <c r="BW22" i="1"/>
  <c r="AX21" i="1"/>
  <c r="BG45" i="1"/>
  <c r="W154" i="2" l="1"/>
  <c r="W155" i="2" s="1"/>
  <c r="BW23" i="1"/>
  <c r="AX22" i="1"/>
  <c r="BE44" i="1"/>
  <c r="BA44" i="1"/>
  <c r="AL44" i="1"/>
  <c r="AR44" i="1" s="1"/>
  <c r="W156" i="2" l="1"/>
  <c r="W157" i="2" s="1"/>
  <c r="W158" i="2" s="1"/>
  <c r="W159" i="2" s="1"/>
  <c r="BW24" i="1"/>
  <c r="AX23" i="1"/>
  <c r="BG44" i="1"/>
  <c r="BA43" i="1"/>
  <c r="AL43" i="1"/>
  <c r="AR43" i="1" s="1"/>
  <c r="BW25" i="1" l="1"/>
  <c r="AX24" i="1"/>
  <c r="BE43" i="1"/>
  <c r="BG43" i="1" s="1"/>
  <c r="BW26" i="1" l="1"/>
  <c r="AX25" i="1"/>
  <c r="BE42" i="1"/>
  <c r="BA42" i="1"/>
  <c r="AL42" i="1"/>
  <c r="AR42" i="1" s="1"/>
  <c r="BW27" i="1" l="1"/>
  <c r="AX26" i="1"/>
  <c r="BG42" i="1"/>
  <c r="BW28" i="1" l="1"/>
  <c r="AX27" i="1"/>
  <c r="BE41" i="1"/>
  <c r="BA41" i="1"/>
  <c r="BK47" i="1" s="1"/>
  <c r="BM47" i="1" s="1"/>
  <c r="AL41" i="1"/>
  <c r="AR41" i="1" s="1"/>
  <c r="BW29" i="1" l="1"/>
  <c r="AX28" i="1"/>
  <c r="BG41" i="1"/>
  <c r="BW30" i="1" l="1"/>
  <c r="AX29" i="1"/>
  <c r="BE40" i="1"/>
  <c r="BA40" i="1"/>
  <c r="AL40" i="1"/>
  <c r="AR40" i="1" s="1"/>
  <c r="BE39" i="1"/>
  <c r="BA39" i="1"/>
  <c r="AL39" i="1"/>
  <c r="AR39" i="1" s="1"/>
  <c r="BW31" i="1" l="1"/>
  <c r="AX30" i="1"/>
  <c r="BG40" i="1"/>
  <c r="BW32" i="1" l="1"/>
  <c r="AX31" i="1"/>
  <c r="BE38" i="1"/>
  <c r="BA38" i="1"/>
  <c r="AL38" i="1"/>
  <c r="AR38" i="1" s="1"/>
  <c r="BW33" i="1" l="1"/>
  <c r="AX32" i="1"/>
  <c r="BE37" i="1"/>
  <c r="BA37" i="1"/>
  <c r="AL37" i="1"/>
  <c r="AR37" i="1" s="1"/>
  <c r="BE36" i="1"/>
  <c r="BA36" i="1"/>
  <c r="AL36" i="1"/>
  <c r="AR36" i="1" s="1"/>
  <c r="BW34" i="1" l="1"/>
  <c r="AX33" i="1"/>
  <c r="BE35" i="1"/>
  <c r="BA35" i="1"/>
  <c r="AL35" i="1"/>
  <c r="AR35" i="1" s="1"/>
  <c r="BW35" i="1" l="1"/>
  <c r="AX34" i="1"/>
  <c r="BE34" i="1"/>
  <c r="BA34" i="1"/>
  <c r="BK40" i="1" s="1"/>
  <c r="BM40" i="1" s="1"/>
  <c r="AL34" i="1"/>
  <c r="AR34" i="1" s="1"/>
  <c r="BW36" i="1" l="1"/>
  <c r="AX35" i="1"/>
  <c r="BE33" i="1"/>
  <c r="BA33" i="1"/>
  <c r="AL33" i="1"/>
  <c r="AR33" i="1" s="1"/>
  <c r="BE32" i="1"/>
  <c r="BA32" i="1"/>
  <c r="AL32" i="1"/>
  <c r="AR32" i="1" s="1"/>
  <c r="BW37" i="1" l="1"/>
  <c r="AX36" i="1"/>
  <c r="BE31" i="1"/>
  <c r="BA31" i="1"/>
  <c r="AL31" i="1"/>
  <c r="AR31" i="1" s="1"/>
  <c r="BW38" i="1" l="1"/>
  <c r="AX37" i="1"/>
  <c r="W29" i="1"/>
  <c r="AG33" i="1" s="1"/>
  <c r="AI40" i="1" l="1"/>
  <c r="BW39" i="1"/>
  <c r="AX38" i="1"/>
  <c r="BE30" i="1"/>
  <c r="BA30" i="1"/>
  <c r="AL30" i="1"/>
  <c r="AR30" i="1" s="1"/>
  <c r="BA29" i="1"/>
  <c r="BE29" i="1"/>
  <c r="AL29" i="1"/>
  <c r="AR29" i="1" s="1"/>
  <c r="BW40" i="1" l="1"/>
  <c r="BN40" i="1" s="1"/>
  <c r="AX39" i="1"/>
  <c r="BE28" i="1"/>
  <c r="BA28" i="1"/>
  <c r="AL28" i="1"/>
  <c r="AR28" i="1" s="1"/>
  <c r="BW41" i="1" l="1"/>
  <c r="BN41" i="1" s="1"/>
  <c r="AX40" i="1"/>
  <c r="BE27" i="1"/>
  <c r="AL27" i="1"/>
  <c r="AR27" i="1" s="1"/>
  <c r="BE26" i="1"/>
  <c r="AL26" i="1"/>
  <c r="AR26" i="1" s="1"/>
  <c r="BW42" i="1" l="1"/>
  <c r="BN42" i="1" s="1"/>
  <c r="AX41" i="1"/>
  <c r="W23" i="1"/>
  <c r="W22" i="1"/>
  <c r="AH51" i="1" s="1"/>
  <c r="W21" i="1"/>
  <c r="W20" i="1"/>
  <c r="W17" i="1"/>
  <c r="W13" i="1"/>
  <c r="W12" i="1"/>
  <c r="W10" i="1"/>
  <c r="AG26" i="1" l="1"/>
  <c r="AI33" i="1" s="1"/>
  <c r="AR182" i="1"/>
  <c r="BW43" i="1"/>
  <c r="BN43" i="1" s="1"/>
  <c r="AX42" i="1"/>
  <c r="BE24" i="1"/>
  <c r="BC24" i="1"/>
  <c r="AR187" i="1" l="1"/>
  <c r="BW44" i="1"/>
  <c r="BN44" i="1" s="1"/>
  <c r="AX43" i="1"/>
  <c r="BP24" i="1"/>
  <c r="AL25" i="1"/>
  <c r="AR25" i="1" s="1"/>
  <c r="BE25" i="1"/>
  <c r="BC25" i="1"/>
  <c r="BC26" i="1" s="1"/>
  <c r="BA27" i="1" s="1"/>
  <c r="BK51" i="1" s="1"/>
  <c r="AR189" i="1" l="1"/>
  <c r="AV189" i="1" s="1"/>
  <c r="BW45" i="1"/>
  <c r="BN45" i="1" s="1"/>
  <c r="AX44" i="1"/>
  <c r="BP25" i="1"/>
  <c r="BR24" i="1"/>
  <c r="AL24" i="1"/>
  <c r="AR24" i="1" s="1"/>
  <c r="D23" i="1"/>
  <c r="AL23" i="1"/>
  <c r="AR23" i="1" s="1"/>
  <c r="Q26" i="1" l="1"/>
  <c r="S33" i="1" s="1"/>
  <c r="AH50" i="1"/>
  <c r="BW46" i="1"/>
  <c r="BN46" i="1" s="1"/>
  <c r="AX45" i="1"/>
  <c r="BR25" i="1"/>
  <c r="BP26" i="1"/>
  <c r="AP182" i="1" l="1"/>
  <c r="AV182" i="1" s="1"/>
  <c r="AH49" i="1"/>
  <c r="BW47" i="1"/>
  <c r="BN47" i="1" s="1"/>
  <c r="AX46" i="1"/>
  <c r="BR26" i="1"/>
  <c r="BP27" i="1"/>
  <c r="AL22" i="1"/>
  <c r="AR22" i="1" s="1"/>
  <c r="BW48" i="1" l="1"/>
  <c r="BN48" i="1" s="1"/>
  <c r="AX47" i="1"/>
  <c r="BR27" i="1"/>
  <c r="BP28" i="1"/>
  <c r="BW49" i="1" l="1"/>
  <c r="BN49" i="1" s="1"/>
  <c r="AX48" i="1"/>
  <c r="BR28" i="1"/>
  <c r="BP29" i="1"/>
  <c r="AL21" i="1"/>
  <c r="AR21" i="1" s="1"/>
  <c r="BW50" i="1" l="1"/>
  <c r="BN50" i="1" s="1"/>
  <c r="AX49" i="1"/>
  <c r="BR29" i="1"/>
  <c r="BP30" i="1"/>
  <c r="AL20" i="1"/>
  <c r="AR20" i="1" s="1"/>
  <c r="AL19" i="1"/>
  <c r="AR19" i="1" s="1"/>
  <c r="AL18" i="1"/>
  <c r="AR18" i="1" s="1"/>
  <c r="BW51" i="1" l="1"/>
  <c r="BN51" i="1" s="1"/>
  <c r="AX50" i="1"/>
  <c r="BR30" i="1"/>
  <c r="BP31" i="1"/>
  <c r="AL17" i="1"/>
  <c r="BW52" i="1" l="1"/>
  <c r="BN52" i="1" s="1"/>
  <c r="AX51" i="1"/>
  <c r="BR31" i="1"/>
  <c r="BP32" i="1"/>
  <c r="AR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AL16" i="1"/>
  <c r="AR16" i="1" s="1"/>
  <c r="AL15" i="1"/>
  <c r="AR15" i="1" s="1"/>
  <c r="AL14" i="1"/>
  <c r="AR14" i="1" s="1"/>
  <c r="AL13" i="1"/>
  <c r="AR13" i="1" s="1"/>
  <c r="AL12" i="1"/>
  <c r="AR12" i="1" s="1"/>
  <c r="AL11" i="1"/>
  <c r="AA9" i="1"/>
  <c r="AA10" i="1" s="1"/>
  <c r="AE10" i="1" s="1"/>
  <c r="H9" i="1"/>
  <c r="B103" i="1" l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W53" i="1"/>
  <c r="BN53" i="1" s="1"/>
  <c r="AX52" i="1"/>
  <c r="BR32" i="1"/>
  <c r="BP33" i="1"/>
  <c r="H10" i="1"/>
  <c r="J10" i="1"/>
  <c r="AA11" i="1"/>
  <c r="AE11" i="1" s="1"/>
  <c r="B151" i="1" l="1"/>
  <c r="B152" i="1" s="1"/>
  <c r="B153" i="1" s="1"/>
  <c r="B154" i="1" s="1"/>
  <c r="B155" i="1" s="1"/>
  <c r="B164" i="1" s="1"/>
  <c r="B165" i="1" s="1"/>
  <c r="BW54" i="1"/>
  <c r="BN54" i="1" s="1"/>
  <c r="AX53" i="1"/>
  <c r="J11" i="1"/>
  <c r="O10" i="1"/>
  <c r="BR33" i="1"/>
  <c r="BP34" i="1"/>
  <c r="H11" i="1"/>
  <c r="AC10" i="1"/>
  <c r="AA12" i="1"/>
  <c r="AE12" i="1" s="1"/>
  <c r="BW55" i="1" l="1"/>
  <c r="BN55" i="1" s="1"/>
  <c r="AX54" i="1"/>
  <c r="AC11" i="1"/>
  <c r="O11" i="1"/>
  <c r="J12" i="1"/>
  <c r="H12" i="1"/>
  <c r="AC12" i="1" s="1"/>
  <c r="BR34" i="1"/>
  <c r="BP35" i="1"/>
  <c r="AA13" i="1"/>
  <c r="AE13" i="1" s="1"/>
  <c r="BW56" i="1" l="1"/>
  <c r="BN56" i="1" s="1"/>
  <c r="AX55" i="1"/>
  <c r="AV12" i="1"/>
  <c r="O12" i="1"/>
  <c r="J13" i="1"/>
  <c r="H13" i="1"/>
  <c r="BR35" i="1"/>
  <c r="BP36" i="1"/>
  <c r="AA14" i="1"/>
  <c r="AE14" i="1" s="1"/>
  <c r="BW57" i="1" l="1"/>
  <c r="BN57" i="1" s="1"/>
  <c r="AX56" i="1"/>
  <c r="AV13" i="1"/>
  <c r="O13" i="1"/>
  <c r="J14" i="1"/>
  <c r="H14" i="1"/>
  <c r="AC13" i="1"/>
  <c r="BR36" i="1"/>
  <c r="BP37" i="1"/>
  <c r="AA15" i="1"/>
  <c r="AE15" i="1" s="1"/>
  <c r="BW58" i="1" l="1"/>
  <c r="BN58" i="1" s="1"/>
  <c r="AX57" i="1"/>
  <c r="AV14" i="1"/>
  <c r="O14" i="1"/>
  <c r="J15" i="1"/>
  <c r="H15" i="1"/>
  <c r="O15" i="1" s="1"/>
  <c r="AC14" i="1"/>
  <c r="BR37" i="1"/>
  <c r="BP38" i="1"/>
  <c r="AA16" i="1"/>
  <c r="AE16" i="1" s="1"/>
  <c r="AV15" i="1" l="1"/>
  <c r="BW59" i="1"/>
  <c r="BN59" i="1" s="1"/>
  <c r="AX58" i="1"/>
  <c r="J16" i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H16" i="1"/>
  <c r="H17" i="1" s="1"/>
  <c r="O17" i="1" s="1"/>
  <c r="AC15" i="1"/>
  <c r="BR38" i="1"/>
  <c r="BP39" i="1"/>
  <c r="AA17" i="1"/>
  <c r="AE17" i="1" s="1"/>
  <c r="BW60" i="1" l="1"/>
  <c r="AX59" i="1"/>
  <c r="AC16" i="1"/>
  <c r="AV16" i="1"/>
  <c r="J17" i="1"/>
  <c r="F14" i="7"/>
  <c r="O16" i="1"/>
  <c r="BR39" i="1"/>
  <c r="BP40" i="1"/>
  <c r="J18" i="1"/>
  <c r="H18" i="1"/>
  <c r="O18" i="1" s="1"/>
  <c r="AA18" i="1"/>
  <c r="AE18" i="1" s="1"/>
  <c r="AC17" i="1"/>
  <c r="AV17" i="1"/>
  <c r="BW61" i="1" l="1"/>
  <c r="BW62" i="1" s="1"/>
  <c r="BN60" i="1"/>
  <c r="AX60" i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P14" i="7"/>
  <c r="BR40" i="1"/>
  <c r="BP41" i="1"/>
  <c r="AA19" i="1"/>
  <c r="AE19" i="1" s="1"/>
  <c r="AC18" i="1"/>
  <c r="AV18" i="1"/>
  <c r="J19" i="1"/>
  <c r="H19" i="1"/>
  <c r="O19" i="1" s="1"/>
  <c r="BW63" i="1" l="1"/>
  <c r="BW64" i="1" s="1"/>
  <c r="BN62" i="1"/>
  <c r="AX62" i="1"/>
  <c r="AX61" i="1"/>
  <c r="BN61" i="1"/>
  <c r="AA20" i="1"/>
  <c r="BR41" i="1"/>
  <c r="BP42" i="1"/>
  <c r="H20" i="1"/>
  <c r="O20" i="1" s="1"/>
  <c r="J20" i="1"/>
  <c r="AV19" i="1"/>
  <c r="AC19" i="1"/>
  <c r="AX64" i="1" l="1"/>
  <c r="BW65" i="1"/>
  <c r="BN64" i="1"/>
  <c r="AX63" i="1"/>
  <c r="BN63" i="1"/>
  <c r="AA21" i="1"/>
  <c r="AE21" i="1" s="1"/>
  <c r="AE20" i="1"/>
  <c r="BR42" i="1"/>
  <c r="BP43" i="1"/>
  <c r="AC20" i="1"/>
  <c r="AV20" i="1"/>
  <c r="J21" i="1"/>
  <c r="H21" i="1"/>
  <c r="O21" i="1" s="1"/>
  <c r="BW66" i="1" l="1"/>
  <c r="BW67" i="1" s="1"/>
  <c r="AX65" i="1"/>
  <c r="BN65" i="1"/>
  <c r="AA22" i="1"/>
  <c r="AE22" i="1" s="1"/>
  <c r="AC21" i="1"/>
  <c r="BR43" i="1"/>
  <c r="BP44" i="1"/>
  <c r="AA23" i="1"/>
  <c r="J22" i="1"/>
  <c r="H22" i="1"/>
  <c r="O22" i="1" s="1"/>
  <c r="AV21" i="1"/>
  <c r="AE23" i="1" l="1"/>
  <c r="AA24" i="1"/>
  <c r="BW68" i="1"/>
  <c r="AX67" i="1"/>
  <c r="BN67" i="1"/>
  <c r="BN66" i="1"/>
  <c r="AX66" i="1"/>
  <c r="AC22" i="1"/>
  <c r="BR44" i="1"/>
  <c r="BP45" i="1"/>
  <c r="AV22" i="1"/>
  <c r="J23" i="1"/>
  <c r="H23" i="1"/>
  <c r="O23" i="1" s="1"/>
  <c r="BW69" i="1" l="1"/>
  <c r="BN68" i="1"/>
  <c r="AX68" i="1"/>
  <c r="AA25" i="1"/>
  <c r="AE25" i="1" s="1"/>
  <c r="AE24" i="1"/>
  <c r="H24" i="1"/>
  <c r="O24" i="1" s="1"/>
  <c r="BR45" i="1"/>
  <c r="BP46" i="1"/>
  <c r="J24" i="1"/>
  <c r="AC23" i="1"/>
  <c r="AV23" i="1"/>
  <c r="BW70" i="1" l="1"/>
  <c r="BW71" i="1" s="1"/>
  <c r="BN69" i="1"/>
  <c r="AX69" i="1"/>
  <c r="AA26" i="1"/>
  <c r="AA27" i="1" s="1"/>
  <c r="AE27" i="1" s="1"/>
  <c r="BR46" i="1"/>
  <c r="BP47" i="1"/>
  <c r="AV24" i="1"/>
  <c r="J25" i="1"/>
  <c r="H25" i="1"/>
  <c r="O25" i="1" s="1"/>
  <c r="AC24" i="1"/>
  <c r="BW72" i="1" l="1"/>
  <c r="BN71" i="1"/>
  <c r="AX71" i="1"/>
  <c r="BN70" i="1"/>
  <c r="AX70" i="1"/>
  <c r="AE26" i="1"/>
  <c r="AA28" i="1"/>
  <c r="AE28" i="1" s="1"/>
  <c r="BR47" i="1"/>
  <c r="BP48" i="1"/>
  <c r="H26" i="1"/>
  <c r="J26" i="1"/>
  <c r="AV25" i="1"/>
  <c r="AC25" i="1"/>
  <c r="BW73" i="1" l="1"/>
  <c r="BN72" i="1"/>
  <c r="AX72" i="1"/>
  <c r="O26" i="1"/>
  <c r="AA29" i="1"/>
  <c r="AE29" i="1" s="1"/>
  <c r="BR48" i="1"/>
  <c r="BP49" i="1"/>
  <c r="H27" i="1"/>
  <c r="O27" i="1" s="1"/>
  <c r="J27" i="1"/>
  <c r="AV26" i="1"/>
  <c r="AC26" i="1"/>
  <c r="BW74" i="1" l="1"/>
  <c r="AX73" i="1"/>
  <c r="BN73" i="1"/>
  <c r="AA30" i="1"/>
  <c r="AE30" i="1" s="1"/>
  <c r="BR49" i="1"/>
  <c r="BP50" i="1"/>
  <c r="J28" i="1"/>
  <c r="H28" i="1"/>
  <c r="O28" i="1" s="1"/>
  <c r="AV27" i="1"/>
  <c r="AC27" i="1"/>
  <c r="BW75" i="1" l="1"/>
  <c r="BW76" i="1" s="1"/>
  <c r="AX74" i="1"/>
  <c r="BN74" i="1"/>
  <c r="AA31" i="1"/>
  <c r="AE31" i="1" s="1"/>
  <c r="BR50" i="1"/>
  <c r="BP51" i="1"/>
  <c r="H29" i="1"/>
  <c r="O29" i="1" s="1"/>
  <c r="J29" i="1"/>
  <c r="AV28" i="1"/>
  <c r="AC28" i="1"/>
  <c r="BW77" i="1" l="1"/>
  <c r="BN76" i="1"/>
  <c r="AX76" i="1"/>
  <c r="AX75" i="1"/>
  <c r="BN75" i="1"/>
  <c r="AA32" i="1"/>
  <c r="AE32" i="1" s="1"/>
  <c r="BR51" i="1"/>
  <c r="BP52" i="1"/>
  <c r="H30" i="1"/>
  <c r="O30" i="1" s="1"/>
  <c r="J30" i="1"/>
  <c r="AV29" i="1"/>
  <c r="AC29" i="1"/>
  <c r="AA33" i="1" l="1"/>
  <c r="AE33" i="1" s="1"/>
  <c r="BW78" i="1"/>
  <c r="BW79" i="1" s="1"/>
  <c r="AX77" i="1"/>
  <c r="BN77" i="1"/>
  <c r="BR52" i="1"/>
  <c r="BP53" i="1"/>
  <c r="AA34" i="1"/>
  <c r="AA35" i="1" s="1"/>
  <c r="H31" i="1"/>
  <c r="J31" i="1"/>
  <c r="AV30" i="1"/>
  <c r="AC30" i="1"/>
  <c r="AE34" i="1" l="1"/>
  <c r="BW80" i="1"/>
  <c r="BN79" i="1"/>
  <c r="AX79" i="1"/>
  <c r="BN78" i="1"/>
  <c r="AX78" i="1"/>
  <c r="J32" i="1"/>
  <c r="O31" i="1"/>
  <c r="BR53" i="1"/>
  <c r="BP54" i="1"/>
  <c r="H32" i="1"/>
  <c r="AC31" i="1"/>
  <c r="AV31" i="1"/>
  <c r="AE35" i="1"/>
  <c r="BW81" i="1" l="1"/>
  <c r="BN80" i="1"/>
  <c r="AX80" i="1"/>
  <c r="J33" i="1"/>
  <c r="O32" i="1"/>
  <c r="H33" i="1"/>
  <c r="BR54" i="1"/>
  <c r="BP55" i="1"/>
  <c r="AV32" i="1"/>
  <c r="AC32" i="1"/>
  <c r="AA36" i="1"/>
  <c r="AE36" i="1" s="1"/>
  <c r="BW82" i="1" l="1"/>
  <c r="BN81" i="1"/>
  <c r="AX81" i="1"/>
  <c r="O33" i="1"/>
  <c r="AC33" i="1"/>
  <c r="AV33" i="1"/>
  <c r="H34" i="1"/>
  <c r="H35" i="1" s="1"/>
  <c r="BR55" i="1"/>
  <c r="BP56" i="1"/>
  <c r="J34" i="1"/>
  <c r="AA37" i="1"/>
  <c r="AE37" i="1" s="1"/>
  <c r="O34" i="1" l="1"/>
  <c r="BW83" i="1"/>
  <c r="BW84" i="1" s="1"/>
  <c r="BN82" i="1"/>
  <c r="AX82" i="1"/>
  <c r="AC34" i="1"/>
  <c r="J35" i="1"/>
  <c r="O35" i="1"/>
  <c r="AV34" i="1"/>
  <c r="BR56" i="1"/>
  <c r="BP57" i="1"/>
  <c r="AA38" i="1"/>
  <c r="AE38" i="1" s="1"/>
  <c r="J36" i="1" l="1"/>
  <c r="BW85" i="1"/>
  <c r="BN84" i="1"/>
  <c r="AX84" i="1"/>
  <c r="BN83" i="1"/>
  <c r="AX83" i="1"/>
  <c r="H36" i="1"/>
  <c r="O36" i="1" s="1"/>
  <c r="AC35" i="1"/>
  <c r="AV35" i="1"/>
  <c r="BR57" i="1"/>
  <c r="BP58" i="1"/>
  <c r="AA39" i="1"/>
  <c r="AE39" i="1" s="1"/>
  <c r="BW86" i="1" l="1"/>
  <c r="BW87" i="1" s="1"/>
  <c r="BN85" i="1"/>
  <c r="AX85" i="1"/>
  <c r="J37" i="1"/>
  <c r="H37" i="1"/>
  <c r="O37" i="1" s="1"/>
  <c r="AV36" i="1"/>
  <c r="AC36" i="1"/>
  <c r="BR58" i="1"/>
  <c r="BP59" i="1"/>
  <c r="AA40" i="1"/>
  <c r="AE40" i="1" s="1"/>
  <c r="BW88" i="1" l="1"/>
  <c r="BN87" i="1"/>
  <c r="AX87" i="1"/>
  <c r="AC37" i="1"/>
  <c r="AX86" i="1"/>
  <c r="BN86" i="1"/>
  <c r="AV37" i="1"/>
  <c r="H38" i="1"/>
  <c r="O38" i="1" s="1"/>
  <c r="J38" i="1"/>
  <c r="BR59" i="1"/>
  <c r="BP60" i="1"/>
  <c r="AA41" i="1"/>
  <c r="AE41" i="1" s="1"/>
  <c r="BW89" i="1" l="1"/>
  <c r="AX88" i="1"/>
  <c r="BN88" i="1"/>
  <c r="AC38" i="1"/>
  <c r="AV38" i="1"/>
  <c r="J39" i="1"/>
  <c r="H39" i="1"/>
  <c r="O39" i="1" s="1"/>
  <c r="BR60" i="1"/>
  <c r="BP61" i="1"/>
  <c r="AA42" i="1"/>
  <c r="AE42" i="1" s="1"/>
  <c r="BW90" i="1" l="1"/>
  <c r="BW91" i="1" s="1"/>
  <c r="AX89" i="1"/>
  <c r="BN89" i="1"/>
  <c r="H40" i="1"/>
  <c r="J41" i="1" s="1"/>
  <c r="AC39" i="1"/>
  <c r="AV39" i="1"/>
  <c r="J40" i="1"/>
  <c r="O40" i="1"/>
  <c r="BR61" i="1"/>
  <c r="BP62" i="1"/>
  <c r="AA43" i="1"/>
  <c r="AE43" i="1" s="1"/>
  <c r="AC40" i="1" l="1"/>
  <c r="AV40" i="1"/>
  <c r="H41" i="1"/>
  <c r="O41" i="1" s="1"/>
  <c r="BW92" i="1"/>
  <c r="BN91" i="1"/>
  <c r="AX91" i="1"/>
  <c r="BN90" i="1"/>
  <c r="AX90" i="1"/>
  <c r="BR62" i="1"/>
  <c r="BP63" i="1"/>
  <c r="AA44" i="1"/>
  <c r="AE44" i="1" s="1"/>
  <c r="J42" i="1"/>
  <c r="H42" i="1"/>
  <c r="O42" i="1" s="1"/>
  <c r="AV41" i="1"/>
  <c r="AC41" i="1"/>
  <c r="BW93" i="1" l="1"/>
  <c r="BN92" i="1"/>
  <c r="AX92" i="1"/>
  <c r="BP64" i="1"/>
  <c r="BR63" i="1"/>
  <c r="AA45" i="1"/>
  <c r="AE45" i="1" s="1"/>
  <c r="J43" i="1"/>
  <c r="H43" i="1"/>
  <c r="O43" i="1" s="1"/>
  <c r="AV42" i="1"/>
  <c r="AC42" i="1"/>
  <c r="BW94" i="1" l="1"/>
  <c r="BN93" i="1"/>
  <c r="AX93" i="1"/>
  <c r="BP65" i="1"/>
  <c r="BR64" i="1"/>
  <c r="AA46" i="1"/>
  <c r="AE46" i="1" s="1"/>
  <c r="J44" i="1"/>
  <c r="H44" i="1"/>
  <c r="AV43" i="1"/>
  <c r="AC43" i="1"/>
  <c r="BW95" i="1" l="1"/>
  <c r="BW96" i="1" s="1"/>
  <c r="AX94" i="1"/>
  <c r="BN94" i="1"/>
  <c r="BP66" i="1"/>
  <c r="BR65" i="1"/>
  <c r="O44" i="1"/>
  <c r="AA47" i="1"/>
  <c r="AE47" i="1" s="1"/>
  <c r="AV44" i="1"/>
  <c r="J45" i="1"/>
  <c r="AC44" i="1"/>
  <c r="H45" i="1"/>
  <c r="O45" i="1" l="1"/>
  <c r="H46" i="1"/>
  <c r="BW97" i="1"/>
  <c r="BN96" i="1"/>
  <c r="AX96" i="1"/>
  <c r="BN95" i="1"/>
  <c r="AX95" i="1"/>
  <c r="BP67" i="1"/>
  <c r="BR66" i="1"/>
  <c r="AA48" i="1"/>
  <c r="AE48" i="1" s="1"/>
  <c r="J46" i="1"/>
  <c r="AV45" i="1"/>
  <c r="AC45" i="1"/>
  <c r="BN97" i="1" l="1"/>
  <c r="AX97" i="1"/>
  <c r="BW98" i="1"/>
  <c r="BP68" i="1"/>
  <c r="BP69" i="1" s="1"/>
  <c r="BR67" i="1"/>
  <c r="J47" i="1"/>
  <c r="O46" i="1"/>
  <c r="H47" i="1"/>
  <c r="AA49" i="1"/>
  <c r="AE49" i="1" s="1"/>
  <c r="AV46" i="1"/>
  <c r="AC46" i="1"/>
  <c r="BW99" i="1" l="1"/>
  <c r="BW100" i="1" s="1"/>
  <c r="BN98" i="1"/>
  <c r="AX98" i="1"/>
  <c r="BR69" i="1"/>
  <c r="BP70" i="1"/>
  <c r="BR68" i="1"/>
  <c r="AV47" i="1"/>
  <c r="O47" i="1"/>
  <c r="AC47" i="1"/>
  <c r="H48" i="1"/>
  <c r="AV48" i="1" s="1"/>
  <c r="J48" i="1"/>
  <c r="AA50" i="1"/>
  <c r="AE50" i="1" s="1"/>
  <c r="BW101" i="1" l="1"/>
  <c r="BN100" i="1"/>
  <c r="AX100" i="1"/>
  <c r="BN99" i="1"/>
  <c r="AX99" i="1"/>
  <c r="BR70" i="1"/>
  <c r="BP71" i="1"/>
  <c r="AC48" i="1"/>
  <c r="J49" i="1"/>
  <c r="O48" i="1"/>
  <c r="H49" i="1"/>
  <c r="H50" i="1" s="1"/>
  <c r="O50" i="1" s="1"/>
  <c r="AA51" i="1"/>
  <c r="BW102" i="1" l="1"/>
  <c r="AX101" i="1"/>
  <c r="BN101" i="1"/>
  <c r="AV49" i="1"/>
  <c r="AC49" i="1"/>
  <c r="BR71" i="1"/>
  <c r="BP72" i="1"/>
  <c r="BP73" i="1" s="1"/>
  <c r="O49" i="1"/>
  <c r="J50" i="1"/>
  <c r="AA52" i="1"/>
  <c r="AE51" i="1"/>
  <c r="J51" i="1"/>
  <c r="H51" i="1"/>
  <c r="AV50" i="1"/>
  <c r="AC50" i="1"/>
  <c r="BW103" i="1" l="1"/>
  <c r="AX102" i="1"/>
  <c r="BN102" i="1"/>
  <c r="BR73" i="1"/>
  <c r="BP74" i="1"/>
  <c r="BR72" i="1"/>
  <c r="O51" i="1"/>
  <c r="AA53" i="1"/>
  <c r="AE52" i="1"/>
  <c r="H52" i="1"/>
  <c r="O52" i="1" s="1"/>
  <c r="J52" i="1"/>
  <c r="AC51" i="1"/>
  <c r="AV51" i="1"/>
  <c r="BW104" i="1" l="1"/>
  <c r="AX103" i="1"/>
  <c r="BN103" i="1"/>
  <c r="BR74" i="1"/>
  <c r="BP75" i="1"/>
  <c r="AA54" i="1"/>
  <c r="AE53" i="1"/>
  <c r="AV52" i="1"/>
  <c r="H53" i="1"/>
  <c r="J53" i="1"/>
  <c r="AC52" i="1"/>
  <c r="BW105" i="1" l="1"/>
  <c r="BN104" i="1"/>
  <c r="AX104" i="1"/>
  <c r="BP76" i="1"/>
  <c r="BR75" i="1"/>
  <c r="O53" i="1"/>
  <c r="AE54" i="1"/>
  <c r="AA55" i="1"/>
  <c r="AV53" i="1"/>
  <c r="H54" i="1"/>
  <c r="J54" i="1"/>
  <c r="AC53" i="1"/>
  <c r="BW106" i="1" l="1"/>
  <c r="BN105" i="1"/>
  <c r="AX105" i="1"/>
  <c r="BR76" i="1"/>
  <c r="BP77" i="1"/>
  <c r="H55" i="1"/>
  <c r="J55" i="1"/>
  <c r="O54" i="1"/>
  <c r="AE55" i="1"/>
  <c r="AA56" i="1"/>
  <c r="AV54" i="1"/>
  <c r="AC54" i="1"/>
  <c r="BN106" i="1" l="1"/>
  <c r="AX106" i="1"/>
  <c r="BW107" i="1"/>
  <c r="BR77" i="1"/>
  <c r="BP78" i="1"/>
  <c r="BP79" i="1" s="1"/>
  <c r="O55" i="1"/>
  <c r="AE56" i="1"/>
  <c r="AA57" i="1"/>
  <c r="J56" i="1"/>
  <c r="H56" i="1"/>
  <c r="AV55" i="1"/>
  <c r="AC55" i="1"/>
  <c r="BW108" i="1" l="1"/>
  <c r="BW109" i="1" s="1"/>
  <c r="AX107" i="1"/>
  <c r="BN107" i="1"/>
  <c r="BR79" i="1"/>
  <c r="BP80" i="1"/>
  <c r="BR78" i="1"/>
  <c r="O56" i="1"/>
  <c r="H57" i="1"/>
  <c r="AC57" i="1" s="1"/>
  <c r="J57" i="1"/>
  <c r="AE57" i="1"/>
  <c r="AA58" i="1"/>
  <c r="AV56" i="1"/>
  <c r="AC56" i="1"/>
  <c r="BW110" i="1" l="1"/>
  <c r="BN109" i="1"/>
  <c r="AX109" i="1"/>
  <c r="AX108" i="1"/>
  <c r="BN108" i="1"/>
  <c r="BR80" i="1"/>
  <c r="BP81" i="1"/>
  <c r="AE58" i="1"/>
  <c r="AA59" i="1"/>
  <c r="AA60" i="1" s="1"/>
  <c r="AV57" i="1"/>
  <c r="O57" i="1"/>
  <c r="J58" i="1"/>
  <c r="H58" i="1"/>
  <c r="AC58" i="1" s="1"/>
  <c r="BW111" i="1" l="1"/>
  <c r="AX110" i="1"/>
  <c r="BN110" i="1"/>
  <c r="BR81" i="1"/>
  <c r="BP82" i="1"/>
  <c r="AA61" i="1"/>
  <c r="AE60" i="1"/>
  <c r="AE59" i="1"/>
  <c r="AV58" i="1"/>
  <c r="J59" i="1"/>
  <c r="H59" i="1"/>
  <c r="O58" i="1"/>
  <c r="BW112" i="1" l="1"/>
  <c r="AX111" i="1"/>
  <c r="BN111" i="1"/>
  <c r="BP83" i="1"/>
  <c r="BP84" i="1" s="1"/>
  <c r="BR82" i="1"/>
  <c r="AA62" i="1"/>
  <c r="AE61" i="1"/>
  <c r="J60" i="1"/>
  <c r="H60" i="1"/>
  <c r="AV59" i="1"/>
  <c r="O59" i="1"/>
  <c r="AC59" i="1"/>
  <c r="AA12" i="3"/>
  <c r="AA13" i="3"/>
  <c r="BW113" i="1" l="1"/>
  <c r="BW114" i="1" s="1"/>
  <c r="BN112" i="1"/>
  <c r="AX112" i="1"/>
  <c r="BR84" i="1"/>
  <c r="BP85" i="1"/>
  <c r="BP86" i="1" s="1"/>
  <c r="BP87" i="1" s="1"/>
  <c r="BR83" i="1"/>
  <c r="AE62" i="1"/>
  <c r="AA63" i="1"/>
  <c r="J61" i="1"/>
  <c r="H61" i="1"/>
  <c r="AV60" i="1"/>
  <c r="O60" i="1"/>
  <c r="AC60" i="1"/>
  <c r="BW115" i="1" l="1"/>
  <c r="BN114" i="1"/>
  <c r="AX114" i="1"/>
  <c r="BN113" i="1"/>
  <c r="AX113" i="1"/>
  <c r="BR87" i="1"/>
  <c r="BP88" i="1"/>
  <c r="BR86" i="1"/>
  <c r="BR85" i="1"/>
  <c r="AA64" i="1"/>
  <c r="AA65" i="1" s="1"/>
  <c r="H62" i="1"/>
  <c r="J62" i="1"/>
  <c r="AE63" i="1"/>
  <c r="AV61" i="1"/>
  <c r="O61" i="1"/>
  <c r="AC61" i="1"/>
  <c r="BW116" i="1" l="1"/>
  <c r="AX115" i="1"/>
  <c r="BN115" i="1"/>
  <c r="BP89" i="1"/>
  <c r="BR88" i="1"/>
  <c r="AE65" i="1"/>
  <c r="AA66" i="1"/>
  <c r="AE64" i="1"/>
  <c r="AV62" i="1"/>
  <c r="H63" i="1"/>
  <c r="J63" i="1"/>
  <c r="O62" i="1"/>
  <c r="AC62" i="1"/>
  <c r="BW117" i="1" l="1"/>
  <c r="AX116" i="1"/>
  <c r="BN116" i="1"/>
  <c r="BR89" i="1"/>
  <c r="BP90" i="1"/>
  <c r="BP91" i="1" s="1"/>
  <c r="AA67" i="1"/>
  <c r="AE66" i="1"/>
  <c r="J64" i="1"/>
  <c r="H64" i="1"/>
  <c r="AV63" i="1"/>
  <c r="O63" i="1"/>
  <c r="AC63" i="1"/>
  <c r="AA17" i="3"/>
  <c r="AA18" i="3"/>
  <c r="AA15" i="3"/>
  <c r="AA16" i="3"/>
  <c r="AA14" i="3"/>
  <c r="BW118" i="1" l="1"/>
  <c r="AX117" i="1"/>
  <c r="BN117" i="1"/>
  <c r="BR91" i="1"/>
  <c r="BP92" i="1"/>
  <c r="BR90" i="1"/>
  <c r="AA68" i="1"/>
  <c r="AA69" i="1" s="1"/>
  <c r="AE67" i="1"/>
  <c r="H65" i="1"/>
  <c r="J65" i="1"/>
  <c r="AV64" i="1"/>
  <c r="O64" i="1"/>
  <c r="AC64" i="1"/>
  <c r="BW119" i="1" l="1"/>
  <c r="BN118" i="1"/>
  <c r="AX118" i="1"/>
  <c r="BR92" i="1"/>
  <c r="BP93" i="1"/>
  <c r="AA70" i="1"/>
  <c r="AA71" i="1" s="1"/>
  <c r="AE69" i="1"/>
  <c r="AE68" i="1"/>
  <c r="AC65" i="1"/>
  <c r="J66" i="1"/>
  <c r="H66" i="1"/>
  <c r="AV65" i="1"/>
  <c r="O65" i="1"/>
  <c r="BW120" i="1" l="1"/>
  <c r="BN119" i="1"/>
  <c r="AX119" i="1"/>
  <c r="BR93" i="1"/>
  <c r="BP94" i="1"/>
  <c r="AA72" i="1"/>
  <c r="AE71" i="1"/>
  <c r="AE70" i="1"/>
  <c r="J67" i="1"/>
  <c r="H67" i="1"/>
  <c r="AV66" i="1"/>
  <c r="O66" i="1"/>
  <c r="AC66" i="1"/>
  <c r="AA20" i="3"/>
  <c r="AA19" i="3"/>
  <c r="BW121" i="1" l="1"/>
  <c r="BW122" i="1" s="1"/>
  <c r="AX120" i="1"/>
  <c r="BN120" i="1"/>
  <c r="BP95" i="1"/>
  <c r="BP96" i="1" s="1"/>
  <c r="BR94" i="1"/>
  <c r="AA73" i="1"/>
  <c r="AE72" i="1"/>
  <c r="H68" i="1"/>
  <c r="J68" i="1"/>
  <c r="AV67" i="1"/>
  <c r="O67" i="1"/>
  <c r="AC67" i="1"/>
  <c r="AX122" i="1" l="1"/>
  <c r="BW123" i="1"/>
  <c r="BN122" i="1"/>
  <c r="BN121" i="1"/>
  <c r="AX121" i="1"/>
  <c r="BR96" i="1"/>
  <c r="BP97" i="1"/>
  <c r="BR95" i="1"/>
  <c r="AA74" i="1"/>
  <c r="AE73" i="1"/>
  <c r="J69" i="1"/>
  <c r="H69" i="1"/>
  <c r="AV68" i="1"/>
  <c r="O68" i="1"/>
  <c r="AC68" i="1"/>
  <c r="BW124" i="1" l="1"/>
  <c r="BN123" i="1"/>
  <c r="AX123" i="1"/>
  <c r="BP98" i="1"/>
  <c r="BR97" i="1"/>
  <c r="AA75" i="1"/>
  <c r="AE74" i="1"/>
  <c r="J70" i="1"/>
  <c r="H70" i="1"/>
  <c r="AV69" i="1"/>
  <c r="AC69" i="1"/>
  <c r="O69" i="1"/>
  <c r="AA22" i="3"/>
  <c r="AA21" i="3"/>
  <c r="BW125" i="1" l="1"/>
  <c r="AX124" i="1"/>
  <c r="BN124" i="1"/>
  <c r="BP99" i="1"/>
  <c r="BP100" i="1" s="1"/>
  <c r="BR98" i="1"/>
  <c r="AA76" i="1"/>
  <c r="AE75" i="1"/>
  <c r="H71" i="1"/>
  <c r="J71" i="1"/>
  <c r="O70" i="1"/>
  <c r="AV70" i="1"/>
  <c r="AC70" i="1"/>
  <c r="BW126" i="1" l="1"/>
  <c r="BN125" i="1"/>
  <c r="AX125" i="1"/>
  <c r="BR100" i="1"/>
  <c r="BP101" i="1"/>
  <c r="BR99" i="1"/>
  <c r="AA77" i="1"/>
  <c r="AE76" i="1"/>
  <c r="AV71" i="1"/>
  <c r="H72" i="1"/>
  <c r="AC71" i="1"/>
  <c r="O71" i="1"/>
  <c r="J72" i="1"/>
  <c r="AA24" i="3"/>
  <c r="AA23" i="3"/>
  <c r="BW127" i="1" l="1"/>
  <c r="AX126" i="1"/>
  <c r="BN126" i="1"/>
  <c r="BP102" i="1"/>
  <c r="BR101" i="1"/>
  <c r="AE77" i="1"/>
  <c r="AA78" i="1"/>
  <c r="AA79" i="1" s="1"/>
  <c r="J73" i="1"/>
  <c r="H73" i="1"/>
  <c r="AV72" i="1"/>
  <c r="AC72" i="1"/>
  <c r="O72" i="1"/>
  <c r="BW128" i="1" l="1"/>
  <c r="BW129" i="1" s="1"/>
  <c r="AX127" i="1"/>
  <c r="BN127" i="1"/>
  <c r="BP103" i="1"/>
  <c r="BR102" i="1"/>
  <c r="AE79" i="1"/>
  <c r="AA80" i="1"/>
  <c r="AE78" i="1"/>
  <c r="J74" i="1"/>
  <c r="H74" i="1"/>
  <c r="AV73" i="1"/>
  <c r="AC73" i="1"/>
  <c r="O73" i="1"/>
  <c r="AA26" i="3"/>
  <c r="AA25" i="3"/>
  <c r="BN129" i="1" l="1"/>
  <c r="BW130" i="1"/>
  <c r="AX129" i="1"/>
  <c r="AX128" i="1"/>
  <c r="BN128" i="1"/>
  <c r="BR103" i="1"/>
  <c r="BP104" i="1"/>
  <c r="AE80" i="1"/>
  <c r="AA81" i="1"/>
  <c r="AV74" i="1"/>
  <c r="J75" i="1"/>
  <c r="H75" i="1"/>
  <c r="AC74" i="1"/>
  <c r="O74" i="1"/>
  <c r="BW131" i="1" l="1"/>
  <c r="BN130" i="1"/>
  <c r="AX130" i="1"/>
  <c r="BP105" i="1"/>
  <c r="BR104" i="1"/>
  <c r="AE81" i="1"/>
  <c r="AA82" i="1"/>
  <c r="AA83" i="1" s="1"/>
  <c r="AA84" i="1" s="1"/>
  <c r="AV75" i="1"/>
  <c r="J76" i="1"/>
  <c r="H76" i="1"/>
  <c r="AC75" i="1"/>
  <c r="O75" i="1"/>
  <c r="AA30" i="3"/>
  <c r="AA31" i="3"/>
  <c r="AA28" i="3"/>
  <c r="AA29" i="3"/>
  <c r="BW132" i="1" l="1"/>
  <c r="BN131" i="1"/>
  <c r="AX131" i="1"/>
  <c r="BP106" i="1"/>
  <c r="BR105" i="1"/>
  <c r="AE84" i="1"/>
  <c r="AA85" i="1"/>
  <c r="AA86" i="1" s="1"/>
  <c r="AA87" i="1" s="1"/>
  <c r="AE83" i="1"/>
  <c r="AE82" i="1"/>
  <c r="AV76" i="1"/>
  <c r="J77" i="1"/>
  <c r="H77" i="1"/>
  <c r="O76" i="1"/>
  <c r="AC76" i="1"/>
  <c r="AA27" i="3"/>
  <c r="BW133" i="1" l="1"/>
  <c r="BN132" i="1"/>
  <c r="AX132" i="1"/>
  <c r="BR106" i="1"/>
  <c r="BP107" i="1"/>
  <c r="AE87" i="1"/>
  <c r="AA88" i="1"/>
  <c r="AE86" i="1"/>
  <c r="AE85" i="1"/>
  <c r="H78" i="1"/>
  <c r="J78" i="1"/>
  <c r="O77" i="1"/>
  <c r="AV77" i="1"/>
  <c r="AC77" i="1"/>
  <c r="BW134" i="1" l="1"/>
  <c r="BN133" i="1"/>
  <c r="AX133" i="1"/>
  <c r="BP108" i="1"/>
  <c r="BP109" i="1" s="1"/>
  <c r="BR107" i="1"/>
  <c r="AA89" i="1"/>
  <c r="AE88" i="1"/>
  <c r="J79" i="1"/>
  <c r="H79" i="1"/>
  <c r="AV78" i="1"/>
  <c r="O78" i="1"/>
  <c r="AC78" i="1"/>
  <c r="BN134" i="1" l="1"/>
  <c r="BW135" i="1"/>
  <c r="AX134" i="1"/>
  <c r="BR109" i="1"/>
  <c r="BP110" i="1"/>
  <c r="BR108" i="1"/>
  <c r="AE89" i="1"/>
  <c r="AA90" i="1"/>
  <c r="AA91" i="1" s="1"/>
  <c r="O79" i="1"/>
  <c r="J80" i="1"/>
  <c r="H80" i="1"/>
  <c r="AC79" i="1"/>
  <c r="AV79" i="1"/>
  <c r="AA32" i="3"/>
  <c r="BN135" i="1" l="1"/>
  <c r="BW136" i="1"/>
  <c r="AX135" i="1"/>
  <c r="BP111" i="1"/>
  <c r="BP112" i="1" s="1"/>
  <c r="BR110" i="1"/>
  <c r="AA92" i="1"/>
  <c r="AE91" i="1"/>
  <c r="AE90" i="1"/>
  <c r="H81" i="1"/>
  <c r="J81" i="1"/>
  <c r="AV80" i="1"/>
  <c r="O80" i="1"/>
  <c r="AC80" i="1"/>
  <c r="BN136" i="1" l="1"/>
  <c r="AX136" i="1"/>
  <c r="BW137" i="1"/>
  <c r="BR112" i="1"/>
  <c r="BP113" i="1"/>
  <c r="BP114" i="1" s="1"/>
  <c r="BP115" i="1" s="1"/>
  <c r="BR111" i="1"/>
  <c r="AA93" i="1"/>
  <c r="AA94" i="1" s="1"/>
  <c r="AE92" i="1"/>
  <c r="O81" i="1"/>
  <c r="H82" i="1"/>
  <c r="J82" i="1"/>
  <c r="AC81" i="1"/>
  <c r="AV81" i="1"/>
  <c r="AA36" i="3"/>
  <c r="AA34" i="3"/>
  <c r="AA35" i="3"/>
  <c r="AA33" i="3"/>
  <c r="BW138" i="1" l="1"/>
  <c r="BW139" i="1" s="1"/>
  <c r="BW140" i="1" s="1"/>
  <c r="BN137" i="1"/>
  <c r="AX137" i="1"/>
  <c r="BP116" i="1"/>
  <c r="BR115" i="1"/>
  <c r="BR114" i="1"/>
  <c r="BR113" i="1"/>
  <c r="AA95" i="1"/>
  <c r="AA96" i="1" s="1"/>
  <c r="AE94" i="1"/>
  <c r="AE93" i="1"/>
  <c r="J83" i="1"/>
  <c r="H83" i="1"/>
  <c r="AV82" i="1"/>
  <c r="O82" i="1"/>
  <c r="AC82" i="1"/>
  <c r="BW141" i="1" l="1"/>
  <c r="BN140" i="1"/>
  <c r="AX140" i="1"/>
  <c r="BN139" i="1"/>
  <c r="AX139" i="1"/>
  <c r="AX138" i="1"/>
  <c r="BN138" i="1"/>
  <c r="BR116" i="1"/>
  <c r="BP117" i="1"/>
  <c r="AA97" i="1"/>
  <c r="AE96" i="1"/>
  <c r="AE95" i="1"/>
  <c r="J84" i="1"/>
  <c r="H84" i="1"/>
  <c r="AV83" i="1"/>
  <c r="O83" i="1"/>
  <c r="AC83" i="1"/>
  <c r="AX141" i="1" l="1"/>
  <c r="BW142" i="1"/>
  <c r="BN141" i="1"/>
  <c r="BR117" i="1"/>
  <c r="BP118" i="1"/>
  <c r="AE97" i="1"/>
  <c r="AA98" i="1"/>
  <c r="AV84" i="1"/>
  <c r="J85" i="1"/>
  <c r="H85" i="1"/>
  <c r="O84" i="1"/>
  <c r="AC84" i="1"/>
  <c r="AX142" i="1" l="1"/>
  <c r="BN142" i="1"/>
  <c r="BW143" i="1"/>
  <c r="BP119" i="1"/>
  <c r="BP120" i="1" s="1"/>
  <c r="BR118" i="1"/>
  <c r="AA99" i="1"/>
  <c r="AA100" i="1" s="1"/>
  <c r="AE98" i="1"/>
  <c r="H86" i="1"/>
  <c r="J86" i="1"/>
  <c r="AV85" i="1"/>
  <c r="O85" i="1"/>
  <c r="AC85" i="1"/>
  <c r="AA39" i="3"/>
  <c r="AA38" i="3"/>
  <c r="AA37" i="3"/>
  <c r="BW144" i="1" l="1"/>
  <c r="AX143" i="1"/>
  <c r="BN143" i="1"/>
  <c r="BP121" i="1"/>
  <c r="BP122" i="1" s="1"/>
  <c r="BR120" i="1"/>
  <c r="BR119" i="1"/>
  <c r="AE100" i="1"/>
  <c r="AA101" i="1"/>
  <c r="AE99" i="1"/>
  <c r="J87" i="1"/>
  <c r="H87" i="1"/>
  <c r="AV86" i="1"/>
  <c r="O86" i="1"/>
  <c r="AC86" i="1"/>
  <c r="BW145" i="1" l="1"/>
  <c r="BW146" i="1" s="1"/>
  <c r="BN144" i="1"/>
  <c r="AX144" i="1"/>
  <c r="BR122" i="1"/>
  <c r="BP123" i="1"/>
  <c r="BR121" i="1"/>
  <c r="AE101" i="1"/>
  <c r="AA102" i="1"/>
  <c r="AV87" i="1"/>
  <c r="J88" i="1"/>
  <c r="H88" i="1"/>
  <c r="O87" i="1"/>
  <c r="AC87" i="1"/>
  <c r="AX146" i="1" l="1"/>
  <c r="BW147" i="1"/>
  <c r="BN146" i="1"/>
  <c r="AX145" i="1"/>
  <c r="BN145" i="1"/>
  <c r="BR123" i="1"/>
  <c r="BP124" i="1"/>
  <c r="AA103" i="1"/>
  <c r="AE102" i="1"/>
  <c r="AV88" i="1"/>
  <c r="J89" i="1"/>
  <c r="H89" i="1"/>
  <c r="O88" i="1"/>
  <c r="AC88" i="1"/>
  <c r="AA45" i="3"/>
  <c r="AA43" i="3"/>
  <c r="AA44" i="3"/>
  <c r="AA41" i="3"/>
  <c r="AA42" i="3"/>
  <c r="AA40" i="3"/>
  <c r="AX147" i="1" l="1"/>
  <c r="BN147" i="1"/>
  <c r="BW148" i="1"/>
  <c r="BP125" i="1"/>
  <c r="BR124" i="1"/>
  <c r="AE103" i="1"/>
  <c r="AA104" i="1"/>
  <c r="J90" i="1"/>
  <c r="H90" i="1"/>
  <c r="O89" i="1"/>
  <c r="AV89" i="1"/>
  <c r="AC89" i="1"/>
  <c r="BW149" i="1" l="1"/>
  <c r="AX148" i="1"/>
  <c r="BN148" i="1"/>
  <c r="BR125" i="1"/>
  <c r="J179" i="1" s="1"/>
  <c r="BP126" i="1"/>
  <c r="AE104" i="1"/>
  <c r="AA105" i="1"/>
  <c r="J91" i="1"/>
  <c r="H91" i="1"/>
  <c r="AV90" i="1"/>
  <c r="O90" i="1"/>
  <c r="AC90" i="1"/>
  <c r="BW150" i="1" l="1"/>
  <c r="BW151" i="1" s="1"/>
  <c r="BN149" i="1"/>
  <c r="AX149" i="1"/>
  <c r="BR126" i="1"/>
  <c r="BP127" i="1"/>
  <c r="AA106" i="1"/>
  <c r="AE105" i="1"/>
  <c r="O91" i="1"/>
  <c r="H92" i="1"/>
  <c r="J92" i="1"/>
  <c r="AV91" i="1"/>
  <c r="AC91" i="1"/>
  <c r="BN151" i="1" l="1"/>
  <c r="BW152" i="1"/>
  <c r="AX151" i="1"/>
  <c r="AX150" i="1"/>
  <c r="BN150" i="1"/>
  <c r="BP128" i="1"/>
  <c r="BP129" i="1" s="1"/>
  <c r="BP130" i="1" s="1"/>
  <c r="BR127" i="1"/>
  <c r="AA107" i="1"/>
  <c r="AA108" i="1" s="1"/>
  <c r="AA109" i="1" s="1"/>
  <c r="AE106" i="1"/>
  <c r="Y143" i="3"/>
  <c r="Y144" i="3" s="1"/>
  <c r="O92" i="1"/>
  <c r="H93" i="1"/>
  <c r="J93" i="1"/>
  <c r="AC92" i="1"/>
  <c r="AV92" i="1"/>
  <c r="BW153" i="1" l="1"/>
  <c r="BW154" i="1" s="1"/>
  <c r="BN152" i="1"/>
  <c r="AX152" i="1"/>
  <c r="BP131" i="1"/>
  <c r="BR130" i="1"/>
  <c r="BR129" i="1"/>
  <c r="BR128" i="1"/>
  <c r="AA110" i="1"/>
  <c r="AE109" i="1"/>
  <c r="AE108" i="1"/>
  <c r="AE107" i="1"/>
  <c r="H94" i="1"/>
  <c r="J94" i="1"/>
  <c r="O93" i="1"/>
  <c r="AV93" i="1"/>
  <c r="AC93" i="1"/>
  <c r="AA46" i="3"/>
  <c r="BN154" i="1" l="1"/>
  <c r="BW155" i="1"/>
  <c r="AX154" i="1"/>
  <c r="BW164" i="1"/>
  <c r="BW165" i="1" s="1"/>
  <c r="BN153" i="1"/>
  <c r="AX153" i="1"/>
  <c r="BP132" i="1"/>
  <c r="BP133" i="1" s="1"/>
  <c r="BR131" i="1"/>
  <c r="AA111" i="1"/>
  <c r="AA112" i="1" s="1"/>
  <c r="AE110" i="1"/>
  <c r="H95" i="1"/>
  <c r="J95" i="1"/>
  <c r="O94" i="1"/>
  <c r="AV94" i="1"/>
  <c r="AC94" i="1"/>
  <c r="BN155" i="1" l="1"/>
  <c r="AX155" i="1"/>
  <c r="BR133" i="1"/>
  <c r="BP134" i="1"/>
  <c r="BR132" i="1"/>
  <c r="AA113" i="1"/>
  <c r="AA114" i="1" s="1"/>
  <c r="AE112" i="1"/>
  <c r="AE111" i="1"/>
  <c r="J96" i="1"/>
  <c r="H96" i="1"/>
  <c r="O95" i="1"/>
  <c r="AV95" i="1"/>
  <c r="AC95" i="1"/>
  <c r="AA48" i="3"/>
  <c r="AA49" i="3"/>
  <c r="AA47" i="3"/>
  <c r="BR134" i="1" l="1"/>
  <c r="BP135" i="1"/>
  <c r="AA115" i="1"/>
  <c r="AE114" i="1"/>
  <c r="AE113" i="1"/>
  <c r="AV96" i="1"/>
  <c r="H97" i="1"/>
  <c r="J97" i="1"/>
  <c r="O96" i="1"/>
  <c r="AC96" i="1"/>
  <c r="BR135" i="1" l="1"/>
  <c r="BP136" i="1"/>
  <c r="AA116" i="1"/>
  <c r="AE115" i="1"/>
  <c r="O97" i="1"/>
  <c r="H98" i="1"/>
  <c r="J98" i="1"/>
  <c r="AV97" i="1"/>
  <c r="AC97" i="1"/>
  <c r="BP137" i="1" l="1"/>
  <c r="BR136" i="1"/>
  <c r="AA117" i="1"/>
  <c r="AE116" i="1"/>
  <c r="J99" i="1"/>
  <c r="H99" i="1"/>
  <c r="O98" i="1"/>
  <c r="AV98" i="1"/>
  <c r="AC98" i="1"/>
  <c r="AA53" i="3"/>
  <c r="AA51" i="3"/>
  <c r="AA52" i="3"/>
  <c r="AA50" i="3"/>
  <c r="BR137" i="1" l="1"/>
  <c r="BP138" i="1"/>
  <c r="BP139" i="1" s="1"/>
  <c r="BP140" i="1" s="1"/>
  <c r="AE117" i="1"/>
  <c r="AA118" i="1"/>
  <c r="H100" i="1"/>
  <c r="J100" i="1"/>
  <c r="O99" i="1"/>
  <c r="AV99" i="1"/>
  <c r="AC99" i="1"/>
  <c r="BR140" i="1" l="1"/>
  <c r="BP141" i="1"/>
  <c r="BR139" i="1"/>
  <c r="BR138" i="1"/>
  <c r="AE118" i="1"/>
  <c r="AA119" i="1"/>
  <c r="AV100" i="1"/>
  <c r="J101" i="1"/>
  <c r="H101" i="1"/>
  <c r="O100" i="1"/>
  <c r="AC100" i="1"/>
  <c r="BR141" i="1" l="1"/>
  <c r="BP142" i="1"/>
  <c r="AA120" i="1"/>
  <c r="AE119" i="1"/>
  <c r="O101" i="1"/>
  <c r="J102" i="1"/>
  <c r="H102" i="1"/>
  <c r="AV101" i="1"/>
  <c r="AC101" i="1"/>
  <c r="BR142" i="1" l="1"/>
  <c r="BP143" i="1"/>
  <c r="AE120" i="1"/>
  <c r="AA121" i="1"/>
  <c r="AA122" i="1" s="1"/>
  <c r="O102" i="1"/>
  <c r="J103" i="1"/>
  <c r="H103" i="1"/>
  <c r="AV102" i="1"/>
  <c r="AC102" i="1"/>
  <c r="AA59" i="3"/>
  <c r="AA60" i="3"/>
  <c r="AA57" i="3"/>
  <c r="AA58" i="3"/>
  <c r="AA55" i="3"/>
  <c r="AA56" i="3"/>
  <c r="AA54" i="3"/>
  <c r="BR143" i="1" l="1"/>
  <c r="BP144" i="1"/>
  <c r="AA123" i="1"/>
  <c r="AE122" i="1"/>
  <c r="AE121" i="1"/>
  <c r="J104" i="1"/>
  <c r="H104" i="1"/>
  <c r="AV103" i="1"/>
  <c r="O103" i="1"/>
  <c r="AC103" i="1"/>
  <c r="BP145" i="1" l="1"/>
  <c r="BP146" i="1" s="1"/>
  <c r="BR144" i="1"/>
  <c r="AE123" i="1"/>
  <c r="AA124" i="1"/>
  <c r="O104" i="1"/>
  <c r="H105" i="1"/>
  <c r="J105" i="1"/>
  <c r="AV104" i="1"/>
  <c r="AC104" i="1"/>
  <c r="BP147" i="1" l="1"/>
  <c r="BR146" i="1"/>
  <c r="BR145" i="1"/>
  <c r="AE124" i="1"/>
  <c r="AA125" i="1"/>
  <c r="AA126" i="1" s="1"/>
  <c r="O105" i="1"/>
  <c r="J106" i="1"/>
  <c r="H106" i="1"/>
  <c r="H107" i="1" s="1"/>
  <c r="AV105" i="1"/>
  <c r="AC105" i="1"/>
  <c r="BP148" i="1" l="1"/>
  <c r="BR147" i="1"/>
  <c r="AA127" i="1"/>
  <c r="AE126" i="1"/>
  <c r="AE125" i="1"/>
  <c r="AV106" i="1"/>
  <c r="J107" i="1"/>
  <c r="O106" i="1"/>
  <c r="W143" i="3"/>
  <c r="W144" i="3" s="1"/>
  <c r="AC106" i="1"/>
  <c r="BR148" i="1" l="1"/>
  <c r="BP149" i="1"/>
  <c r="BP150" i="1" s="1"/>
  <c r="BP151" i="1" s="1"/>
  <c r="AE127" i="1"/>
  <c r="AA128" i="1"/>
  <c r="AA129" i="1" s="1"/>
  <c r="AA130" i="1" s="1"/>
  <c r="J108" i="1"/>
  <c r="H108" i="1"/>
  <c r="O107" i="1"/>
  <c r="AV107" i="1"/>
  <c r="AC107" i="1"/>
  <c r="BR151" i="1" l="1"/>
  <c r="BP152" i="1"/>
  <c r="BP153" i="1" s="1"/>
  <c r="BP154" i="1" s="1"/>
  <c r="BR150" i="1"/>
  <c r="BR149" i="1"/>
  <c r="AA131" i="1"/>
  <c r="AE130" i="1"/>
  <c r="AE129" i="1"/>
  <c r="AE128" i="1"/>
  <c r="H109" i="1"/>
  <c r="J109" i="1"/>
  <c r="AV108" i="1"/>
  <c r="O108" i="1"/>
  <c r="AC108" i="1"/>
  <c r="BR154" i="1" l="1"/>
  <c r="BP155" i="1"/>
  <c r="BR153" i="1"/>
  <c r="BR152" i="1"/>
  <c r="AA132" i="1"/>
  <c r="AA133" i="1" s="1"/>
  <c r="AE131" i="1"/>
  <c r="O109" i="1"/>
  <c r="J110" i="1"/>
  <c r="H110" i="1"/>
  <c r="AC109" i="1"/>
  <c r="AV109" i="1"/>
  <c r="BR155" i="1" l="1"/>
  <c r="AA134" i="1"/>
  <c r="AE133" i="1"/>
  <c r="AE132" i="1"/>
  <c r="O110" i="1"/>
  <c r="J111" i="1"/>
  <c r="H111" i="1"/>
  <c r="AC110" i="1"/>
  <c r="AV110" i="1"/>
  <c r="AA65" i="3"/>
  <c r="AA63" i="3"/>
  <c r="AA64" i="3"/>
  <c r="AA62" i="3"/>
  <c r="AA135" i="1" l="1"/>
  <c r="AE134" i="1"/>
  <c r="J112" i="1"/>
  <c r="H112" i="1"/>
  <c r="O111" i="1"/>
  <c r="AC111" i="1"/>
  <c r="AV111" i="1"/>
  <c r="AE135" i="1" l="1"/>
  <c r="AA136" i="1"/>
  <c r="AV112" i="1"/>
  <c r="J113" i="1"/>
  <c r="H113" i="1"/>
  <c r="H114" i="1" s="1"/>
  <c r="O112" i="1"/>
  <c r="AC112" i="1"/>
  <c r="AA137" i="1" l="1"/>
  <c r="AE136" i="1"/>
  <c r="J114" i="1"/>
  <c r="O113" i="1"/>
  <c r="AV113" i="1"/>
  <c r="AC113" i="1"/>
  <c r="AE137" i="1" l="1"/>
  <c r="AA138" i="1"/>
  <c r="AA139" i="1" s="1"/>
  <c r="AA140" i="1" s="1"/>
  <c r="H115" i="1"/>
  <c r="H116" i="1" s="1"/>
  <c r="J115" i="1"/>
  <c r="O114" i="1"/>
  <c r="AV114" i="1"/>
  <c r="AC114" i="1"/>
  <c r="AA67" i="3"/>
  <c r="AA66" i="3"/>
  <c r="AE140" i="1" l="1"/>
  <c r="AA141" i="1"/>
  <c r="AE139" i="1"/>
  <c r="AE138" i="1"/>
  <c r="O115" i="1"/>
  <c r="J116" i="1"/>
  <c r="AV115" i="1"/>
  <c r="AC115" i="1"/>
  <c r="AE141" i="1" l="1"/>
  <c r="AA142" i="1"/>
  <c r="O116" i="1"/>
  <c r="J117" i="1"/>
  <c r="H117" i="1"/>
  <c r="AC116" i="1"/>
  <c r="AV116" i="1"/>
  <c r="AA71" i="3"/>
  <c r="AA72" i="3"/>
  <c r="AA69" i="3"/>
  <c r="AA70" i="3"/>
  <c r="AA68" i="3"/>
  <c r="AE142" i="1" l="1"/>
  <c r="AA143" i="1"/>
  <c r="AV117" i="1"/>
  <c r="H118" i="1"/>
  <c r="J118" i="1"/>
  <c r="AC117" i="1"/>
  <c r="O117" i="1"/>
  <c r="AE143" i="1" l="1"/>
  <c r="AA144" i="1"/>
  <c r="H119" i="1"/>
  <c r="J119" i="1"/>
  <c r="O118" i="1"/>
  <c r="AC118" i="1"/>
  <c r="AV118" i="1"/>
  <c r="AE144" i="1" l="1"/>
  <c r="AA145" i="1"/>
  <c r="AA146" i="1" s="1"/>
  <c r="H120" i="1"/>
  <c r="J120" i="1"/>
  <c r="O119" i="1"/>
  <c r="AV119" i="1"/>
  <c r="AC119" i="1"/>
  <c r="AA147" i="1" l="1"/>
  <c r="AE146" i="1"/>
  <c r="AE145" i="1"/>
  <c r="O120" i="1"/>
  <c r="J121" i="1"/>
  <c r="H121" i="1"/>
  <c r="AV120" i="1"/>
  <c r="AC120" i="1"/>
  <c r="AE147" i="1" l="1"/>
  <c r="AA148" i="1"/>
  <c r="J122" i="1"/>
  <c r="H122" i="1"/>
  <c r="O121" i="1"/>
  <c r="AV121" i="1"/>
  <c r="AC121" i="1"/>
  <c r="AA75" i="3"/>
  <c r="AA76" i="3"/>
  <c r="AA73" i="3"/>
  <c r="AA74" i="3"/>
  <c r="AE148" i="1" l="1"/>
  <c r="AA149" i="1"/>
  <c r="AA150" i="1" s="1"/>
  <c r="AA151" i="1" s="1"/>
  <c r="AV122" i="1"/>
  <c r="J123" i="1"/>
  <c r="H123" i="1"/>
  <c r="O122" i="1"/>
  <c r="AC122" i="1"/>
  <c r="AA152" i="1" l="1"/>
  <c r="AA153" i="1" s="1"/>
  <c r="AA154" i="1" s="1"/>
  <c r="AE151" i="1"/>
  <c r="AE150" i="1"/>
  <c r="AE149" i="1"/>
  <c r="O123" i="1"/>
  <c r="J124" i="1"/>
  <c r="H124" i="1"/>
  <c r="AV123" i="1"/>
  <c r="AC123" i="1"/>
  <c r="AA155" i="1" l="1"/>
  <c r="AE154" i="1"/>
  <c r="AE153" i="1"/>
  <c r="AE152" i="1"/>
  <c r="O124" i="1"/>
  <c r="H125" i="1"/>
  <c r="J125" i="1"/>
  <c r="AV124" i="1"/>
  <c r="AC124" i="1"/>
  <c r="AA78" i="3"/>
  <c r="AA79" i="3"/>
  <c r="AA77" i="3"/>
  <c r="AE155" i="1" l="1"/>
  <c r="H126" i="1"/>
  <c r="J126" i="1"/>
  <c r="AV125" i="1"/>
  <c r="O125" i="1"/>
  <c r="AC125" i="1"/>
  <c r="I21" i="3" l="1"/>
  <c r="I35" i="3" s="1"/>
  <c r="AD49" i="2"/>
  <c r="AD51" i="2" s="1"/>
  <c r="AD53" i="2" s="1"/>
  <c r="AD55" i="2" s="1"/>
  <c r="AD57" i="2" s="1"/>
  <c r="AJ21" i="2"/>
  <c r="AC126" i="1"/>
  <c r="J127" i="1"/>
  <c r="H127" i="1"/>
  <c r="O126" i="1"/>
  <c r="AV126" i="1"/>
  <c r="J180" i="1"/>
  <c r="J181" i="1" s="1"/>
  <c r="AV127" i="1" l="1"/>
  <c r="H128" i="1"/>
  <c r="J128" i="1"/>
  <c r="O127" i="1"/>
  <c r="AC127" i="1"/>
  <c r="J129" i="1" l="1"/>
  <c r="H129" i="1"/>
  <c r="AC128" i="1"/>
  <c r="O128" i="1"/>
  <c r="AV128" i="1"/>
  <c r="AA81" i="3"/>
  <c r="AA82" i="3"/>
  <c r="AA80" i="3"/>
  <c r="J130" i="1" l="1"/>
  <c r="H130" i="1"/>
  <c r="O129" i="1"/>
  <c r="AV129" i="1"/>
  <c r="AC129" i="1"/>
  <c r="AV130" i="1" l="1"/>
  <c r="J131" i="1"/>
  <c r="H131" i="1"/>
  <c r="O130" i="1"/>
  <c r="AC130" i="1"/>
  <c r="AV131" i="1" l="1"/>
  <c r="J132" i="1"/>
  <c r="H132" i="1"/>
  <c r="O131" i="1"/>
  <c r="AC131" i="1"/>
  <c r="AA86" i="3"/>
  <c r="AA84" i="3"/>
  <c r="AA85" i="3"/>
  <c r="AA83" i="3"/>
  <c r="J133" i="1" l="1"/>
  <c r="H133" i="1"/>
  <c r="O132" i="1"/>
  <c r="AV132" i="1"/>
  <c r="AC132" i="1"/>
  <c r="AV133" i="1" l="1"/>
  <c r="H134" i="1"/>
  <c r="J134" i="1"/>
  <c r="O133" i="1"/>
  <c r="AC133" i="1"/>
  <c r="AV134" i="1" l="1"/>
  <c r="J135" i="1"/>
  <c r="H135" i="1"/>
  <c r="O134" i="1"/>
  <c r="AC134" i="1"/>
  <c r="O135" i="1" l="1"/>
  <c r="J136" i="1"/>
  <c r="H136" i="1"/>
  <c r="AV135" i="1"/>
  <c r="AC135" i="1"/>
  <c r="AA92" i="3"/>
  <c r="AA90" i="3"/>
  <c r="AA91" i="3"/>
  <c r="AA88" i="3"/>
  <c r="AA89" i="3"/>
  <c r="AA87" i="3"/>
  <c r="O136" i="1" l="1"/>
  <c r="J137" i="1"/>
  <c r="H137" i="1"/>
  <c r="AV136" i="1"/>
  <c r="AC136" i="1"/>
  <c r="AV137" i="1" l="1"/>
  <c r="J138" i="1"/>
  <c r="H138" i="1"/>
  <c r="O137" i="1"/>
  <c r="AC137" i="1"/>
  <c r="J139" i="1" l="1"/>
  <c r="H139" i="1"/>
  <c r="AV138" i="1"/>
  <c r="O138" i="1"/>
  <c r="AC138" i="1"/>
  <c r="J140" i="1" l="1"/>
  <c r="H140" i="1"/>
  <c r="AV139" i="1"/>
  <c r="O139" i="1"/>
  <c r="AC139" i="1"/>
  <c r="P15" i="7"/>
  <c r="T15" i="7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O140" i="1" l="1"/>
  <c r="H141" i="1"/>
  <c r="J141" i="1"/>
  <c r="AV140" i="1"/>
  <c r="AC140" i="1"/>
  <c r="P16" i="7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O141" i="1" l="1"/>
  <c r="J142" i="1"/>
  <c r="H142" i="1"/>
  <c r="AV141" i="1"/>
  <c r="AC141" i="1"/>
  <c r="AA98" i="3"/>
  <c r="AA99" i="3"/>
  <c r="AA94" i="3"/>
  <c r="AA95" i="3"/>
  <c r="AA93" i="3"/>
  <c r="H143" i="1" l="1"/>
  <c r="J143" i="1"/>
  <c r="O142" i="1"/>
  <c r="AV142" i="1"/>
  <c r="AC142" i="1"/>
  <c r="AA96" i="3"/>
  <c r="AA97" i="3"/>
  <c r="O143" i="1" l="1"/>
  <c r="J144" i="1"/>
  <c r="H144" i="1"/>
  <c r="AV143" i="1"/>
  <c r="AC143" i="1"/>
  <c r="O144" i="1" l="1"/>
  <c r="H145" i="1"/>
  <c r="I23" i="3" s="1"/>
  <c r="I25" i="3" s="1"/>
  <c r="I27" i="3" s="1"/>
  <c r="J145" i="1"/>
  <c r="AV144" i="1"/>
  <c r="AC144" i="1"/>
  <c r="N27" i="3" l="1"/>
  <c r="N28" i="3" s="1"/>
  <c r="I34" i="3"/>
  <c r="J146" i="1"/>
  <c r="H146" i="1"/>
  <c r="AV145" i="1"/>
  <c r="O145" i="1"/>
  <c r="AC145" i="1"/>
  <c r="J147" i="1" l="1"/>
  <c r="H147" i="1"/>
  <c r="O146" i="1"/>
  <c r="AV146" i="1"/>
  <c r="AC146" i="1"/>
  <c r="AV147" i="1" l="1"/>
  <c r="H148" i="1"/>
  <c r="J148" i="1"/>
  <c r="O147" i="1"/>
  <c r="AC147" i="1"/>
  <c r="O148" i="1" l="1"/>
  <c r="J149" i="1"/>
  <c r="H149" i="1"/>
  <c r="AV148" i="1"/>
  <c r="AC148" i="1"/>
  <c r="AA103" i="3"/>
  <c r="AA100" i="3"/>
  <c r="H150" i="1" l="1"/>
  <c r="J150" i="1"/>
  <c r="O149" i="1"/>
  <c r="AV149" i="1"/>
  <c r="AC149" i="1"/>
  <c r="AA101" i="3"/>
  <c r="AA102" i="3"/>
  <c r="J151" i="1" l="1"/>
  <c r="H151" i="1"/>
  <c r="O150" i="1"/>
  <c r="AV150" i="1"/>
  <c r="AC150" i="1"/>
  <c r="O151" i="1" l="1"/>
  <c r="AV151" i="1"/>
  <c r="J152" i="1"/>
  <c r="H152" i="1"/>
  <c r="AC151" i="1"/>
  <c r="J153" i="1" l="1"/>
  <c r="H153" i="1"/>
  <c r="O152" i="1"/>
  <c r="AV152" i="1"/>
  <c r="AC152" i="1"/>
  <c r="AA105" i="3"/>
  <c r="AA106" i="3"/>
  <c r="AA104" i="3"/>
  <c r="J154" i="1" l="1"/>
  <c r="H154" i="1"/>
  <c r="O153" i="1"/>
  <c r="AV153" i="1"/>
  <c r="AC153" i="1"/>
  <c r="AV154" i="1" l="1"/>
  <c r="J155" i="1"/>
  <c r="H155" i="1"/>
  <c r="O154" i="1"/>
  <c r="AC154" i="1"/>
  <c r="AV155" i="1" l="1"/>
  <c r="O155" i="1"/>
  <c r="AC155" i="1"/>
  <c r="AA108" i="3"/>
  <c r="AA109" i="3"/>
  <c r="AA107" i="3"/>
  <c r="I32" i="3" l="1"/>
  <c r="AF21" i="2"/>
  <c r="L32" i="3" l="1"/>
  <c r="L34" i="3"/>
  <c r="I36" i="3"/>
  <c r="L35" i="3"/>
  <c r="I28" i="3"/>
  <c r="AA115" i="3" l="1"/>
  <c r="W116" i="3"/>
  <c r="AA116" i="3" s="1"/>
  <c r="AA113" i="3"/>
  <c r="AA114" i="3"/>
  <c r="AA111" i="3"/>
  <c r="AA112" i="3"/>
  <c r="AA110" i="3"/>
  <c r="L36" i="3"/>
  <c r="Y116" i="3" s="1"/>
  <c r="Y12" i="3" l="1"/>
</calcChain>
</file>

<file path=xl/sharedStrings.xml><?xml version="1.0" encoding="utf-8"?>
<sst xmlns="http://schemas.openxmlformats.org/spreadsheetml/2006/main" count="291" uniqueCount="166">
  <si>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</si>
  <si>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</si>
  <si>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</si>
  <si>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</si>
  <si>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</si>
  <si>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</si>
  <si>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</si>
  <si>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</si>
  <si>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</si>
  <si>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</si>
  <si>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</si>
  <si>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</si>
  <si>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</si>
  <si>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</si>
  <si>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</si>
  <si>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</si>
  <si>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</si>
  <si>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</si>
  <si>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</si>
  <si>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</si>
  <si>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</si>
  <si>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</si>
  <si>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</si>
  <si>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</si>
  <si>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</si>
  <si>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</si>
  <si>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</si>
  <si>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</si>
  <si>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</si>
  <si>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</si>
  <si>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</si>
  <si>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</si>
  <si>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</si>
  <si>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</si>
  <si>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</si>
  <si>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</si>
  <si>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</si>
  <si>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</si>
  <si>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</si>
  <si>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</si>
  <si>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</si>
  <si>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</si>
  <si>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</si>
  <si>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</si>
  <si>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</si>
  <si>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</si>
  <si>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</si>
  <si>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</si>
  <si>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</si>
  <si>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</si>
  <si>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</si>
  <si>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</si>
  <si>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</si>
  <si>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</si>
  <si>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</si>
  <si>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</si>
  <si>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</si>
  <si>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</si>
  <si>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</si>
  <si>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</si>
  <si>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</si>
  <si>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</si>
  <si>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</si>
  <si>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</si>
  <si>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</si>
  <si>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</si>
  <si>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</si>
  <si>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</si>
  <si>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</si>
  <si>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</si>
  <si>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</si>
  <si>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</si>
  <si>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</si>
  <si>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</si>
  <si>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</si>
  <si>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</si>
  <si>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</si>
  <si>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</si>
  <si>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</si>
  <si>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</si>
  <si>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</si>
  <si>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</si>
  <si>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</si>
  <si>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</si>
  <si>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</si>
  <si>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</si>
  <si>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</si>
  <si>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</si>
  <si>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</si>
  <si>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</si>
  <si>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</si>
  <si>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</si>
  <si>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</si>
  <si>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</si>
  <si>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</si>
  <si>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</si>
  <si>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</si>
  <si>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</si>
  <si>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</si>
  <si>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</si>
  <si>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</si>
  <si>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</si>
  <si>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</si>
  <si>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</si>
  <si>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</si>
  <si>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MA</t>
  </si>
  <si>
    <t>#</t>
  </si>
  <si>
    <t>% of All</t>
  </si>
  <si>
    <t>Cases / 100,000</t>
  </si>
  <si>
    <t>Ohio Population:</t>
  </si>
  <si>
    <t xml:space="preserve">Percent </t>
  </si>
  <si>
    <t>Data collection, recoding and reporting challenges.</t>
  </si>
  <si>
    <t>The lack of being able to measure "self-diagnosed" cases.</t>
  </si>
  <si>
    <t>Less: Theoretical Recoveries</t>
  </si>
  <si>
    <t>Open Net Cases</t>
  </si>
  <si>
    <t>Average</t>
  </si>
  <si>
    <t xml:space="preserve"> New Cases</t>
  </si>
  <si>
    <t>Summary Data</t>
  </si>
  <si>
    <t>Changes</t>
  </si>
  <si>
    <t>Florida Summary Data</t>
  </si>
  <si>
    <t>Population:</t>
  </si>
  <si>
    <t>2020 budget</t>
  </si>
  <si>
    <t>$91.5 billion</t>
  </si>
  <si>
    <t>New York, New Jersey &amp; Connecticut, % USA (source CNN)</t>
  </si>
  <si>
    <t>Weekly</t>
  </si>
  <si>
    <t>% Cange</t>
  </si>
  <si>
    <t>Count</t>
  </si>
  <si>
    <t>OHIO Theoretical Recoveries (5/21/20)</t>
  </si>
  <si>
    <t>Open Net Cases (5/21/20)</t>
  </si>
  <si>
    <t>Lee: Critical Care</t>
  </si>
  <si>
    <t>Cases to track</t>
  </si>
  <si>
    <t>FloridaTheoretical Recoveries (5/21/20)</t>
  </si>
  <si>
    <t>Florida Open Net Cases (5/21/20)</t>
  </si>
  <si>
    <t>Boston / NYC Metro Weighted Average (WA)</t>
  </si>
  <si>
    <t>Cases twelve days prior</t>
  </si>
  <si>
    <t>New York</t>
  </si>
  <si>
    <t>New Jersey</t>
  </si>
  <si>
    <t>Rhode Island</t>
  </si>
  <si>
    <t>Connecticut</t>
  </si>
  <si>
    <t>Delaware</t>
  </si>
  <si>
    <t>Illinois</t>
  </si>
  <si>
    <t>Maryland</t>
  </si>
  <si>
    <t>District of Columbia</t>
  </si>
  <si>
    <t>Louisiana</t>
  </si>
  <si>
    <t>Percentages</t>
  </si>
  <si>
    <t>(000)</t>
  </si>
  <si>
    <t xml:space="preserve">Cases </t>
  </si>
  <si>
    <t>(000,000)</t>
  </si>
  <si>
    <t>State / Region</t>
  </si>
  <si>
    <t>On 4/14/20 NYC added an additional 3,778 deaths that happened since 3/11/20, the retroactive data effected both cases and deaths.  Other retroactive adjustments are also posted on this date.</t>
  </si>
  <si>
    <t>(5)</t>
  </si>
  <si>
    <t>Los Angelos county reported 11,247 cases retroactively due to reporting challenges.</t>
  </si>
  <si>
    <t>April</t>
  </si>
  <si>
    <t>May</t>
  </si>
  <si>
    <t>June</t>
  </si>
  <si>
    <t>Time Frame</t>
  </si>
  <si>
    <t>US COVID Death Rates</t>
  </si>
  <si>
    <t>`</t>
  </si>
  <si>
    <t>July</t>
  </si>
  <si>
    <t xml:space="preserve"> 8/10</t>
  </si>
  <si>
    <t xml:space="preserve"> 8/3</t>
  </si>
  <si>
    <t xml:space="preserve"> 7/27</t>
  </si>
  <si>
    <t xml:space="preserve">Actual </t>
  </si>
  <si>
    <t>Ave</t>
  </si>
  <si>
    <t xml:space="preserve">Week </t>
  </si>
  <si>
    <t>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</si>
</sst>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  <numFmt numFmtId="172" formatCode="0.00000%"/>
    <numFmt numFmtId="173" formatCode="_(&quot;$&quot;* #,##0_);_(&quot;$&quot;* \(#,##0\);_(&quot;$&quot;* &quot;-&quot;??_);_(@_)"/>
    <numFmt numFmtId="174" formatCode="[$-409]d\-mmm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3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4" borderId="2" xfId="0" applyFont="1" applyFill="1" applyBorder="1" applyAlignment="1">
      <alignment horizontal="right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1" xfId="1" applyNumberFormat="1" applyFont="1" applyFill="1" applyBorder="1"/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1" xfId="0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7" fillId="20" borderId="0" xfId="1" applyNumberFormat="1" applyFont="1" applyFill="1" applyBorder="1" applyAlignment="1">
      <alignment horizontal="center"/>
    </xf>
    <xf numFmtId="164" fontId="11" fillId="20" borderId="0" xfId="1" applyNumberFormat="1" applyFont="1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4" xfId="1" applyNumberFormat="1" applyFont="1" applyFill="1" applyBorder="1" applyAlignment="1"/>
    <xf numFmtId="0" fontId="0" fillId="20" borderId="45" xfId="0" applyFill="1" applyBorder="1"/>
    <xf numFmtId="164" fontId="0" fillId="20" borderId="36" xfId="1" applyNumberFormat="1" applyFont="1" applyFill="1" applyBorder="1"/>
    <xf numFmtId="164" fontId="0" fillId="20" borderId="38" xfId="1" applyNumberFormat="1" applyFont="1" applyFill="1" applyBorder="1"/>
    <xf numFmtId="164" fontId="0" fillId="20" borderId="39" xfId="1" applyNumberFormat="1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171" fontId="0" fillId="0" borderId="0" xfId="0" applyNumberFormat="1" applyFill="1" applyBorder="1"/>
    <xf numFmtId="0" fontId="2" fillId="6" borderId="46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9" fontId="7" fillId="10" borderId="0" xfId="1" applyNumberFormat="1" applyFont="1" applyFill="1" applyBorder="1" applyAlignment="1">
      <alignment horizontal="right"/>
    </xf>
    <xf numFmtId="49" fontId="5" fillId="10" borderId="0" xfId="1" applyNumberFormat="1" applyFont="1" applyFill="1" applyBorder="1" applyAlignment="1">
      <alignment horizontal="right"/>
    </xf>
    <xf numFmtId="165" fontId="0" fillId="7" borderId="0" xfId="2" applyNumberFormat="1" applyFont="1" applyFill="1" applyBorder="1"/>
    <xf numFmtId="0" fontId="5" fillId="7" borderId="0" xfId="0" applyFont="1" applyFill="1" applyBorder="1" applyAlignment="1">
      <alignment horizontal="center"/>
    </xf>
    <xf numFmtId="164" fontId="0" fillId="7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/>
    <xf numFmtId="165" fontId="0" fillId="3" borderId="11" xfId="2" applyNumberFormat="1" applyFont="1" applyFill="1" applyBorder="1"/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0" fontId="8" fillId="13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0" fillId="20" borderId="0" xfId="1" applyNumberFormat="1" applyFont="1" applyFill="1" applyBorder="1" applyAlignment="1">
      <alignment horizontal="left"/>
    </xf>
    <xf numFmtId="165" fontId="0" fillId="20" borderId="0" xfId="2" applyNumberFormat="1" applyFont="1" applyFill="1" applyBorder="1"/>
    <xf numFmtId="0" fontId="0" fillId="20" borderId="0" xfId="0" applyFill="1" applyBorder="1" applyAlignment="1"/>
    <xf numFmtId="0" fontId="2" fillId="20" borderId="0" xfId="0" applyFont="1" applyFill="1" applyBorder="1"/>
    <xf numFmtId="165" fontId="2" fillId="20" borderId="19" xfId="2" applyNumberFormat="1" applyFont="1" applyFill="1" applyBorder="1"/>
    <xf numFmtId="0" fontId="0" fillId="0" borderId="34" xfId="0" applyFill="1" applyBorder="1"/>
    <xf numFmtId="0" fontId="0" fillId="20" borderId="33" xfId="0" applyFill="1" applyBorder="1" applyAlignment="1"/>
    <xf numFmtId="0" fontId="0" fillId="20" borderId="34" xfId="0" applyFill="1" applyBorder="1" applyAlignment="1"/>
    <xf numFmtId="164" fontId="0" fillId="20" borderId="37" xfId="1" applyNumberFormat="1" applyFont="1" applyFill="1" applyBorder="1"/>
    <xf numFmtId="164" fontId="3" fillId="20" borderId="35" xfId="1" applyNumberFormat="1" applyFont="1" applyFill="1" applyBorder="1" applyAlignment="1"/>
    <xf numFmtId="164" fontId="15" fillId="20" borderId="48" xfId="1" applyNumberFormat="1" applyFont="1" applyFill="1" applyBorder="1" applyAlignment="1">
      <alignment horizontal="center"/>
    </xf>
    <xf numFmtId="0" fontId="16" fillId="20" borderId="36" xfId="0" applyFont="1" applyFill="1" applyBorder="1"/>
    <xf numFmtId="0" fontId="16" fillId="20" borderId="37" xfId="0" applyFont="1" applyFill="1" applyBorder="1"/>
    <xf numFmtId="0" fontId="16" fillId="20" borderId="38" xfId="0" applyFont="1" applyFill="1" applyBorder="1"/>
    <xf numFmtId="0" fontId="16" fillId="20" borderId="39" xfId="0" applyFont="1" applyFill="1" applyBorder="1"/>
    <xf numFmtId="0" fontId="16" fillId="20" borderId="40" xfId="0" applyFont="1" applyFill="1" applyBorder="1"/>
    <xf numFmtId="1" fontId="0" fillId="0" borderId="0" xfId="0" applyNumberFormat="1"/>
    <xf numFmtId="0" fontId="4" fillId="8" borderId="0" xfId="0" applyFont="1" applyFill="1" applyBorder="1" applyAlignment="1">
      <alignment horizontal="center"/>
    </xf>
    <xf numFmtId="0" fontId="0" fillId="21" borderId="0" xfId="0" applyFill="1" applyBorder="1"/>
    <xf numFmtId="165" fontId="0" fillId="21" borderId="0" xfId="2" applyNumberFormat="1" applyFont="1" applyFill="1" applyBorder="1"/>
    <xf numFmtId="0" fontId="0" fillId="21" borderId="17" xfId="0" applyFill="1" applyBorder="1"/>
    <xf numFmtId="164" fontId="0" fillId="21" borderId="0" xfId="1" applyNumberFormat="1" applyFont="1" applyFill="1" applyBorder="1"/>
    <xf numFmtId="0" fontId="2" fillId="20" borderId="0" xfId="0" applyFont="1" applyFill="1" applyBorder="1" applyAlignment="1">
      <alignment horizontal="center"/>
    </xf>
    <xf numFmtId="165" fontId="2" fillId="20" borderId="0" xfId="2" applyNumberFormat="1" applyFont="1" applyFill="1" applyBorder="1"/>
    <xf numFmtId="169" fontId="13" fillId="20" borderId="0" xfId="1" applyNumberFormat="1" applyFont="1" applyFill="1" applyBorder="1"/>
    <xf numFmtId="164" fontId="6" fillId="20" borderId="0" xfId="1" applyNumberFormat="1" applyFont="1" applyFill="1" applyBorder="1"/>
    <xf numFmtId="0" fontId="6" fillId="20" borderId="0" xfId="0" applyFont="1" applyFill="1" applyBorder="1"/>
    <xf numFmtId="164" fontId="6" fillId="20" borderId="1" xfId="1" applyNumberFormat="1" applyFont="1" applyFill="1" applyBorder="1"/>
    <xf numFmtId="165" fontId="6" fillId="20" borderId="0" xfId="2" applyNumberFormat="1" applyFont="1" applyFill="1" applyBorder="1"/>
    <xf numFmtId="164" fontId="11" fillId="20" borderId="19" xfId="1" applyNumberFormat="1" applyFont="1" applyFill="1" applyBorder="1"/>
    <xf numFmtId="164" fontId="11" fillId="20" borderId="19" xfId="0" applyNumberFormat="1" applyFont="1" applyFill="1" applyBorder="1"/>
    <xf numFmtId="165" fontId="11" fillId="20" borderId="19" xfId="2" applyNumberFormat="1" applyFont="1" applyFill="1" applyBorder="1"/>
    <xf numFmtId="165" fontId="11" fillId="20" borderId="26" xfId="2" applyNumberFormat="1" applyFont="1" applyFill="1" applyBorder="1"/>
    <xf numFmtId="164" fontId="11" fillId="20" borderId="39" xfId="1" applyNumberFormat="1" applyFont="1" applyFill="1" applyBorder="1"/>
    <xf numFmtId="164" fontId="6" fillId="20" borderId="39" xfId="1" applyNumberFormat="1" applyFont="1" applyFill="1" applyBorder="1"/>
    <xf numFmtId="0" fontId="6" fillId="20" borderId="39" xfId="0" applyFont="1" applyFill="1" applyBorder="1"/>
    <xf numFmtId="171" fontId="0" fillId="22" borderId="0" xfId="0" applyNumberFormat="1" applyFill="1"/>
    <xf numFmtId="164" fontId="0" fillId="22" borderId="0" xfId="1" applyNumberFormat="1" applyFont="1" applyFill="1"/>
    <xf numFmtId="164" fontId="6" fillId="0" borderId="0" xfId="1" applyNumberFormat="1" applyFont="1" applyFill="1"/>
    <xf numFmtId="171" fontId="0" fillId="5" borderId="17" xfId="0" applyNumberFormat="1" applyFill="1" applyBorder="1"/>
    <xf numFmtId="164" fontId="0" fillId="5" borderId="17" xfId="0" applyNumberFormat="1" applyFill="1" applyBorder="1"/>
    <xf numFmtId="38" fontId="0" fillId="5" borderId="17" xfId="0" applyNumberFormat="1" applyFill="1" applyBorder="1"/>
    <xf numFmtId="0" fontId="0" fillId="5" borderId="17" xfId="0" applyFill="1" applyBorder="1" applyAlignment="1">
      <alignment vertical="center"/>
    </xf>
    <xf numFmtId="164" fontId="10" fillId="2" borderId="44" xfId="1" applyNumberFormat="1" applyFont="1" applyFill="1" applyBorder="1" applyAlignment="1"/>
    <xf numFmtId="164" fontId="12" fillId="2" borderId="6" xfId="1" applyNumberFormat="1" applyFont="1" applyFill="1" applyBorder="1" applyAlignment="1"/>
    <xf numFmtId="164" fontId="10" fillId="2" borderId="21" xfId="1" applyNumberFormat="1" applyFont="1" applyFill="1" applyBorder="1" applyAlignment="1"/>
    <xf numFmtId="0" fontId="0" fillId="2" borderId="21" xfId="0" applyFill="1" applyBorder="1"/>
    <xf numFmtId="0" fontId="10" fillId="2" borderId="6" xfId="0" applyFont="1" applyFill="1" applyBorder="1" applyAlignment="1">
      <alignment horizontal="center"/>
    </xf>
    <xf numFmtId="0" fontId="0" fillId="2" borderId="45" xfId="0" applyFill="1" applyBorder="1"/>
    <xf numFmtId="164" fontId="0" fillId="2" borderId="36" xfId="1" applyNumberFormat="1" applyFont="1" applyFill="1" applyBorder="1"/>
    <xf numFmtId="164" fontId="7" fillId="2" borderId="0" xfId="1" applyNumberFormat="1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/>
    <xf numFmtId="0" fontId="6" fillId="2" borderId="0" xfId="0" applyFont="1" applyFill="1" applyBorder="1"/>
    <xf numFmtId="0" fontId="0" fillId="2" borderId="37" xfId="0" applyFill="1" applyBorder="1"/>
    <xf numFmtId="164" fontId="6" fillId="2" borderId="1" xfId="1" applyNumberFormat="1" applyFont="1" applyFill="1" applyBorder="1"/>
    <xf numFmtId="165" fontId="6" fillId="2" borderId="0" xfId="2" applyNumberFormat="1" applyFont="1" applyFill="1" applyBorder="1"/>
    <xf numFmtId="164" fontId="7" fillId="2" borderId="0" xfId="1" applyNumberFormat="1" applyFont="1" applyFill="1" applyBorder="1" applyAlignment="1">
      <alignment horizontal="center"/>
    </xf>
    <xf numFmtId="164" fontId="11" fillId="2" borderId="0" xfId="1" applyNumberFormat="1" applyFont="1" applyFill="1" applyBorder="1"/>
    <xf numFmtId="164" fontId="11" fillId="2" borderId="19" xfId="1" applyNumberFormat="1" applyFont="1" applyFill="1" applyBorder="1"/>
    <xf numFmtId="164" fontId="11" fillId="2" borderId="19" xfId="0" applyNumberFormat="1" applyFont="1" applyFill="1" applyBorder="1"/>
    <xf numFmtId="0" fontId="0" fillId="2" borderId="36" xfId="0" applyFill="1" applyBorder="1"/>
    <xf numFmtId="165" fontId="11" fillId="2" borderId="19" xfId="2" applyNumberFormat="1" applyFont="1" applyFill="1" applyBorder="1"/>
    <xf numFmtId="165" fontId="11" fillId="2" borderId="26" xfId="2" applyNumberFormat="1" applyFont="1" applyFill="1" applyBorder="1"/>
    <xf numFmtId="164" fontId="0" fillId="2" borderId="38" xfId="1" applyNumberFormat="1" applyFont="1" applyFill="1" applyBorder="1"/>
    <xf numFmtId="164" fontId="0" fillId="2" borderId="39" xfId="1" applyNumberFormat="1" applyFont="1" applyFill="1" applyBorder="1" applyAlignment="1">
      <alignment horizontal="center"/>
    </xf>
    <xf numFmtId="164" fontId="11" fillId="2" borderId="39" xfId="1" applyNumberFormat="1" applyFont="1" applyFill="1" applyBorder="1"/>
    <xf numFmtId="164" fontId="6" fillId="2" borderId="39" xfId="1" applyNumberFormat="1" applyFont="1" applyFill="1" applyBorder="1"/>
    <xf numFmtId="0" fontId="6" fillId="2" borderId="39" xfId="0" applyFont="1" applyFill="1" applyBorder="1"/>
    <xf numFmtId="0" fontId="0" fillId="2" borderId="40" xfId="0" applyFill="1" applyBorder="1"/>
    <xf numFmtId="0" fontId="0" fillId="2" borderId="33" xfId="0" applyFill="1" applyBorder="1" applyAlignment="1"/>
    <xf numFmtId="0" fontId="0" fillId="2" borderId="34" xfId="0" applyFill="1" applyBorder="1" applyAlignment="1"/>
    <xf numFmtId="164" fontId="3" fillId="2" borderId="35" xfId="1" applyNumberFormat="1" applyFont="1" applyFill="1" applyBorder="1" applyAlignment="1"/>
    <xf numFmtId="164" fontId="0" fillId="2" borderId="0" xfId="1" applyNumberFormat="1" applyFont="1" applyFill="1" applyBorder="1" applyAlignment="1">
      <alignment horizontal="left"/>
    </xf>
    <xf numFmtId="164" fontId="0" fillId="2" borderId="37" xfId="1" applyNumberFormat="1" applyFont="1" applyFill="1" applyBorder="1"/>
    <xf numFmtId="0" fontId="0" fillId="2" borderId="0" xfId="0" applyFill="1" applyBorder="1" applyAlignment="1"/>
    <xf numFmtId="0" fontId="2" fillId="2" borderId="0" xfId="0" applyFont="1" applyFill="1" applyBorder="1"/>
    <xf numFmtId="165" fontId="2" fillId="2" borderId="19" xfId="2" applyNumberFormat="1" applyFont="1" applyFill="1" applyBorder="1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2" applyNumberFormat="1" applyFont="1" applyFill="1" applyBorder="1"/>
    <xf numFmtId="0" fontId="0" fillId="2" borderId="38" xfId="0" applyFill="1" applyBorder="1"/>
    <xf numFmtId="0" fontId="0" fillId="2" borderId="39" xfId="0" applyFill="1" applyBorder="1"/>
    <xf numFmtId="164" fontId="15" fillId="0" borderId="48" xfId="1" applyNumberFormat="1" applyFont="1" applyFill="1" applyBorder="1" applyAlignment="1">
      <alignment horizontal="center"/>
    </xf>
    <xf numFmtId="0" fontId="16" fillId="0" borderId="36" xfId="0" applyFont="1" applyFill="1" applyBorder="1"/>
    <xf numFmtId="0" fontId="13" fillId="0" borderId="0" xfId="0" applyFont="1" applyFill="1" applyBorder="1"/>
    <xf numFmtId="0" fontId="16" fillId="0" borderId="37" xfId="0" applyFont="1" applyFill="1" applyBorder="1"/>
    <xf numFmtId="166" fontId="13" fillId="0" borderId="0" xfId="2" applyNumberFormat="1" applyFont="1" applyFill="1" applyBorder="1"/>
    <xf numFmtId="169" fontId="13" fillId="0" borderId="0" xfId="1" applyNumberFormat="1" applyFont="1" applyFill="1" applyBorder="1"/>
    <xf numFmtId="0" fontId="13" fillId="0" borderId="0" xfId="0" applyFont="1" applyFill="1" applyBorder="1" applyAlignment="1">
      <alignment horizontal="center"/>
    </xf>
    <xf numFmtId="0" fontId="16" fillId="0" borderId="38" xfId="0" applyFont="1" applyFill="1" applyBorder="1"/>
    <xf numFmtId="0" fontId="16" fillId="0" borderId="39" xfId="0" applyFont="1" applyFill="1" applyBorder="1"/>
    <xf numFmtId="0" fontId="16" fillId="0" borderId="40" xfId="0" applyFont="1" applyFill="1" applyBorder="1"/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2" borderId="10" xfId="2" applyNumberFormat="1" applyFont="1" applyFill="1" applyBorder="1"/>
    <xf numFmtId="0" fontId="14" fillId="10" borderId="0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14" fillId="10" borderId="47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14" fillId="13" borderId="8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72" fontId="0" fillId="0" borderId="0" xfId="2" applyNumberFormat="1" applyFont="1"/>
    <xf numFmtId="164" fontId="0" fillId="22" borderId="0" xfId="1" applyNumberFormat="1" applyFont="1" applyFill="1" applyBorder="1"/>
    <xf numFmtId="173" fontId="0" fillId="0" borderId="0" xfId="3" applyNumberFormat="1" applyFont="1"/>
    <xf numFmtId="173" fontId="0" fillId="0" borderId="0" xfId="0" applyNumberFormat="1"/>
    <xf numFmtId="0" fontId="0" fillId="22" borderId="0" xfId="0" applyFill="1"/>
    <xf numFmtId="9" fontId="0" fillId="22" borderId="0" xfId="2" applyFont="1" applyFill="1" applyBorder="1"/>
    <xf numFmtId="10" fontId="0" fillId="8" borderId="0" xfId="2" applyNumberFormat="1" applyFont="1" applyFill="1" applyBorder="1"/>
    <xf numFmtId="171" fontId="0" fillId="13" borderId="0" xfId="0" applyNumberFormat="1" applyFill="1"/>
    <xf numFmtId="171" fontId="0" fillId="5" borderId="0" xfId="0" applyNumberFormat="1" applyFill="1"/>
    <xf numFmtId="164" fontId="0" fillId="5" borderId="0" xfId="1" applyNumberFormat="1" applyFont="1" applyFill="1"/>
    <xf numFmtId="10" fontId="0" fillId="14" borderId="0" xfId="2" applyNumberFormat="1" applyFont="1" applyFill="1" applyBorder="1"/>
    <xf numFmtId="10" fontId="0" fillId="6" borderId="0" xfId="2" applyNumberFormat="1" applyFont="1" applyFill="1" applyBorder="1"/>
    <xf numFmtId="0" fontId="0" fillId="5" borderId="1" xfId="0" applyFill="1" applyBorder="1" applyAlignment="1">
      <alignment horizontal="center"/>
    </xf>
    <xf numFmtId="166" fontId="0" fillId="8" borderId="0" xfId="2" applyNumberFormat="1" applyFont="1" applyFill="1" applyBorder="1"/>
    <xf numFmtId="164" fontId="0" fillId="0" borderId="1" xfId="1" applyNumberFormat="1" applyFont="1" applyBorder="1"/>
    <xf numFmtId="9" fontId="0" fillId="0" borderId="19" xfId="2" applyFont="1" applyBorder="1"/>
    <xf numFmtId="0" fontId="0" fillId="5" borderId="53" xfId="0" applyFill="1" applyBorder="1"/>
    <xf numFmtId="0" fontId="0" fillId="5" borderId="54" xfId="0" applyFill="1" applyBorder="1"/>
    <xf numFmtId="0" fontId="0" fillId="5" borderId="55" xfId="0" applyFill="1" applyBorder="1"/>
    <xf numFmtId="0" fontId="0" fillId="5" borderId="56" xfId="0" applyFill="1" applyBorder="1"/>
    <xf numFmtId="0" fontId="0" fillId="5" borderId="57" xfId="0" applyFill="1" applyBorder="1"/>
    <xf numFmtId="49" fontId="0" fillId="5" borderId="1" xfId="0" applyNumberFormat="1" applyFill="1" applyBorder="1" applyAlignment="1">
      <alignment horizontal="center"/>
    </xf>
    <xf numFmtId="164" fontId="0" fillId="5" borderId="1" xfId="1" applyNumberFormat="1" applyFont="1" applyFill="1" applyBorder="1"/>
    <xf numFmtId="164" fontId="0" fillId="5" borderId="1" xfId="0" applyNumberFormat="1" applyFill="1" applyBorder="1"/>
    <xf numFmtId="9" fontId="0" fillId="5" borderId="0" xfId="2" applyFont="1" applyFill="1" applyBorder="1"/>
    <xf numFmtId="9" fontId="0" fillId="5" borderId="19" xfId="2" applyFont="1" applyFill="1" applyBorder="1"/>
    <xf numFmtId="0" fontId="0" fillId="5" borderId="58" xfId="0" applyFill="1" applyBorder="1"/>
    <xf numFmtId="0" fontId="0" fillId="5" borderId="59" xfId="0" applyFill="1" applyBorder="1"/>
    <xf numFmtId="0" fontId="0" fillId="5" borderId="60" xfId="0" applyFill="1" applyBorder="1"/>
    <xf numFmtId="0" fontId="0" fillId="5" borderId="20" xfId="0" applyFill="1" applyBorder="1"/>
    <xf numFmtId="0" fontId="0" fillId="5" borderId="13" xfId="0" applyFill="1" applyBorder="1" applyAlignment="1">
      <alignment horizontal="center"/>
    </xf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0" fillId="5" borderId="22" xfId="0" applyFill="1" applyBorder="1"/>
    <xf numFmtId="164" fontId="0" fillId="7" borderId="0" xfId="1" applyNumberFormat="1" applyFont="1" applyFill="1"/>
    <xf numFmtId="10" fontId="0" fillId="3" borderId="0" xfId="2" applyNumberFormat="1" applyFont="1" applyFill="1" applyBorder="1"/>
    <xf numFmtId="49" fontId="5" fillId="2" borderId="0" xfId="1" applyNumberFormat="1" applyFont="1" applyFill="1" applyAlignment="1">
      <alignment horizontal="right"/>
    </xf>
    <xf numFmtId="10" fontId="10" fillId="7" borderId="26" xfId="2" applyNumberFormat="1" applyFont="1" applyFill="1" applyBorder="1"/>
    <xf numFmtId="0" fontId="0" fillId="13" borderId="20" xfId="0" applyFill="1" applyBorder="1"/>
    <xf numFmtId="0" fontId="0" fillId="13" borderId="21" xfId="0" applyFill="1" applyBorder="1"/>
    <xf numFmtId="0" fontId="0" fillId="13" borderId="22" xfId="0" applyFill="1" applyBorder="1"/>
    <xf numFmtId="0" fontId="0" fillId="13" borderId="14" xfId="0" applyFill="1" applyBorder="1"/>
    <xf numFmtId="0" fontId="0" fillId="13" borderId="15" xfId="0" applyFill="1" applyBorder="1"/>
    <xf numFmtId="164" fontId="0" fillId="13" borderId="0" xfId="0" applyNumberFormat="1" applyFill="1" applyBorder="1"/>
    <xf numFmtId="0" fontId="0" fillId="13" borderId="16" xfId="0" applyFill="1" applyBorder="1"/>
    <xf numFmtId="0" fontId="0" fillId="13" borderId="17" xfId="0" applyFill="1" applyBorder="1"/>
    <xf numFmtId="0" fontId="0" fillId="13" borderId="18" xfId="0" applyFill="1" applyBorder="1"/>
    <xf numFmtId="0" fontId="2" fillId="13" borderId="0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2" fillId="13" borderId="0" xfId="0" applyFont="1" applyFill="1" applyBorder="1"/>
    <xf numFmtId="164" fontId="0" fillId="13" borderId="0" xfId="0" applyNumberFormat="1" applyFont="1" applyFill="1" applyBorder="1" applyAlignment="1">
      <alignment horizontal="center"/>
    </xf>
    <xf numFmtId="0" fontId="0" fillId="13" borderId="0" xfId="0" applyFont="1" applyFill="1" applyBorder="1" applyAlignment="1">
      <alignment horizontal="center"/>
    </xf>
    <xf numFmtId="0" fontId="0" fillId="13" borderId="0" xfId="0" applyFont="1" applyFill="1" applyBorder="1"/>
    <xf numFmtId="0" fontId="3" fillId="13" borderId="1" xfId="0" applyFont="1" applyFill="1" applyBorder="1" applyAlignment="1">
      <alignment horizontal="center"/>
    </xf>
    <xf numFmtId="0" fontId="17" fillId="13" borderId="17" xfId="0" applyFont="1" applyFill="1" applyBorder="1" applyAlignment="1">
      <alignment horizontal="center"/>
    </xf>
    <xf numFmtId="0" fontId="17" fillId="13" borderId="17" xfId="0" applyFont="1" applyFill="1" applyBorder="1"/>
    <xf numFmtId="164" fontId="17" fillId="13" borderId="17" xfId="0" applyNumberFormat="1" applyFont="1" applyFill="1" applyBorder="1"/>
    <xf numFmtId="165" fontId="17" fillId="13" borderId="17" xfId="2" applyNumberFormat="1" applyFont="1" applyFill="1" applyBorder="1"/>
    <xf numFmtId="165" fontId="2" fillId="13" borderId="0" xfId="2" applyNumberFormat="1" applyFont="1" applyFill="1" applyBorder="1"/>
    <xf numFmtId="164" fontId="0" fillId="23" borderId="0" xfId="1" applyNumberFormat="1" applyFont="1" applyFill="1"/>
    <xf numFmtId="0" fontId="0" fillId="23" borderId="0" xfId="0" applyFill="1"/>
    <xf numFmtId="10" fontId="0" fillId="0" borderId="0" xfId="0" applyNumberFormat="1"/>
    <xf numFmtId="164" fontId="6" fillId="0" borderId="0" xfId="1" applyNumberFormat="1" applyFont="1" applyFill="1" applyBorder="1"/>
    <xf numFmtId="0" fontId="6" fillId="0" borderId="0" xfId="0" applyFont="1" applyFill="1" applyBorder="1"/>
    <xf numFmtId="10" fontId="0" fillId="13" borderId="0" xfId="2" applyNumberFormat="1" applyFont="1" applyFill="1" applyBorder="1"/>
    <xf numFmtId="49" fontId="5" fillId="10" borderId="0" xfId="1" applyNumberFormat="1" applyFont="1" applyFill="1" applyAlignment="1">
      <alignment horizontal="right"/>
    </xf>
    <xf numFmtId="10" fontId="1" fillId="13" borderId="0" xfId="2" applyNumberFormat="1" applyFont="1" applyFill="1" applyBorder="1" applyAlignment="1">
      <alignment horizontal="right"/>
    </xf>
    <xf numFmtId="164" fontId="0" fillId="17" borderId="0" xfId="1" applyNumberFormat="1" applyFont="1" applyFill="1"/>
    <xf numFmtId="164" fontId="1" fillId="0" borderId="0" xfId="1" applyNumberFormat="1" applyFont="1" applyFill="1" applyBorder="1"/>
    <xf numFmtId="165" fontId="1" fillId="0" borderId="0" xfId="2" applyNumberFormat="1" applyFont="1" applyFill="1" applyBorder="1"/>
    <xf numFmtId="0" fontId="1" fillId="0" borderId="0" xfId="0" applyFont="1"/>
    <xf numFmtId="9" fontId="1" fillId="0" borderId="0" xfId="2" applyNumberFormat="1" applyFont="1" applyFill="1" applyBorder="1"/>
    <xf numFmtId="0" fontId="0" fillId="10" borderId="0" xfId="0" applyFill="1"/>
    <xf numFmtId="0" fontId="0" fillId="2" borderId="0" xfId="0" applyFill="1"/>
    <xf numFmtId="0" fontId="3" fillId="13" borderId="0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0" fillId="24" borderId="0" xfId="0" applyFill="1"/>
    <xf numFmtId="174" fontId="0" fillId="0" borderId="0" xfId="1" applyNumberFormat="1" applyFont="1" applyFill="1"/>
    <xf numFmtId="0" fontId="2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5" fontId="0" fillId="2" borderId="0" xfId="2" applyNumberFormat="1" applyFont="1" applyFill="1"/>
    <xf numFmtId="0" fontId="0" fillId="25" borderId="0" xfId="0" applyFill="1"/>
    <xf numFmtId="0" fontId="0" fillId="20" borderId="0" xfId="0" applyFill="1"/>
    <xf numFmtId="43" fontId="0" fillId="24" borderId="0" xfId="1" applyFont="1" applyFill="1"/>
    <xf numFmtId="164" fontId="0" fillId="24" borderId="0" xfId="1" applyNumberFormat="1" applyFont="1" applyFill="1"/>
    <xf numFmtId="9" fontId="0" fillId="24" borderId="0" xfId="2" applyFont="1" applyFill="1"/>
    <xf numFmtId="165" fontId="0" fillId="24" borderId="0" xfId="2" applyNumberFormat="1" applyFont="1" applyFill="1"/>
    <xf numFmtId="0" fontId="0" fillId="2" borderId="20" xfId="0" applyFill="1" applyBorder="1"/>
    <xf numFmtId="0" fontId="0" fillId="2" borderId="22" xfId="0" applyFill="1" applyBorder="1"/>
    <xf numFmtId="0" fontId="0" fillId="2" borderId="14" xfId="0" applyFill="1" applyBorder="1"/>
    <xf numFmtId="0" fontId="0" fillId="2" borderId="15" xfId="0" applyFill="1" applyBorder="1"/>
    <xf numFmtId="0" fontId="2" fillId="2" borderId="1" xfId="0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9" fontId="2" fillId="2" borderId="1" xfId="2" applyFont="1" applyFill="1" applyBorder="1" applyAlignment="1">
      <alignment horizontal="center"/>
    </xf>
    <xf numFmtId="164" fontId="0" fillId="2" borderId="0" xfId="0" applyNumberFormat="1" applyFill="1" applyBorder="1"/>
    <xf numFmtId="9" fontId="0" fillId="2" borderId="0" xfId="2" applyFont="1" applyFill="1" applyBorder="1"/>
    <xf numFmtId="0" fontId="0" fillId="2" borderId="16" xfId="0" applyFill="1" applyBorder="1"/>
    <xf numFmtId="0" fontId="0" fillId="2" borderId="17" xfId="0" applyFill="1" applyBorder="1"/>
    <xf numFmtId="43" fontId="0" fillId="2" borderId="17" xfId="0" applyNumberFormat="1" applyFill="1" applyBorder="1"/>
    <xf numFmtId="0" fontId="0" fillId="2" borderId="18" xfId="0" applyFill="1" applyBorder="1"/>
    <xf numFmtId="164" fontId="0" fillId="24" borderId="0" xfId="1" applyNumberFormat="1" applyFont="1" applyFill="1" applyBorder="1"/>
    <xf numFmtId="164" fontId="2" fillId="24" borderId="0" xfId="1" applyNumberFormat="1" applyFont="1" applyFill="1" applyBorder="1" applyAlignment="1"/>
    <xf numFmtId="174" fontId="0" fillId="24" borderId="0" xfId="1" applyNumberFormat="1" applyFont="1" applyFill="1"/>
    <xf numFmtId="174" fontId="0" fillId="24" borderId="0" xfId="0" applyNumberFormat="1" applyFill="1"/>
    <xf numFmtId="14" fontId="0" fillId="24" borderId="0" xfId="1" applyNumberFormat="1" applyFont="1" applyFill="1"/>
    <xf numFmtId="164" fontId="0" fillId="24" borderId="0" xfId="1" applyNumberFormat="1" applyFont="1" applyFill="1" applyBorder="1" applyAlignment="1"/>
    <xf numFmtId="0" fontId="0" fillId="24" borderId="0" xfId="0" applyFill="1" applyBorder="1"/>
    <xf numFmtId="0" fontId="2" fillId="2" borderId="1" xfId="0" applyFont="1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18" fillId="13" borderId="23" xfId="0" applyFont="1" applyFill="1" applyBorder="1" applyAlignment="1">
      <alignment horizontal="center"/>
    </xf>
    <xf numFmtId="0" fontId="18" fillId="13" borderId="0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17" fontId="18" fillId="13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3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4" fillId="21" borderId="23" xfId="0" applyFont="1" applyFill="1" applyBorder="1" applyAlignment="1">
      <alignment horizontal="center" wrapText="1"/>
    </xf>
    <xf numFmtId="0" fontId="4" fillId="21" borderId="1" xfId="0" applyFont="1" applyFill="1" applyBorder="1" applyAlignment="1">
      <alignment horizontal="center" wrapText="1"/>
    </xf>
    <xf numFmtId="0" fontId="0" fillId="5" borderId="3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164" fontId="13" fillId="0" borderId="41" xfId="1" applyNumberFormat="1" applyFont="1" applyFill="1" applyBorder="1" applyAlignment="1">
      <alignment horizontal="center"/>
    </xf>
    <xf numFmtId="164" fontId="13" fillId="0" borderId="42" xfId="1" applyNumberFormat="1" applyFont="1" applyFill="1" applyBorder="1" applyAlignment="1">
      <alignment horizontal="center"/>
    </xf>
    <xf numFmtId="164" fontId="13" fillId="0" borderId="43" xfId="1" applyNumberFormat="1" applyFont="1" applyFill="1" applyBorder="1" applyAlignment="1">
      <alignment horizontal="center"/>
    </xf>
    <xf numFmtId="164" fontId="10" fillId="2" borderId="6" xfId="1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4" fontId="10" fillId="2" borderId="36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164" fontId="11" fillId="2" borderId="19" xfId="1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13" fillId="2" borderId="51" xfId="0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49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6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1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50" xfId="0" applyFont="1" applyFill="1" applyBorder="1" applyAlignment="1">
      <alignment horizontal="center"/>
    </xf>
    <xf numFmtId="0" fontId="13" fillId="20" borderId="51" xfId="0" applyFont="1" applyFill="1" applyBorder="1" applyAlignment="1">
      <alignment horizontal="center"/>
    </xf>
    <xf numFmtId="164" fontId="0" fillId="20" borderId="0" xfId="1" applyNumberFormat="1" applyFont="1" applyFill="1" applyBorder="1" applyAlignment="1">
      <alignment horizontal="center"/>
    </xf>
    <xf numFmtId="164" fontId="0" fillId="20" borderId="0" xfId="0" applyNumberForma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64" fontId="2" fillId="20" borderId="19" xfId="0" applyNumberFormat="1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/>
    </xf>
    <xf numFmtId="164" fontId="2" fillId="20" borderId="52" xfId="0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3" fillId="20" borderId="0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1" xfId="1" applyNumberFormat="1" applyFont="1" applyFill="1" applyBorder="1" applyAlignment="1">
      <alignment horizontal="center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FF6699"/>
      <color rgb="FF9966FF"/>
      <color rgb="FFC1C1FF"/>
      <color rgb="FFE5B0FA"/>
      <color rgb="FFD581F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Deaths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212292213473316"/>
          <c:y val="0.15321705426356588"/>
          <c:w val="0.84732152230971125"/>
          <c:h val="0.6522160166025758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'Main Table'!$AG$21:$AG$25</c:f>
              <c:strCache>
                <c:ptCount val="5"/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val>
            <c:numRef>
              <c:f>'Main Table'!$AG$26:$AG$124</c:f>
            </c:numRef>
          </c:val>
          <c:extLst>
            <c:ext xmlns:c16="http://schemas.microsoft.com/office/drawing/2014/chart" uri="{C3380CC4-5D6E-409C-BE32-E72D297353CC}">
              <c16:uniqueId val="{00000000-A9AA-4AF3-B700-FCA548686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320301120"/>
        <c:axId val="107561136"/>
        <c:axId val="0"/>
      </c:bar3DChart>
      <c:catAx>
        <c:axId val="320301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61136"/>
        <c:crosses val="autoZero"/>
        <c:auto val="1"/>
        <c:lblAlgn val="ctr"/>
        <c:lblOffset val="100"/>
        <c:noMultiLvlLbl val="0"/>
      </c:catAx>
      <c:valAx>
        <c:axId val="10756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30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478958880139982"/>
          <c:y val="0.17171296296296296"/>
          <c:w val="0.84576596675415561"/>
          <c:h val="0.6318563244498284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val>
            <c:numRef>
              <c:f>'Main Table'!$Q$26:$Q$124</c:f>
            </c:numRef>
          </c:val>
          <c:extLst>
            <c:ext xmlns:c16="http://schemas.microsoft.com/office/drawing/2014/chart" uri="{C3380CC4-5D6E-409C-BE32-E72D297353CC}">
              <c16:uniqueId val="{00000000-4152-4684-B524-877832AA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241305456"/>
        <c:axId val="763134224"/>
        <c:axId val="0"/>
      </c:bar3DChart>
      <c:catAx>
        <c:axId val="241305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134224"/>
        <c:crosses val="autoZero"/>
        <c:auto val="1"/>
        <c:lblAlgn val="ctr"/>
        <c:lblOffset val="100"/>
        <c:noMultiLvlLbl val="0"/>
      </c:catAx>
      <c:valAx>
        <c:axId val="76313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30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</a:t>
            </a:r>
            <a:r>
              <a:rPr lang="en-US" baseline="0"/>
              <a:t> U.S. Tests Performed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342825896762903"/>
          <c:y val="0.15766601686925058"/>
          <c:w val="0.86601618547681536"/>
          <c:h val="0.6411385052278301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val>
            <c:numRef>
              <c:f>'Main Table'!$BK$40:$BK$159</c:f>
            </c:numRef>
          </c:val>
          <c:extLst>
            <c:ext xmlns:c16="http://schemas.microsoft.com/office/drawing/2014/chart" uri="{C3380CC4-5D6E-409C-BE32-E72D297353CC}">
              <c16:uniqueId val="{00000000-82AE-4CA9-8413-8404A7510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285091552"/>
        <c:axId val="117102864"/>
        <c:axId val="0"/>
      </c:bar3DChart>
      <c:catAx>
        <c:axId val="128509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Days Beginning April 19,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102864"/>
        <c:crosses val="autoZero"/>
        <c:auto val="0"/>
        <c:lblAlgn val="ctr"/>
        <c:lblOffset val="100"/>
        <c:noMultiLvlLbl val="0"/>
      </c:catAx>
      <c:valAx>
        <c:axId val="11710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09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5"/>
                </a:solidFill>
              </a:ln>
              <a:effectLst/>
            </c:spPr>
            <c:trendlineType val="linear"/>
            <c:dispRSqr val="0"/>
            <c:dispEq val="0"/>
          </c:trendline>
          <c:cat>
            <c:strLit>
              <c:ptCount val="5"/>
              <c:pt idx="0">
                <c:v>1</c:v>
              </c:pt>
              <c:pt idx="1">
                <c:v>8</c:v>
              </c:pt>
              <c:pt idx="2">
                <c:v>15</c:v>
              </c:pt>
              <c:pt idx="3">
                <c:v>22</c:v>
              </c:pt>
              <c:pt idx="4">
                <c:v>29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'Main Table'!$N$131:$N$159</c15:sqref>
                  </c15:fullRef>
                </c:ext>
              </c:extLst>
              <c:f>('Main Table'!$N$131,'Main Table'!$N$138,'Main Table'!$N$145,'Main Table'!$N$152,'Main Table'!$N$159)</c:f>
              <c:numCache>
                <c:formatCode>_(* #,##0_);_(* \(#,##0\);_(* "-"??_);_(@_)</c:formatCode>
                <c:ptCount val="5"/>
                <c:pt idx="0">
                  <c:v>480454</c:v>
                </c:pt>
                <c:pt idx="1">
                  <c:v>473289</c:v>
                </c:pt>
                <c:pt idx="2">
                  <c:v>440452</c:v>
                </c:pt>
                <c:pt idx="3">
                  <c:v>382362</c:v>
                </c:pt>
                <c:pt idx="4">
                  <c:v>364994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8E-4DBC-B59C-002FB23B63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033567856"/>
        <c:axId val="543524000"/>
      </c:barChart>
      <c:catAx>
        <c:axId val="2033567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/>
                  <a:t>For Weeks Ending July 19 through August 16,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524000"/>
        <c:crosses val="autoZero"/>
        <c:auto val="1"/>
        <c:lblAlgn val="ctr"/>
        <c:lblOffset val="100"/>
        <c:noMultiLvlLbl val="0"/>
      </c:catAx>
      <c:valAx>
        <c:axId val="54352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/>
                  <a:t>Number of New Cases per Week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3567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91</xdr:col>
      <xdr:colOff>259080</xdr:colOff>
      <xdr:row>4</xdr:row>
      <xdr:rowOff>60960</xdr:rowOff>
    </xdr:from>
    <xdr:to>
      <xdr:col>91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274320</xdr:colOff>
      <xdr:row>5</xdr:row>
      <xdr:rowOff>76200</xdr:rowOff>
    </xdr:from>
    <xdr:to>
      <xdr:col>91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289560</xdr:colOff>
      <xdr:row>7</xdr:row>
      <xdr:rowOff>45720</xdr:rowOff>
    </xdr:from>
    <xdr:to>
      <xdr:col>91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15</xdr:row>
      <xdr:rowOff>0</xdr:rowOff>
    </xdr:from>
    <xdr:to>
      <xdr:col>45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</xdr:row>
      <xdr:rowOff>0</xdr:rowOff>
    </xdr:from>
    <xdr:to>
      <xdr:col>45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</xdr:row>
      <xdr:rowOff>0</xdr:rowOff>
    </xdr:from>
    <xdr:to>
      <xdr:col>45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</xdr:row>
      <xdr:rowOff>0</xdr:rowOff>
    </xdr:from>
    <xdr:to>
      <xdr:col>45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</xdr:row>
      <xdr:rowOff>0</xdr:rowOff>
    </xdr:from>
    <xdr:to>
      <xdr:col>45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92</xdr:col>
      <xdr:colOff>281940</xdr:colOff>
      <xdr:row>5</xdr:row>
      <xdr:rowOff>45720</xdr:rowOff>
    </xdr:from>
    <xdr:to>
      <xdr:col>92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</xdr:row>
      <xdr:rowOff>0</xdr:rowOff>
    </xdr:from>
    <xdr:to>
      <xdr:col>45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</xdr:row>
      <xdr:rowOff>0</xdr:rowOff>
    </xdr:from>
    <xdr:to>
      <xdr:col>45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22</xdr:row>
      <xdr:rowOff>0</xdr:rowOff>
    </xdr:from>
    <xdr:to>
      <xdr:col>45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92</xdr:col>
      <xdr:colOff>274320</xdr:colOff>
      <xdr:row>4</xdr:row>
      <xdr:rowOff>22860</xdr:rowOff>
    </xdr:from>
    <xdr:to>
      <xdr:col>92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</xdr:row>
      <xdr:rowOff>0</xdr:rowOff>
    </xdr:from>
    <xdr:to>
      <xdr:col>39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</xdr:row>
      <xdr:rowOff>0</xdr:rowOff>
    </xdr:from>
    <xdr:to>
      <xdr:col>39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</xdr:row>
      <xdr:rowOff>0</xdr:rowOff>
    </xdr:from>
    <xdr:to>
      <xdr:col>39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</xdr:row>
      <xdr:rowOff>0</xdr:rowOff>
    </xdr:from>
    <xdr:to>
      <xdr:col>39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21</xdr:row>
      <xdr:rowOff>0</xdr:rowOff>
    </xdr:from>
    <xdr:to>
      <xdr:col>39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22</xdr:row>
      <xdr:rowOff>0</xdr:rowOff>
    </xdr:from>
    <xdr:to>
      <xdr:col>39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</xdr:row>
      <xdr:rowOff>0</xdr:rowOff>
    </xdr:from>
    <xdr:to>
      <xdr:col>24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</xdr:row>
      <xdr:rowOff>0</xdr:rowOff>
    </xdr:from>
    <xdr:to>
      <xdr:col>24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</xdr:row>
      <xdr:rowOff>0</xdr:rowOff>
    </xdr:from>
    <xdr:to>
      <xdr:col>24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21</xdr:row>
      <xdr:rowOff>0</xdr:rowOff>
    </xdr:from>
    <xdr:to>
      <xdr:col>24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</xdr:row>
      <xdr:rowOff>0</xdr:rowOff>
    </xdr:from>
    <xdr:to>
      <xdr:col>24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22</xdr:row>
      <xdr:rowOff>0</xdr:rowOff>
    </xdr:from>
    <xdr:to>
      <xdr:col>24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23</xdr:row>
      <xdr:rowOff>0</xdr:rowOff>
    </xdr:from>
    <xdr:to>
      <xdr:col>45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23</xdr:row>
      <xdr:rowOff>0</xdr:rowOff>
    </xdr:from>
    <xdr:to>
      <xdr:col>39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23</xdr:row>
      <xdr:rowOff>0</xdr:rowOff>
    </xdr:from>
    <xdr:to>
      <xdr:col>24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</xdr:row>
      <xdr:rowOff>0</xdr:rowOff>
    </xdr:from>
    <xdr:to>
      <xdr:col>45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</xdr:row>
      <xdr:rowOff>0</xdr:rowOff>
    </xdr:from>
    <xdr:to>
      <xdr:col>45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</xdr:row>
      <xdr:rowOff>0</xdr:rowOff>
    </xdr:from>
    <xdr:to>
      <xdr:col>45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</xdr:row>
      <xdr:rowOff>0</xdr:rowOff>
    </xdr:from>
    <xdr:to>
      <xdr:col>39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</xdr:row>
      <xdr:rowOff>0</xdr:rowOff>
    </xdr:from>
    <xdr:to>
      <xdr:col>39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</xdr:row>
      <xdr:rowOff>0</xdr:rowOff>
    </xdr:from>
    <xdr:to>
      <xdr:col>39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</xdr:row>
      <xdr:rowOff>0</xdr:rowOff>
    </xdr:from>
    <xdr:to>
      <xdr:col>39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</xdr:row>
      <xdr:rowOff>0</xdr:rowOff>
    </xdr:from>
    <xdr:to>
      <xdr:col>39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</xdr:row>
      <xdr:rowOff>0</xdr:rowOff>
    </xdr:from>
    <xdr:to>
      <xdr:col>24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</xdr:row>
      <xdr:rowOff>0</xdr:rowOff>
    </xdr:from>
    <xdr:to>
      <xdr:col>24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</xdr:row>
      <xdr:rowOff>0</xdr:rowOff>
    </xdr:from>
    <xdr:to>
      <xdr:col>24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</xdr:row>
      <xdr:rowOff>0</xdr:rowOff>
    </xdr:from>
    <xdr:to>
      <xdr:col>24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</xdr:row>
      <xdr:rowOff>0</xdr:rowOff>
    </xdr:from>
    <xdr:to>
      <xdr:col>24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</xdr:row>
      <xdr:rowOff>0</xdr:rowOff>
    </xdr:from>
    <xdr:to>
      <xdr:col>24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9</xdr:row>
      <xdr:rowOff>0</xdr:rowOff>
    </xdr:from>
    <xdr:to>
      <xdr:col>24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11</xdr:row>
      <xdr:rowOff>0</xdr:rowOff>
    </xdr:from>
    <xdr:to>
      <xdr:col>40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10</xdr:row>
      <xdr:rowOff>0</xdr:rowOff>
    </xdr:from>
    <xdr:to>
      <xdr:col>24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</xdr:row>
      <xdr:rowOff>0</xdr:rowOff>
    </xdr:from>
    <xdr:to>
      <xdr:col>46</xdr:col>
      <xdr:colOff>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24</xdr:row>
      <xdr:rowOff>38100</xdr:rowOff>
    </xdr:from>
    <xdr:to>
      <xdr:col>45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24</xdr:row>
      <xdr:rowOff>30480</xdr:rowOff>
    </xdr:from>
    <xdr:to>
      <xdr:col>39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23</xdr:row>
      <xdr:rowOff>0</xdr:rowOff>
    </xdr:from>
    <xdr:to>
      <xdr:col>71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25</xdr:row>
      <xdr:rowOff>38100</xdr:rowOff>
    </xdr:from>
    <xdr:to>
      <xdr:col>45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25</xdr:row>
      <xdr:rowOff>30480</xdr:rowOff>
    </xdr:from>
    <xdr:to>
      <xdr:col>39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25</xdr:row>
      <xdr:rowOff>30480</xdr:rowOff>
    </xdr:from>
    <xdr:to>
      <xdr:col>24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26</xdr:row>
      <xdr:rowOff>38100</xdr:rowOff>
    </xdr:from>
    <xdr:to>
      <xdr:col>45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26</xdr:row>
      <xdr:rowOff>53340</xdr:rowOff>
    </xdr:from>
    <xdr:to>
      <xdr:col>39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71</xdr:col>
      <xdr:colOff>0</xdr:colOff>
      <xdr:row>25</xdr:row>
      <xdr:rowOff>0</xdr:rowOff>
    </xdr:from>
    <xdr:to>
      <xdr:col>71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71</xdr:col>
      <xdr:colOff>0</xdr:colOff>
      <xdr:row>26</xdr:row>
      <xdr:rowOff>0</xdr:rowOff>
    </xdr:from>
    <xdr:to>
      <xdr:col>71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27</xdr:row>
      <xdr:rowOff>38100</xdr:rowOff>
    </xdr:from>
    <xdr:to>
      <xdr:col>45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27</xdr:row>
      <xdr:rowOff>0</xdr:rowOff>
    </xdr:from>
    <xdr:to>
      <xdr:col>71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28</xdr:row>
      <xdr:rowOff>0</xdr:rowOff>
    </xdr:from>
    <xdr:to>
      <xdr:col>71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28</xdr:row>
      <xdr:rowOff>60960</xdr:rowOff>
    </xdr:from>
    <xdr:to>
      <xdr:col>45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29</xdr:row>
      <xdr:rowOff>0</xdr:rowOff>
    </xdr:from>
    <xdr:to>
      <xdr:col>71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28</xdr:row>
      <xdr:rowOff>0</xdr:rowOff>
    </xdr:from>
    <xdr:to>
      <xdr:col>39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27</xdr:row>
      <xdr:rowOff>0</xdr:rowOff>
    </xdr:from>
    <xdr:to>
      <xdr:col>39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7620</xdr:colOff>
      <xdr:row>29</xdr:row>
      <xdr:rowOff>53340</xdr:rowOff>
    </xdr:from>
    <xdr:to>
      <xdr:col>45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30</xdr:row>
      <xdr:rowOff>0</xdr:rowOff>
    </xdr:from>
    <xdr:to>
      <xdr:col>71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60960</xdr:colOff>
      <xdr:row>30</xdr:row>
      <xdr:rowOff>30480</xdr:rowOff>
    </xdr:from>
    <xdr:to>
      <xdr:col>39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30</xdr:row>
      <xdr:rowOff>53340</xdr:rowOff>
    </xdr:from>
    <xdr:to>
      <xdr:col>45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31</xdr:row>
      <xdr:rowOff>0</xdr:rowOff>
    </xdr:from>
    <xdr:to>
      <xdr:col>71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29</xdr:row>
      <xdr:rowOff>0</xdr:rowOff>
    </xdr:from>
    <xdr:to>
      <xdr:col>39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31</xdr:row>
      <xdr:rowOff>0</xdr:rowOff>
    </xdr:from>
    <xdr:to>
      <xdr:col>39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31</xdr:row>
      <xdr:rowOff>0</xdr:rowOff>
    </xdr:from>
    <xdr:to>
      <xdr:col>45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31</xdr:row>
      <xdr:rowOff>0</xdr:rowOff>
    </xdr:from>
    <xdr:to>
      <xdr:col>24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29</xdr:row>
      <xdr:rowOff>0</xdr:rowOff>
    </xdr:from>
    <xdr:to>
      <xdr:col>24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27</xdr:row>
      <xdr:rowOff>0</xdr:rowOff>
    </xdr:from>
    <xdr:to>
      <xdr:col>24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26</xdr:row>
      <xdr:rowOff>0</xdr:rowOff>
    </xdr:from>
    <xdr:to>
      <xdr:col>24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30</xdr:row>
      <xdr:rowOff>0</xdr:rowOff>
    </xdr:from>
    <xdr:to>
      <xdr:col>24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28</xdr:row>
      <xdr:rowOff>0</xdr:rowOff>
    </xdr:from>
    <xdr:to>
      <xdr:col>24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32</xdr:row>
      <xdr:rowOff>0</xdr:rowOff>
    </xdr:from>
    <xdr:to>
      <xdr:col>71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32</xdr:row>
      <xdr:rowOff>0</xdr:rowOff>
    </xdr:from>
    <xdr:to>
      <xdr:col>24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32</xdr:row>
      <xdr:rowOff>0</xdr:rowOff>
    </xdr:from>
    <xdr:to>
      <xdr:col>39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32</xdr:row>
      <xdr:rowOff>0</xdr:rowOff>
    </xdr:from>
    <xdr:to>
      <xdr:col>45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33</xdr:row>
      <xdr:rowOff>0</xdr:rowOff>
    </xdr:from>
    <xdr:to>
      <xdr:col>71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33</xdr:row>
      <xdr:rowOff>0</xdr:rowOff>
    </xdr:from>
    <xdr:to>
      <xdr:col>45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33</xdr:row>
      <xdr:rowOff>0</xdr:rowOff>
    </xdr:from>
    <xdr:to>
      <xdr:col>39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33</xdr:row>
      <xdr:rowOff>0</xdr:rowOff>
    </xdr:from>
    <xdr:to>
      <xdr:col>24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34</xdr:row>
      <xdr:rowOff>0</xdr:rowOff>
    </xdr:from>
    <xdr:to>
      <xdr:col>71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34</xdr:row>
      <xdr:rowOff>0</xdr:rowOff>
    </xdr:from>
    <xdr:to>
      <xdr:col>45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34</xdr:row>
      <xdr:rowOff>0</xdr:rowOff>
    </xdr:from>
    <xdr:to>
      <xdr:col>24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34</xdr:row>
      <xdr:rowOff>0</xdr:rowOff>
    </xdr:from>
    <xdr:to>
      <xdr:col>39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35</xdr:row>
      <xdr:rowOff>0</xdr:rowOff>
    </xdr:from>
    <xdr:to>
      <xdr:col>71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35</xdr:row>
      <xdr:rowOff>0</xdr:rowOff>
    </xdr:from>
    <xdr:to>
      <xdr:col>45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35</xdr:row>
      <xdr:rowOff>0</xdr:rowOff>
    </xdr:from>
    <xdr:to>
      <xdr:col>39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35</xdr:row>
      <xdr:rowOff>0</xdr:rowOff>
    </xdr:from>
    <xdr:to>
      <xdr:col>24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36</xdr:row>
      <xdr:rowOff>0</xdr:rowOff>
    </xdr:from>
    <xdr:to>
      <xdr:col>71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36</xdr:row>
      <xdr:rowOff>0</xdr:rowOff>
    </xdr:from>
    <xdr:to>
      <xdr:col>45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36</xdr:row>
      <xdr:rowOff>0</xdr:rowOff>
    </xdr:from>
    <xdr:to>
      <xdr:col>24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36</xdr:row>
      <xdr:rowOff>0</xdr:rowOff>
    </xdr:from>
    <xdr:to>
      <xdr:col>39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71</xdr:col>
      <xdr:colOff>0</xdr:colOff>
      <xdr:row>37</xdr:row>
      <xdr:rowOff>0</xdr:rowOff>
    </xdr:from>
    <xdr:to>
      <xdr:col>71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37</xdr:row>
      <xdr:rowOff>0</xdr:rowOff>
    </xdr:from>
    <xdr:to>
      <xdr:col>24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37</xdr:row>
      <xdr:rowOff>0</xdr:rowOff>
    </xdr:from>
    <xdr:to>
      <xdr:col>39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37</xdr:row>
      <xdr:rowOff>0</xdr:rowOff>
    </xdr:from>
    <xdr:to>
      <xdr:col>45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38</xdr:row>
      <xdr:rowOff>0</xdr:rowOff>
    </xdr:from>
    <xdr:to>
      <xdr:col>71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38</xdr:row>
      <xdr:rowOff>0</xdr:rowOff>
    </xdr:from>
    <xdr:to>
      <xdr:col>39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38</xdr:row>
      <xdr:rowOff>0</xdr:rowOff>
    </xdr:from>
    <xdr:to>
      <xdr:col>45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619500" y="704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38</xdr:row>
      <xdr:rowOff>0</xdr:rowOff>
    </xdr:from>
    <xdr:to>
      <xdr:col>24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39</xdr:row>
      <xdr:rowOff>0</xdr:rowOff>
    </xdr:from>
    <xdr:to>
      <xdr:col>24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39</xdr:row>
      <xdr:rowOff>0</xdr:rowOff>
    </xdr:from>
    <xdr:to>
      <xdr:col>45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39</xdr:row>
      <xdr:rowOff>0</xdr:rowOff>
    </xdr:from>
    <xdr:to>
      <xdr:col>39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40</xdr:row>
      <xdr:rowOff>0</xdr:rowOff>
    </xdr:from>
    <xdr:to>
      <xdr:col>39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40</xdr:row>
      <xdr:rowOff>0</xdr:rowOff>
    </xdr:from>
    <xdr:to>
      <xdr:col>24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40</xdr:row>
      <xdr:rowOff>0</xdr:rowOff>
    </xdr:from>
    <xdr:to>
      <xdr:col>45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41</xdr:row>
      <xdr:rowOff>0</xdr:rowOff>
    </xdr:from>
    <xdr:to>
      <xdr:col>24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41</xdr:row>
      <xdr:rowOff>0</xdr:rowOff>
    </xdr:from>
    <xdr:to>
      <xdr:col>39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41</xdr:row>
      <xdr:rowOff>0</xdr:rowOff>
    </xdr:from>
    <xdr:to>
      <xdr:col>45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42</xdr:row>
      <xdr:rowOff>0</xdr:rowOff>
    </xdr:from>
    <xdr:to>
      <xdr:col>24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42</xdr:row>
      <xdr:rowOff>0</xdr:rowOff>
    </xdr:from>
    <xdr:to>
      <xdr:col>39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42</xdr:row>
      <xdr:rowOff>0</xdr:rowOff>
    </xdr:from>
    <xdr:to>
      <xdr:col>45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43</xdr:row>
      <xdr:rowOff>0</xdr:rowOff>
    </xdr:from>
    <xdr:to>
      <xdr:col>24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43</xdr:row>
      <xdr:rowOff>0</xdr:rowOff>
    </xdr:from>
    <xdr:to>
      <xdr:col>39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43</xdr:row>
      <xdr:rowOff>0</xdr:rowOff>
    </xdr:from>
    <xdr:to>
      <xdr:col>71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39</xdr:row>
      <xdr:rowOff>0</xdr:rowOff>
    </xdr:from>
    <xdr:to>
      <xdr:col>71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40</xdr:row>
      <xdr:rowOff>0</xdr:rowOff>
    </xdr:from>
    <xdr:to>
      <xdr:col>71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41</xdr:row>
      <xdr:rowOff>0</xdr:rowOff>
    </xdr:from>
    <xdr:to>
      <xdr:col>71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42</xdr:row>
      <xdr:rowOff>0</xdr:rowOff>
    </xdr:from>
    <xdr:to>
      <xdr:col>71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43</xdr:row>
      <xdr:rowOff>0</xdr:rowOff>
    </xdr:from>
    <xdr:to>
      <xdr:col>45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40</xdr:row>
      <xdr:rowOff>0</xdr:rowOff>
    </xdr:from>
    <xdr:to>
      <xdr:col>60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41</xdr:row>
      <xdr:rowOff>0</xdr:rowOff>
    </xdr:from>
    <xdr:to>
      <xdr:col>60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42</xdr:row>
      <xdr:rowOff>0</xdr:rowOff>
    </xdr:from>
    <xdr:to>
      <xdr:col>60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43</xdr:row>
      <xdr:rowOff>0</xdr:rowOff>
    </xdr:from>
    <xdr:to>
      <xdr:col>60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39</xdr:row>
      <xdr:rowOff>0</xdr:rowOff>
    </xdr:from>
    <xdr:to>
      <xdr:col>60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44</xdr:row>
      <xdr:rowOff>0</xdr:rowOff>
    </xdr:from>
    <xdr:to>
      <xdr:col>39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44</xdr:row>
      <xdr:rowOff>0</xdr:rowOff>
    </xdr:from>
    <xdr:to>
      <xdr:col>45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44</xdr:row>
      <xdr:rowOff>0</xdr:rowOff>
    </xdr:from>
    <xdr:to>
      <xdr:col>60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44</xdr:row>
      <xdr:rowOff>0</xdr:rowOff>
    </xdr:from>
    <xdr:to>
      <xdr:col>71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44</xdr:row>
      <xdr:rowOff>0</xdr:rowOff>
    </xdr:from>
    <xdr:to>
      <xdr:col>24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45</xdr:row>
      <xdr:rowOff>0</xdr:rowOff>
    </xdr:from>
    <xdr:to>
      <xdr:col>45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45</xdr:row>
      <xdr:rowOff>0</xdr:rowOff>
    </xdr:from>
    <xdr:to>
      <xdr:col>24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45</xdr:row>
      <xdr:rowOff>0</xdr:rowOff>
    </xdr:from>
    <xdr:to>
      <xdr:col>60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45</xdr:row>
      <xdr:rowOff>0</xdr:rowOff>
    </xdr:from>
    <xdr:to>
      <xdr:col>71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45</xdr:row>
      <xdr:rowOff>0</xdr:rowOff>
    </xdr:from>
    <xdr:to>
      <xdr:col>39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46</xdr:row>
      <xdr:rowOff>0</xdr:rowOff>
    </xdr:from>
    <xdr:to>
      <xdr:col>71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46</xdr:row>
      <xdr:rowOff>0</xdr:rowOff>
    </xdr:from>
    <xdr:to>
      <xdr:col>24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46</xdr:row>
      <xdr:rowOff>0</xdr:rowOff>
    </xdr:from>
    <xdr:to>
      <xdr:col>60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46</xdr:row>
      <xdr:rowOff>0</xdr:rowOff>
    </xdr:from>
    <xdr:to>
      <xdr:col>45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46</xdr:row>
      <xdr:rowOff>0</xdr:rowOff>
    </xdr:from>
    <xdr:to>
      <xdr:col>39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47</xdr:row>
      <xdr:rowOff>0</xdr:rowOff>
    </xdr:from>
    <xdr:to>
      <xdr:col>39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47</xdr:row>
      <xdr:rowOff>0</xdr:rowOff>
    </xdr:from>
    <xdr:to>
      <xdr:col>45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47</xdr:row>
      <xdr:rowOff>0</xdr:rowOff>
    </xdr:from>
    <xdr:to>
      <xdr:col>60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47</xdr:row>
      <xdr:rowOff>0</xdr:rowOff>
    </xdr:from>
    <xdr:to>
      <xdr:col>71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47</xdr:row>
      <xdr:rowOff>0</xdr:rowOff>
    </xdr:from>
    <xdr:to>
      <xdr:col>24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48</xdr:row>
      <xdr:rowOff>0</xdr:rowOff>
    </xdr:from>
    <xdr:to>
      <xdr:col>24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48</xdr:row>
      <xdr:rowOff>0</xdr:rowOff>
    </xdr:from>
    <xdr:to>
      <xdr:col>39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48</xdr:row>
      <xdr:rowOff>0</xdr:rowOff>
    </xdr:from>
    <xdr:to>
      <xdr:col>71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60</xdr:col>
      <xdr:colOff>0</xdr:colOff>
      <xdr:row>49</xdr:row>
      <xdr:rowOff>0</xdr:rowOff>
    </xdr:from>
    <xdr:to>
      <xdr:col>60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49</xdr:row>
      <xdr:rowOff>0</xdr:rowOff>
    </xdr:from>
    <xdr:to>
      <xdr:col>24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49</xdr:row>
      <xdr:rowOff>0</xdr:rowOff>
    </xdr:from>
    <xdr:to>
      <xdr:col>71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49</xdr:row>
      <xdr:rowOff>0</xdr:rowOff>
    </xdr:from>
    <xdr:to>
      <xdr:col>45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49</xdr:row>
      <xdr:rowOff>0</xdr:rowOff>
    </xdr:from>
    <xdr:to>
      <xdr:col>39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50</xdr:row>
      <xdr:rowOff>0</xdr:rowOff>
    </xdr:from>
    <xdr:to>
      <xdr:col>24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50</xdr:row>
      <xdr:rowOff>0</xdr:rowOff>
    </xdr:from>
    <xdr:to>
      <xdr:col>45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60</xdr:col>
      <xdr:colOff>0</xdr:colOff>
      <xdr:row>50</xdr:row>
      <xdr:rowOff>0</xdr:rowOff>
    </xdr:from>
    <xdr:to>
      <xdr:col>60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48</xdr:row>
      <xdr:rowOff>0</xdr:rowOff>
    </xdr:from>
    <xdr:to>
      <xdr:col>60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50</xdr:row>
      <xdr:rowOff>0</xdr:rowOff>
    </xdr:from>
    <xdr:to>
      <xdr:col>39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51</xdr:row>
      <xdr:rowOff>0</xdr:rowOff>
    </xdr:from>
    <xdr:to>
      <xdr:col>24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51</xdr:row>
      <xdr:rowOff>0</xdr:rowOff>
    </xdr:from>
    <xdr:to>
      <xdr:col>45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51</xdr:row>
      <xdr:rowOff>0</xdr:rowOff>
    </xdr:from>
    <xdr:to>
      <xdr:col>39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51</xdr:row>
      <xdr:rowOff>0</xdr:rowOff>
    </xdr:from>
    <xdr:to>
      <xdr:col>60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51</xdr:row>
      <xdr:rowOff>0</xdr:rowOff>
    </xdr:from>
    <xdr:to>
      <xdr:col>71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52</xdr:row>
      <xdr:rowOff>0</xdr:rowOff>
    </xdr:from>
    <xdr:to>
      <xdr:col>45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52</xdr:row>
      <xdr:rowOff>0</xdr:rowOff>
    </xdr:from>
    <xdr:to>
      <xdr:col>39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52</xdr:row>
      <xdr:rowOff>0</xdr:rowOff>
    </xdr:from>
    <xdr:to>
      <xdr:col>60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52</xdr:row>
      <xdr:rowOff>0</xdr:rowOff>
    </xdr:from>
    <xdr:to>
      <xdr:col>71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52</xdr:row>
      <xdr:rowOff>0</xdr:rowOff>
    </xdr:from>
    <xdr:to>
      <xdr:col>24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53</xdr:row>
      <xdr:rowOff>0</xdr:rowOff>
    </xdr:from>
    <xdr:to>
      <xdr:col>45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53</xdr:row>
      <xdr:rowOff>0</xdr:rowOff>
    </xdr:from>
    <xdr:to>
      <xdr:col>24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53</xdr:row>
      <xdr:rowOff>0</xdr:rowOff>
    </xdr:from>
    <xdr:to>
      <xdr:col>71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53</xdr:row>
      <xdr:rowOff>0</xdr:rowOff>
    </xdr:from>
    <xdr:to>
      <xdr:col>60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53</xdr:row>
      <xdr:rowOff>0</xdr:rowOff>
    </xdr:from>
    <xdr:to>
      <xdr:col>39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54</xdr:row>
      <xdr:rowOff>0</xdr:rowOff>
    </xdr:from>
    <xdr:to>
      <xdr:col>45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54</xdr:row>
      <xdr:rowOff>0</xdr:rowOff>
    </xdr:from>
    <xdr:to>
      <xdr:col>71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54</xdr:row>
      <xdr:rowOff>0</xdr:rowOff>
    </xdr:from>
    <xdr:to>
      <xdr:col>60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54</xdr:row>
      <xdr:rowOff>0</xdr:rowOff>
    </xdr:from>
    <xdr:to>
      <xdr:col>39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54</xdr:row>
      <xdr:rowOff>0</xdr:rowOff>
    </xdr:from>
    <xdr:to>
      <xdr:col>24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55</xdr:row>
      <xdr:rowOff>0</xdr:rowOff>
    </xdr:from>
    <xdr:to>
      <xdr:col>45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55</xdr:row>
      <xdr:rowOff>0</xdr:rowOff>
    </xdr:from>
    <xdr:to>
      <xdr:col>71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55</xdr:row>
      <xdr:rowOff>0</xdr:rowOff>
    </xdr:from>
    <xdr:to>
      <xdr:col>39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55</xdr:row>
      <xdr:rowOff>0</xdr:rowOff>
    </xdr:from>
    <xdr:to>
      <xdr:col>24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55</xdr:row>
      <xdr:rowOff>0</xdr:rowOff>
    </xdr:from>
    <xdr:to>
      <xdr:col>60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56</xdr:row>
      <xdr:rowOff>0</xdr:rowOff>
    </xdr:from>
    <xdr:to>
      <xdr:col>45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56</xdr:row>
      <xdr:rowOff>0</xdr:rowOff>
    </xdr:from>
    <xdr:to>
      <xdr:col>71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56</xdr:row>
      <xdr:rowOff>0</xdr:rowOff>
    </xdr:from>
    <xdr:to>
      <xdr:col>24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56</xdr:row>
      <xdr:rowOff>0</xdr:rowOff>
    </xdr:from>
    <xdr:to>
      <xdr:col>39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56</xdr:row>
      <xdr:rowOff>0</xdr:rowOff>
    </xdr:from>
    <xdr:to>
      <xdr:col>60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57</xdr:row>
      <xdr:rowOff>0</xdr:rowOff>
    </xdr:from>
    <xdr:to>
      <xdr:col>45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57</xdr:row>
      <xdr:rowOff>0</xdr:rowOff>
    </xdr:from>
    <xdr:to>
      <xdr:col>39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57</xdr:row>
      <xdr:rowOff>0</xdr:rowOff>
    </xdr:from>
    <xdr:to>
      <xdr:col>60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57</xdr:row>
      <xdr:rowOff>0</xdr:rowOff>
    </xdr:from>
    <xdr:to>
      <xdr:col>71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57</xdr:row>
      <xdr:rowOff>0</xdr:rowOff>
    </xdr:from>
    <xdr:to>
      <xdr:col>24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58</xdr:row>
      <xdr:rowOff>0</xdr:rowOff>
    </xdr:from>
    <xdr:to>
      <xdr:col>45</xdr:col>
      <xdr:colOff>83820</xdr:colOff>
      <xdr:row>58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7537B987-A28E-499B-BA8C-49C0C18BE9FF}"/>
            </a:ext>
          </a:extLst>
        </xdr:cNvPr>
        <xdr:cNvSpPr/>
      </xdr:nvSpPr>
      <xdr:spPr>
        <a:xfrm rot="10800000">
          <a:off x="892302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58</xdr:row>
      <xdr:rowOff>0</xdr:rowOff>
    </xdr:from>
    <xdr:to>
      <xdr:col>39</xdr:col>
      <xdr:colOff>83820</xdr:colOff>
      <xdr:row>58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8A1A0829-76FF-48B5-82B7-9BCCAF523571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58</xdr:row>
      <xdr:rowOff>0</xdr:rowOff>
    </xdr:from>
    <xdr:to>
      <xdr:col>60</xdr:col>
      <xdr:colOff>83820</xdr:colOff>
      <xdr:row>58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1BE0B955-7DB0-4403-8FBE-13B259EEA239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58</xdr:row>
      <xdr:rowOff>0</xdr:rowOff>
    </xdr:from>
    <xdr:to>
      <xdr:col>71</xdr:col>
      <xdr:colOff>83820</xdr:colOff>
      <xdr:row>58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4846467D-C00F-4C81-BBD1-783D592FBE2A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58</xdr:row>
      <xdr:rowOff>0</xdr:rowOff>
    </xdr:from>
    <xdr:to>
      <xdr:col>24</xdr:col>
      <xdr:colOff>83820</xdr:colOff>
      <xdr:row>58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1180566F-D6A9-480F-9657-9ACBF971AF31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160020</xdr:colOff>
      <xdr:row>58</xdr:row>
      <xdr:rowOff>167640</xdr:rowOff>
    </xdr:to>
    <xdr:sp macro="" textlink="">
      <xdr:nvSpPr>
        <xdr:cNvPr id="394" name="Minus Sign 393">
          <a:extLst>
            <a:ext uri="{FF2B5EF4-FFF2-40B4-BE49-F238E27FC236}">
              <a16:creationId xmlns:a16="http://schemas.microsoft.com/office/drawing/2014/main" id="{5EF20D31-AEDB-48B6-9F97-D8DA3C22ECCE}"/>
            </a:ext>
          </a:extLst>
        </xdr:cNvPr>
        <xdr:cNvSpPr/>
      </xdr:nvSpPr>
      <xdr:spPr>
        <a:xfrm>
          <a:off x="3619500" y="10706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83820</xdr:colOff>
      <xdr:row>58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8D43967E-E6DC-417F-B698-FA8906C8BC55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59</xdr:row>
      <xdr:rowOff>0</xdr:rowOff>
    </xdr:from>
    <xdr:to>
      <xdr:col>45</xdr:col>
      <xdr:colOff>83820</xdr:colOff>
      <xdr:row>59</xdr:row>
      <xdr:rowOff>114300</xdr:rowOff>
    </xdr:to>
    <xdr:sp macro="" textlink="">
      <xdr:nvSpPr>
        <xdr:cNvPr id="388" name="Arrow: Down 387">
          <a:extLst>
            <a:ext uri="{FF2B5EF4-FFF2-40B4-BE49-F238E27FC236}">
              <a16:creationId xmlns:a16="http://schemas.microsoft.com/office/drawing/2014/main" id="{48BCCC3C-EF24-49CF-94DC-56BCF575245C}"/>
            </a:ext>
          </a:extLst>
        </xdr:cNvPr>
        <xdr:cNvSpPr/>
      </xdr:nvSpPr>
      <xdr:spPr>
        <a:xfrm rot="10800000">
          <a:off x="9928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59</xdr:row>
      <xdr:rowOff>0</xdr:rowOff>
    </xdr:from>
    <xdr:to>
      <xdr:col>39</xdr:col>
      <xdr:colOff>83820</xdr:colOff>
      <xdr:row>59</xdr:row>
      <xdr:rowOff>114300</xdr:rowOff>
    </xdr:to>
    <xdr:sp macro="" textlink="">
      <xdr:nvSpPr>
        <xdr:cNvPr id="389" name="Arrow: Down 388">
          <a:extLst>
            <a:ext uri="{FF2B5EF4-FFF2-40B4-BE49-F238E27FC236}">
              <a16:creationId xmlns:a16="http://schemas.microsoft.com/office/drawing/2014/main" id="{BBF0E7A5-5D94-4A4A-B23A-4A867A3E89B1}"/>
            </a:ext>
          </a:extLst>
        </xdr:cNvPr>
        <xdr:cNvSpPr/>
      </xdr:nvSpPr>
      <xdr:spPr>
        <a:xfrm rot="10800000">
          <a:off x="842010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59</xdr:row>
      <xdr:rowOff>0</xdr:rowOff>
    </xdr:from>
    <xdr:to>
      <xdr:col>71</xdr:col>
      <xdr:colOff>83820</xdr:colOff>
      <xdr:row>59</xdr:row>
      <xdr:rowOff>114300</xdr:rowOff>
    </xdr:to>
    <xdr:sp macro="" textlink="">
      <xdr:nvSpPr>
        <xdr:cNvPr id="395" name="Arrow: Down 394">
          <a:extLst>
            <a:ext uri="{FF2B5EF4-FFF2-40B4-BE49-F238E27FC236}">
              <a16:creationId xmlns:a16="http://schemas.microsoft.com/office/drawing/2014/main" id="{9FFA7615-8A9D-4012-A1B7-8DDB675792AF}"/>
            </a:ext>
          </a:extLst>
        </xdr:cNvPr>
        <xdr:cNvSpPr/>
      </xdr:nvSpPr>
      <xdr:spPr>
        <a:xfrm>
          <a:off x="1670304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59</xdr:row>
      <xdr:rowOff>0</xdr:rowOff>
    </xdr:from>
    <xdr:to>
      <xdr:col>24</xdr:col>
      <xdr:colOff>83820</xdr:colOff>
      <xdr:row>59</xdr:row>
      <xdr:rowOff>114300</xdr:rowOff>
    </xdr:to>
    <xdr:sp macro="" textlink="">
      <xdr:nvSpPr>
        <xdr:cNvPr id="398" name="Arrow: Down 397">
          <a:extLst>
            <a:ext uri="{FF2B5EF4-FFF2-40B4-BE49-F238E27FC236}">
              <a16:creationId xmlns:a16="http://schemas.microsoft.com/office/drawing/2014/main" id="{22596198-0291-4436-9C0E-293E37CC45C4}"/>
            </a:ext>
          </a:extLst>
        </xdr:cNvPr>
        <xdr:cNvSpPr/>
      </xdr:nvSpPr>
      <xdr:spPr>
        <a:xfrm>
          <a:off x="544068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83820</xdr:colOff>
      <xdr:row>59</xdr:row>
      <xdr:rowOff>114300</xdr:rowOff>
    </xdr:to>
    <xdr:sp macro="" textlink="">
      <xdr:nvSpPr>
        <xdr:cNvPr id="400" name="Arrow: Down 399">
          <a:extLst>
            <a:ext uri="{FF2B5EF4-FFF2-40B4-BE49-F238E27FC236}">
              <a16:creationId xmlns:a16="http://schemas.microsoft.com/office/drawing/2014/main" id="{A08F09C9-40F6-498B-A54A-2B9AAFAE87B6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11</xdr:col>
      <xdr:colOff>83820</xdr:colOff>
      <xdr:row>59</xdr:row>
      <xdr:rowOff>114300</xdr:rowOff>
    </xdr:to>
    <xdr:sp macro="" textlink="">
      <xdr:nvSpPr>
        <xdr:cNvPr id="402" name="Arrow: Down 401">
          <a:extLst>
            <a:ext uri="{FF2B5EF4-FFF2-40B4-BE49-F238E27FC236}">
              <a16:creationId xmlns:a16="http://schemas.microsoft.com/office/drawing/2014/main" id="{D22BA61A-C4D3-4122-B3FE-A833C2BA5AC4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59</xdr:row>
      <xdr:rowOff>0</xdr:rowOff>
    </xdr:from>
    <xdr:to>
      <xdr:col>60</xdr:col>
      <xdr:colOff>83820</xdr:colOff>
      <xdr:row>59</xdr:row>
      <xdr:rowOff>114300</xdr:rowOff>
    </xdr:to>
    <xdr:sp macro="" textlink="">
      <xdr:nvSpPr>
        <xdr:cNvPr id="404" name="Arrow: Down 403">
          <a:extLst>
            <a:ext uri="{FF2B5EF4-FFF2-40B4-BE49-F238E27FC236}">
              <a16:creationId xmlns:a16="http://schemas.microsoft.com/office/drawing/2014/main" id="{C794D813-9617-4981-AD6E-18DCADB707A5}"/>
            </a:ext>
          </a:extLst>
        </xdr:cNvPr>
        <xdr:cNvSpPr/>
      </xdr:nvSpPr>
      <xdr:spPr>
        <a:xfrm rot="10800000">
          <a:off x="14394180" y="1088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60</xdr:row>
      <xdr:rowOff>0</xdr:rowOff>
    </xdr:from>
    <xdr:to>
      <xdr:col>45</xdr:col>
      <xdr:colOff>83820</xdr:colOff>
      <xdr:row>60</xdr:row>
      <xdr:rowOff>114300</xdr:rowOff>
    </xdr:to>
    <xdr:sp macro="" textlink="">
      <xdr:nvSpPr>
        <xdr:cNvPr id="359" name="Arrow: Down 358">
          <a:extLst>
            <a:ext uri="{FF2B5EF4-FFF2-40B4-BE49-F238E27FC236}">
              <a16:creationId xmlns:a16="http://schemas.microsoft.com/office/drawing/2014/main" id="{AC9B5B4E-DE4C-4B7F-9C66-1FE287E64CE6}"/>
            </a:ext>
          </a:extLst>
        </xdr:cNvPr>
        <xdr:cNvSpPr/>
      </xdr:nvSpPr>
      <xdr:spPr>
        <a:xfrm rot="10800000">
          <a:off x="9928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60</xdr:row>
      <xdr:rowOff>0</xdr:rowOff>
    </xdr:from>
    <xdr:to>
      <xdr:col>39</xdr:col>
      <xdr:colOff>83820</xdr:colOff>
      <xdr:row>60</xdr:row>
      <xdr:rowOff>114300</xdr:rowOff>
    </xdr:to>
    <xdr:sp macro="" textlink="">
      <xdr:nvSpPr>
        <xdr:cNvPr id="366" name="Arrow: Down 365">
          <a:extLst>
            <a:ext uri="{FF2B5EF4-FFF2-40B4-BE49-F238E27FC236}">
              <a16:creationId xmlns:a16="http://schemas.microsoft.com/office/drawing/2014/main" id="{90AE8182-C6EC-4902-9567-A6BC80A136B6}"/>
            </a:ext>
          </a:extLst>
        </xdr:cNvPr>
        <xdr:cNvSpPr/>
      </xdr:nvSpPr>
      <xdr:spPr>
        <a:xfrm rot="10800000">
          <a:off x="84201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60</xdr:row>
      <xdr:rowOff>0</xdr:rowOff>
    </xdr:from>
    <xdr:to>
      <xdr:col>71</xdr:col>
      <xdr:colOff>83820</xdr:colOff>
      <xdr:row>60</xdr:row>
      <xdr:rowOff>114300</xdr:rowOff>
    </xdr:to>
    <xdr:sp macro="" textlink="">
      <xdr:nvSpPr>
        <xdr:cNvPr id="368" name="Arrow: Down 367">
          <a:extLst>
            <a:ext uri="{FF2B5EF4-FFF2-40B4-BE49-F238E27FC236}">
              <a16:creationId xmlns:a16="http://schemas.microsoft.com/office/drawing/2014/main" id="{D8018A0A-E5A1-4437-A26D-3FB07B70CC9F}"/>
            </a:ext>
          </a:extLst>
        </xdr:cNvPr>
        <xdr:cNvSpPr/>
      </xdr:nvSpPr>
      <xdr:spPr>
        <a:xfrm>
          <a:off x="1670304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60</xdr:row>
      <xdr:rowOff>0</xdr:rowOff>
    </xdr:from>
    <xdr:to>
      <xdr:col>24</xdr:col>
      <xdr:colOff>83820</xdr:colOff>
      <xdr:row>60</xdr:row>
      <xdr:rowOff>114300</xdr:rowOff>
    </xdr:to>
    <xdr:sp macro="" textlink="">
      <xdr:nvSpPr>
        <xdr:cNvPr id="369" name="Arrow: Down 368">
          <a:extLst>
            <a:ext uri="{FF2B5EF4-FFF2-40B4-BE49-F238E27FC236}">
              <a16:creationId xmlns:a16="http://schemas.microsoft.com/office/drawing/2014/main" id="{5E68B7AE-B033-4103-8AE4-8E135C4CCD13}"/>
            </a:ext>
          </a:extLst>
        </xdr:cNvPr>
        <xdr:cNvSpPr/>
      </xdr:nvSpPr>
      <xdr:spPr>
        <a:xfrm>
          <a:off x="544068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83820</xdr:colOff>
      <xdr:row>60</xdr:row>
      <xdr:rowOff>114300</xdr:rowOff>
    </xdr:to>
    <xdr:sp macro="" textlink="">
      <xdr:nvSpPr>
        <xdr:cNvPr id="370" name="Arrow: Down 369">
          <a:extLst>
            <a:ext uri="{FF2B5EF4-FFF2-40B4-BE49-F238E27FC236}">
              <a16:creationId xmlns:a16="http://schemas.microsoft.com/office/drawing/2014/main" id="{CF8546DA-2AD4-4C21-894C-457372489B77}"/>
            </a:ext>
          </a:extLst>
        </xdr:cNvPr>
        <xdr:cNvSpPr/>
      </xdr:nvSpPr>
      <xdr:spPr>
        <a:xfrm>
          <a:off x="1927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83820</xdr:colOff>
      <xdr:row>60</xdr:row>
      <xdr:rowOff>114300</xdr:rowOff>
    </xdr:to>
    <xdr:sp macro="" textlink="">
      <xdr:nvSpPr>
        <xdr:cNvPr id="371" name="Arrow: Down 370">
          <a:extLst>
            <a:ext uri="{FF2B5EF4-FFF2-40B4-BE49-F238E27FC236}">
              <a16:creationId xmlns:a16="http://schemas.microsoft.com/office/drawing/2014/main" id="{16842F35-C300-44A7-9C6B-C2BD4E92309D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54</xdr:col>
      <xdr:colOff>0</xdr:colOff>
      <xdr:row>170</xdr:row>
      <xdr:rowOff>0</xdr:rowOff>
    </xdr:from>
    <xdr:to>
      <xdr:col>54</xdr:col>
      <xdr:colOff>160020</xdr:colOff>
      <xdr:row>170</xdr:row>
      <xdr:rowOff>167640</xdr:rowOff>
    </xdr:to>
    <xdr:sp macro="" textlink="">
      <xdr:nvSpPr>
        <xdr:cNvPr id="393" name="Minus Sign 392">
          <a:extLst>
            <a:ext uri="{FF2B5EF4-FFF2-40B4-BE49-F238E27FC236}">
              <a16:creationId xmlns:a16="http://schemas.microsoft.com/office/drawing/2014/main" id="{C7DDB0FD-B484-434C-BD8F-DD407BBF2B7D}"/>
            </a:ext>
          </a:extLst>
        </xdr:cNvPr>
        <xdr:cNvSpPr/>
      </xdr:nvSpPr>
      <xdr:spPr>
        <a:xfrm>
          <a:off x="12527280" y="134493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  <xdr:twoCellAnchor>
    <xdr:from>
      <xdr:col>54</xdr:col>
      <xdr:colOff>0</xdr:colOff>
      <xdr:row>171</xdr:row>
      <xdr:rowOff>0</xdr:rowOff>
    </xdr:from>
    <xdr:to>
      <xdr:col>54</xdr:col>
      <xdr:colOff>160020</xdr:colOff>
      <xdr:row>171</xdr:row>
      <xdr:rowOff>99060</xdr:rowOff>
    </xdr:to>
    <xdr:sp macro="" textlink="">
      <xdr:nvSpPr>
        <xdr:cNvPr id="399" name="Minus Sign 398">
          <a:extLst>
            <a:ext uri="{FF2B5EF4-FFF2-40B4-BE49-F238E27FC236}">
              <a16:creationId xmlns:a16="http://schemas.microsoft.com/office/drawing/2014/main" id="{17353DE2-8A39-43F4-9EA0-9AC80EEBBA14}"/>
            </a:ext>
          </a:extLst>
        </xdr:cNvPr>
        <xdr:cNvSpPr/>
      </xdr:nvSpPr>
      <xdr:spPr>
        <a:xfrm>
          <a:off x="12527280" y="136321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60</xdr:col>
      <xdr:colOff>0</xdr:colOff>
      <xdr:row>60</xdr:row>
      <xdr:rowOff>0</xdr:rowOff>
    </xdr:from>
    <xdr:to>
      <xdr:col>60</xdr:col>
      <xdr:colOff>83820</xdr:colOff>
      <xdr:row>60</xdr:row>
      <xdr:rowOff>114300</xdr:rowOff>
    </xdr:to>
    <xdr:sp macro="" textlink="">
      <xdr:nvSpPr>
        <xdr:cNvPr id="401" name="Arrow: Down 400">
          <a:extLst>
            <a:ext uri="{FF2B5EF4-FFF2-40B4-BE49-F238E27FC236}">
              <a16:creationId xmlns:a16="http://schemas.microsoft.com/office/drawing/2014/main" id="{2414584A-E560-4E44-9794-0B68850B7AFB}"/>
            </a:ext>
          </a:extLst>
        </xdr:cNvPr>
        <xdr:cNvSpPr/>
      </xdr:nvSpPr>
      <xdr:spPr>
        <a:xfrm>
          <a:off x="1439418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61</xdr:row>
      <xdr:rowOff>0</xdr:rowOff>
    </xdr:from>
    <xdr:to>
      <xdr:col>45</xdr:col>
      <xdr:colOff>83820</xdr:colOff>
      <xdr:row>61</xdr:row>
      <xdr:rowOff>114300</xdr:rowOff>
    </xdr:to>
    <xdr:sp macro="" textlink="">
      <xdr:nvSpPr>
        <xdr:cNvPr id="409" name="Arrow: Down 408">
          <a:extLst>
            <a:ext uri="{FF2B5EF4-FFF2-40B4-BE49-F238E27FC236}">
              <a16:creationId xmlns:a16="http://schemas.microsoft.com/office/drawing/2014/main" id="{27C76277-7A2F-406F-877A-AB8CF6B6F479}"/>
            </a:ext>
          </a:extLst>
        </xdr:cNvPr>
        <xdr:cNvSpPr/>
      </xdr:nvSpPr>
      <xdr:spPr>
        <a:xfrm rot="10800000">
          <a:off x="9928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5</xdr:col>
      <xdr:colOff>83820</xdr:colOff>
      <xdr:row>61</xdr:row>
      <xdr:rowOff>114300</xdr:rowOff>
    </xdr:to>
    <xdr:sp macro="" textlink="">
      <xdr:nvSpPr>
        <xdr:cNvPr id="413" name="Arrow: Down 412">
          <a:extLst>
            <a:ext uri="{FF2B5EF4-FFF2-40B4-BE49-F238E27FC236}">
              <a16:creationId xmlns:a16="http://schemas.microsoft.com/office/drawing/2014/main" id="{25377DDE-A5A3-400B-9849-275399C9A029}"/>
            </a:ext>
          </a:extLst>
        </xdr:cNvPr>
        <xdr:cNvSpPr/>
      </xdr:nvSpPr>
      <xdr:spPr>
        <a:xfrm>
          <a:off x="1927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83820</xdr:colOff>
      <xdr:row>61</xdr:row>
      <xdr:rowOff>114300</xdr:rowOff>
    </xdr:to>
    <xdr:sp macro="" textlink="">
      <xdr:nvSpPr>
        <xdr:cNvPr id="414" name="Arrow: Down 413">
          <a:extLst>
            <a:ext uri="{FF2B5EF4-FFF2-40B4-BE49-F238E27FC236}">
              <a16:creationId xmlns:a16="http://schemas.microsoft.com/office/drawing/2014/main" id="{FB214F67-2F63-477B-8081-86639B996CDC}"/>
            </a:ext>
          </a:extLst>
        </xdr:cNvPr>
        <xdr:cNvSpPr/>
      </xdr:nvSpPr>
      <xdr:spPr>
        <a:xfrm>
          <a:off x="361950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61</xdr:row>
      <xdr:rowOff>0</xdr:rowOff>
    </xdr:from>
    <xdr:to>
      <xdr:col>24</xdr:col>
      <xdr:colOff>83820</xdr:colOff>
      <xdr:row>61</xdr:row>
      <xdr:rowOff>114300</xdr:rowOff>
    </xdr:to>
    <xdr:sp macro="" textlink="">
      <xdr:nvSpPr>
        <xdr:cNvPr id="417" name="Arrow: Down 416">
          <a:extLst>
            <a:ext uri="{FF2B5EF4-FFF2-40B4-BE49-F238E27FC236}">
              <a16:creationId xmlns:a16="http://schemas.microsoft.com/office/drawing/2014/main" id="{66E3221D-E8C3-4301-B78A-B312F3FC4272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61</xdr:row>
      <xdr:rowOff>0</xdr:rowOff>
    </xdr:from>
    <xdr:to>
      <xdr:col>39</xdr:col>
      <xdr:colOff>83820</xdr:colOff>
      <xdr:row>61</xdr:row>
      <xdr:rowOff>114300</xdr:rowOff>
    </xdr:to>
    <xdr:sp macro="" textlink="">
      <xdr:nvSpPr>
        <xdr:cNvPr id="418" name="Arrow: Down 417">
          <a:extLst>
            <a:ext uri="{FF2B5EF4-FFF2-40B4-BE49-F238E27FC236}">
              <a16:creationId xmlns:a16="http://schemas.microsoft.com/office/drawing/2014/main" id="{B0E6774C-D0D2-4AEC-BBFF-D1B3B34FCB8C}"/>
            </a:ext>
          </a:extLst>
        </xdr:cNvPr>
        <xdr:cNvSpPr/>
      </xdr:nvSpPr>
      <xdr:spPr>
        <a:xfrm>
          <a:off x="842010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61</xdr:row>
      <xdr:rowOff>0</xdr:rowOff>
    </xdr:from>
    <xdr:to>
      <xdr:col>60</xdr:col>
      <xdr:colOff>83820</xdr:colOff>
      <xdr:row>61</xdr:row>
      <xdr:rowOff>114300</xdr:rowOff>
    </xdr:to>
    <xdr:sp macro="" textlink="">
      <xdr:nvSpPr>
        <xdr:cNvPr id="420" name="Arrow: Down 419">
          <a:extLst>
            <a:ext uri="{FF2B5EF4-FFF2-40B4-BE49-F238E27FC236}">
              <a16:creationId xmlns:a16="http://schemas.microsoft.com/office/drawing/2014/main" id="{F988266C-7467-42A0-B937-2576DA5D7DB3}"/>
            </a:ext>
          </a:extLst>
        </xdr:cNvPr>
        <xdr:cNvSpPr/>
      </xdr:nvSpPr>
      <xdr:spPr>
        <a:xfrm rot="10800000">
          <a:off x="143941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61</xdr:row>
      <xdr:rowOff>0</xdr:rowOff>
    </xdr:from>
    <xdr:to>
      <xdr:col>71</xdr:col>
      <xdr:colOff>160020</xdr:colOff>
      <xdr:row>61</xdr:row>
      <xdr:rowOff>167640</xdr:rowOff>
    </xdr:to>
    <xdr:sp macro="" textlink="">
      <xdr:nvSpPr>
        <xdr:cNvPr id="421" name="Minus Sign 420">
          <a:extLst>
            <a:ext uri="{FF2B5EF4-FFF2-40B4-BE49-F238E27FC236}">
              <a16:creationId xmlns:a16="http://schemas.microsoft.com/office/drawing/2014/main" id="{CC640DCC-5B33-4F48-A752-765FEDF25D20}"/>
            </a:ext>
          </a:extLst>
        </xdr:cNvPr>
        <xdr:cNvSpPr/>
      </xdr:nvSpPr>
      <xdr:spPr>
        <a:xfrm>
          <a:off x="16703040" y="11254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62</xdr:row>
      <xdr:rowOff>0</xdr:rowOff>
    </xdr:from>
    <xdr:to>
      <xdr:col>45</xdr:col>
      <xdr:colOff>83820</xdr:colOff>
      <xdr:row>62</xdr:row>
      <xdr:rowOff>114300</xdr:rowOff>
    </xdr:to>
    <xdr:sp macro="" textlink="">
      <xdr:nvSpPr>
        <xdr:cNvPr id="429" name="Arrow: Down 428">
          <a:extLst>
            <a:ext uri="{FF2B5EF4-FFF2-40B4-BE49-F238E27FC236}">
              <a16:creationId xmlns:a16="http://schemas.microsoft.com/office/drawing/2014/main" id="{4D91D87F-BB45-48E1-8F25-4C1262075F3F}"/>
            </a:ext>
          </a:extLst>
        </xdr:cNvPr>
        <xdr:cNvSpPr/>
      </xdr:nvSpPr>
      <xdr:spPr>
        <a:xfrm rot="10800000">
          <a:off x="9928860" y="1125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62</xdr:row>
      <xdr:rowOff>0</xdr:rowOff>
    </xdr:from>
    <xdr:to>
      <xdr:col>24</xdr:col>
      <xdr:colOff>83820</xdr:colOff>
      <xdr:row>62</xdr:row>
      <xdr:rowOff>114300</xdr:rowOff>
    </xdr:to>
    <xdr:sp macro="" textlink="">
      <xdr:nvSpPr>
        <xdr:cNvPr id="432" name="Arrow: Down 431">
          <a:extLst>
            <a:ext uri="{FF2B5EF4-FFF2-40B4-BE49-F238E27FC236}">
              <a16:creationId xmlns:a16="http://schemas.microsoft.com/office/drawing/2014/main" id="{BC2F5906-2C3B-45D7-8FEB-BBE7AD67172A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62</xdr:row>
      <xdr:rowOff>0</xdr:rowOff>
    </xdr:from>
    <xdr:to>
      <xdr:col>5</xdr:col>
      <xdr:colOff>83820</xdr:colOff>
      <xdr:row>62</xdr:row>
      <xdr:rowOff>114300</xdr:rowOff>
    </xdr:to>
    <xdr:sp macro="" textlink="">
      <xdr:nvSpPr>
        <xdr:cNvPr id="436" name="Arrow: Down 435">
          <a:extLst>
            <a:ext uri="{FF2B5EF4-FFF2-40B4-BE49-F238E27FC236}">
              <a16:creationId xmlns:a16="http://schemas.microsoft.com/office/drawing/2014/main" id="{3116B247-0D17-4935-B672-02A003C80ED5}"/>
            </a:ext>
          </a:extLst>
        </xdr:cNvPr>
        <xdr:cNvSpPr/>
      </xdr:nvSpPr>
      <xdr:spPr>
        <a:xfrm rot="10800000">
          <a:off x="192786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62</xdr:row>
      <xdr:rowOff>0</xdr:rowOff>
    </xdr:from>
    <xdr:to>
      <xdr:col>39</xdr:col>
      <xdr:colOff>83820</xdr:colOff>
      <xdr:row>62</xdr:row>
      <xdr:rowOff>114300</xdr:rowOff>
    </xdr:to>
    <xdr:sp macro="" textlink="">
      <xdr:nvSpPr>
        <xdr:cNvPr id="438" name="Arrow: Down 437">
          <a:extLst>
            <a:ext uri="{FF2B5EF4-FFF2-40B4-BE49-F238E27FC236}">
              <a16:creationId xmlns:a16="http://schemas.microsoft.com/office/drawing/2014/main" id="{D0752E8A-00C6-46E7-86A3-F618F7ECA980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62</xdr:row>
      <xdr:rowOff>0</xdr:rowOff>
    </xdr:from>
    <xdr:to>
      <xdr:col>60</xdr:col>
      <xdr:colOff>83820</xdr:colOff>
      <xdr:row>62</xdr:row>
      <xdr:rowOff>114300</xdr:rowOff>
    </xdr:to>
    <xdr:sp macro="" textlink="">
      <xdr:nvSpPr>
        <xdr:cNvPr id="439" name="Arrow: Down 438">
          <a:extLst>
            <a:ext uri="{FF2B5EF4-FFF2-40B4-BE49-F238E27FC236}">
              <a16:creationId xmlns:a16="http://schemas.microsoft.com/office/drawing/2014/main" id="{E165C68F-2A63-4050-B7A2-05AF197643C1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62</xdr:row>
      <xdr:rowOff>0</xdr:rowOff>
    </xdr:from>
    <xdr:to>
      <xdr:col>71</xdr:col>
      <xdr:colOff>83820</xdr:colOff>
      <xdr:row>62</xdr:row>
      <xdr:rowOff>114300</xdr:rowOff>
    </xdr:to>
    <xdr:sp macro="" textlink="">
      <xdr:nvSpPr>
        <xdr:cNvPr id="441" name="Arrow: Down 440">
          <a:extLst>
            <a:ext uri="{FF2B5EF4-FFF2-40B4-BE49-F238E27FC236}">
              <a16:creationId xmlns:a16="http://schemas.microsoft.com/office/drawing/2014/main" id="{6D9F9256-074B-4A2A-90E5-68FC60E3260C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83820</xdr:colOff>
      <xdr:row>62</xdr:row>
      <xdr:rowOff>114300</xdr:rowOff>
    </xdr:to>
    <xdr:sp macro="" textlink="">
      <xdr:nvSpPr>
        <xdr:cNvPr id="442" name="Arrow: Down 441">
          <a:extLst>
            <a:ext uri="{FF2B5EF4-FFF2-40B4-BE49-F238E27FC236}">
              <a16:creationId xmlns:a16="http://schemas.microsoft.com/office/drawing/2014/main" id="{7AE79E1D-4508-47FF-B9DF-50C0894BEBE8}"/>
            </a:ext>
          </a:extLst>
        </xdr:cNvPr>
        <xdr:cNvSpPr/>
      </xdr:nvSpPr>
      <xdr:spPr>
        <a:xfrm rot="10800000">
          <a:off x="361950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63</xdr:row>
      <xdr:rowOff>0</xdr:rowOff>
    </xdr:from>
    <xdr:to>
      <xdr:col>45</xdr:col>
      <xdr:colOff>83820</xdr:colOff>
      <xdr:row>63</xdr:row>
      <xdr:rowOff>114300</xdr:rowOff>
    </xdr:to>
    <xdr:sp macro="" textlink="">
      <xdr:nvSpPr>
        <xdr:cNvPr id="410" name="Arrow: Down 409">
          <a:extLst>
            <a:ext uri="{FF2B5EF4-FFF2-40B4-BE49-F238E27FC236}">
              <a16:creationId xmlns:a16="http://schemas.microsoft.com/office/drawing/2014/main" id="{C3B04E1A-B4BA-4F90-AC80-0F8A1A08F268}"/>
            </a:ext>
          </a:extLst>
        </xdr:cNvPr>
        <xdr:cNvSpPr/>
      </xdr:nvSpPr>
      <xdr:spPr>
        <a:xfrm rot="10800000">
          <a:off x="992886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63</xdr:row>
      <xdr:rowOff>0</xdr:rowOff>
    </xdr:from>
    <xdr:to>
      <xdr:col>24</xdr:col>
      <xdr:colOff>83820</xdr:colOff>
      <xdr:row>63</xdr:row>
      <xdr:rowOff>114300</xdr:rowOff>
    </xdr:to>
    <xdr:sp macro="" textlink="">
      <xdr:nvSpPr>
        <xdr:cNvPr id="411" name="Arrow: Down 410">
          <a:extLst>
            <a:ext uri="{FF2B5EF4-FFF2-40B4-BE49-F238E27FC236}">
              <a16:creationId xmlns:a16="http://schemas.microsoft.com/office/drawing/2014/main" id="{86728861-3880-48AB-9F3F-9DFAFEF92A70}"/>
            </a:ext>
          </a:extLst>
        </xdr:cNvPr>
        <xdr:cNvSpPr/>
      </xdr:nvSpPr>
      <xdr:spPr>
        <a:xfrm rot="10800000">
          <a:off x="544068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63</xdr:row>
      <xdr:rowOff>0</xdr:rowOff>
    </xdr:from>
    <xdr:to>
      <xdr:col>39</xdr:col>
      <xdr:colOff>83820</xdr:colOff>
      <xdr:row>63</xdr:row>
      <xdr:rowOff>114300</xdr:rowOff>
    </xdr:to>
    <xdr:sp macro="" textlink="">
      <xdr:nvSpPr>
        <xdr:cNvPr id="415" name="Arrow: Down 414">
          <a:extLst>
            <a:ext uri="{FF2B5EF4-FFF2-40B4-BE49-F238E27FC236}">
              <a16:creationId xmlns:a16="http://schemas.microsoft.com/office/drawing/2014/main" id="{FB263A0F-AB98-491C-9A29-0072A44328BB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63</xdr:row>
      <xdr:rowOff>0</xdr:rowOff>
    </xdr:from>
    <xdr:to>
      <xdr:col>60</xdr:col>
      <xdr:colOff>83820</xdr:colOff>
      <xdr:row>63</xdr:row>
      <xdr:rowOff>114300</xdr:rowOff>
    </xdr:to>
    <xdr:sp macro="" textlink="">
      <xdr:nvSpPr>
        <xdr:cNvPr id="416" name="Arrow: Down 415">
          <a:extLst>
            <a:ext uri="{FF2B5EF4-FFF2-40B4-BE49-F238E27FC236}">
              <a16:creationId xmlns:a16="http://schemas.microsoft.com/office/drawing/2014/main" id="{D345B100-1A84-4259-B544-C7EF89E2AED2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63</xdr:row>
      <xdr:rowOff>0</xdr:rowOff>
    </xdr:from>
    <xdr:to>
      <xdr:col>71</xdr:col>
      <xdr:colOff>83820</xdr:colOff>
      <xdr:row>63</xdr:row>
      <xdr:rowOff>114300</xdr:rowOff>
    </xdr:to>
    <xdr:sp macro="" textlink="">
      <xdr:nvSpPr>
        <xdr:cNvPr id="419" name="Arrow: Down 418">
          <a:extLst>
            <a:ext uri="{FF2B5EF4-FFF2-40B4-BE49-F238E27FC236}">
              <a16:creationId xmlns:a16="http://schemas.microsoft.com/office/drawing/2014/main" id="{9C2BBEA6-A697-4C58-98E2-DEA9AB01806B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83820</xdr:colOff>
      <xdr:row>63</xdr:row>
      <xdr:rowOff>114300</xdr:rowOff>
    </xdr:to>
    <xdr:sp macro="" textlink="">
      <xdr:nvSpPr>
        <xdr:cNvPr id="424" name="Arrow: Down 423">
          <a:extLst>
            <a:ext uri="{FF2B5EF4-FFF2-40B4-BE49-F238E27FC236}">
              <a16:creationId xmlns:a16="http://schemas.microsoft.com/office/drawing/2014/main" id="{579FDC89-D0F0-487B-911B-83C316D7063F}"/>
            </a:ext>
          </a:extLst>
        </xdr:cNvPr>
        <xdr:cNvSpPr/>
      </xdr:nvSpPr>
      <xdr:spPr>
        <a:xfrm>
          <a:off x="361950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5</xdr:col>
      <xdr:colOff>83820</xdr:colOff>
      <xdr:row>63</xdr:row>
      <xdr:rowOff>114300</xdr:rowOff>
    </xdr:to>
    <xdr:sp macro="" textlink="">
      <xdr:nvSpPr>
        <xdr:cNvPr id="425" name="Arrow: Down 424">
          <a:extLst>
            <a:ext uri="{FF2B5EF4-FFF2-40B4-BE49-F238E27FC236}">
              <a16:creationId xmlns:a16="http://schemas.microsoft.com/office/drawing/2014/main" id="{799D4CDB-9825-499E-A290-0656BA60943C}"/>
            </a:ext>
          </a:extLst>
        </xdr:cNvPr>
        <xdr:cNvSpPr/>
      </xdr:nvSpPr>
      <xdr:spPr>
        <a:xfrm>
          <a:off x="1927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64</xdr:row>
      <xdr:rowOff>0</xdr:rowOff>
    </xdr:from>
    <xdr:to>
      <xdr:col>45</xdr:col>
      <xdr:colOff>83820</xdr:colOff>
      <xdr:row>64</xdr:row>
      <xdr:rowOff>114300</xdr:rowOff>
    </xdr:to>
    <xdr:sp macro="" textlink="">
      <xdr:nvSpPr>
        <xdr:cNvPr id="375" name="Arrow: Down 374">
          <a:extLst>
            <a:ext uri="{FF2B5EF4-FFF2-40B4-BE49-F238E27FC236}">
              <a16:creationId xmlns:a16="http://schemas.microsoft.com/office/drawing/2014/main" id="{A0964958-5D8C-4106-AA3F-F8F2F6885436}"/>
            </a:ext>
          </a:extLst>
        </xdr:cNvPr>
        <xdr:cNvSpPr/>
      </xdr:nvSpPr>
      <xdr:spPr>
        <a:xfrm rot="10800000">
          <a:off x="9928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64</xdr:row>
      <xdr:rowOff>0</xdr:rowOff>
    </xdr:from>
    <xdr:to>
      <xdr:col>71</xdr:col>
      <xdr:colOff>83820</xdr:colOff>
      <xdr:row>64</xdr:row>
      <xdr:rowOff>114300</xdr:rowOff>
    </xdr:to>
    <xdr:sp macro="" textlink="">
      <xdr:nvSpPr>
        <xdr:cNvPr id="406" name="Arrow: Down 405">
          <a:extLst>
            <a:ext uri="{FF2B5EF4-FFF2-40B4-BE49-F238E27FC236}">
              <a16:creationId xmlns:a16="http://schemas.microsoft.com/office/drawing/2014/main" id="{1D664384-611B-4C76-A031-CAC671022CF9}"/>
            </a:ext>
          </a:extLst>
        </xdr:cNvPr>
        <xdr:cNvSpPr/>
      </xdr:nvSpPr>
      <xdr:spPr>
        <a:xfrm>
          <a:off x="1677162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5</xdr:col>
      <xdr:colOff>83820</xdr:colOff>
      <xdr:row>64</xdr:row>
      <xdr:rowOff>114300</xdr:rowOff>
    </xdr:to>
    <xdr:sp macro="" textlink="">
      <xdr:nvSpPr>
        <xdr:cNvPr id="422" name="Arrow: Down 421">
          <a:extLst>
            <a:ext uri="{FF2B5EF4-FFF2-40B4-BE49-F238E27FC236}">
              <a16:creationId xmlns:a16="http://schemas.microsoft.com/office/drawing/2014/main" id="{B39A873E-99DD-40E3-BA6F-C1BC9C2DCBC0}"/>
            </a:ext>
          </a:extLst>
        </xdr:cNvPr>
        <xdr:cNvSpPr/>
      </xdr:nvSpPr>
      <xdr:spPr>
        <a:xfrm rot="10800000">
          <a:off x="192786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64</xdr:row>
      <xdr:rowOff>0</xdr:rowOff>
    </xdr:from>
    <xdr:to>
      <xdr:col>11</xdr:col>
      <xdr:colOff>83820</xdr:colOff>
      <xdr:row>64</xdr:row>
      <xdr:rowOff>114300</xdr:rowOff>
    </xdr:to>
    <xdr:sp macro="" textlink="">
      <xdr:nvSpPr>
        <xdr:cNvPr id="427" name="Arrow: Down 426">
          <a:extLst>
            <a:ext uri="{FF2B5EF4-FFF2-40B4-BE49-F238E27FC236}">
              <a16:creationId xmlns:a16="http://schemas.microsoft.com/office/drawing/2014/main" id="{FA3437EA-1BE3-4A3C-AA59-1BD516E738B9}"/>
            </a:ext>
          </a:extLst>
        </xdr:cNvPr>
        <xdr:cNvSpPr/>
      </xdr:nvSpPr>
      <xdr:spPr>
        <a:xfrm rot="10800000">
          <a:off x="36195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64</xdr:row>
      <xdr:rowOff>0</xdr:rowOff>
    </xdr:from>
    <xdr:to>
      <xdr:col>60</xdr:col>
      <xdr:colOff>83820</xdr:colOff>
      <xdr:row>64</xdr:row>
      <xdr:rowOff>114300</xdr:rowOff>
    </xdr:to>
    <xdr:sp macro="" textlink="">
      <xdr:nvSpPr>
        <xdr:cNvPr id="430" name="Arrow: Down 429">
          <a:extLst>
            <a:ext uri="{FF2B5EF4-FFF2-40B4-BE49-F238E27FC236}">
              <a16:creationId xmlns:a16="http://schemas.microsoft.com/office/drawing/2014/main" id="{66D4DE9E-A3F8-465E-A861-723DCFF01B4A}"/>
            </a:ext>
          </a:extLst>
        </xdr:cNvPr>
        <xdr:cNvSpPr/>
      </xdr:nvSpPr>
      <xdr:spPr>
        <a:xfrm rot="10800000">
          <a:off x="1454658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64</xdr:row>
      <xdr:rowOff>0</xdr:rowOff>
    </xdr:from>
    <xdr:to>
      <xdr:col>24</xdr:col>
      <xdr:colOff>83820</xdr:colOff>
      <xdr:row>64</xdr:row>
      <xdr:rowOff>114300</xdr:rowOff>
    </xdr:to>
    <xdr:sp macro="" textlink="">
      <xdr:nvSpPr>
        <xdr:cNvPr id="433" name="Arrow: Down 432">
          <a:extLst>
            <a:ext uri="{FF2B5EF4-FFF2-40B4-BE49-F238E27FC236}">
              <a16:creationId xmlns:a16="http://schemas.microsoft.com/office/drawing/2014/main" id="{4B2A4AFE-AE46-463E-98CB-DBC1A3D3B5B6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64</xdr:row>
      <xdr:rowOff>0</xdr:rowOff>
    </xdr:from>
    <xdr:to>
      <xdr:col>39</xdr:col>
      <xdr:colOff>83820</xdr:colOff>
      <xdr:row>64</xdr:row>
      <xdr:rowOff>114300</xdr:rowOff>
    </xdr:to>
    <xdr:sp macro="" textlink="">
      <xdr:nvSpPr>
        <xdr:cNvPr id="435" name="Arrow: Down 434">
          <a:extLst>
            <a:ext uri="{FF2B5EF4-FFF2-40B4-BE49-F238E27FC236}">
              <a16:creationId xmlns:a16="http://schemas.microsoft.com/office/drawing/2014/main" id="{5CD6D5F5-83B4-4353-8C0D-1D36378BD2BE}"/>
            </a:ext>
          </a:extLst>
        </xdr:cNvPr>
        <xdr:cNvSpPr/>
      </xdr:nvSpPr>
      <xdr:spPr>
        <a:xfrm>
          <a:off x="84201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65</xdr:row>
      <xdr:rowOff>0</xdr:rowOff>
    </xdr:from>
    <xdr:to>
      <xdr:col>45</xdr:col>
      <xdr:colOff>83820</xdr:colOff>
      <xdr:row>65</xdr:row>
      <xdr:rowOff>114300</xdr:rowOff>
    </xdr:to>
    <xdr:sp macro="" textlink="">
      <xdr:nvSpPr>
        <xdr:cNvPr id="426" name="Arrow: Down 425">
          <a:extLst>
            <a:ext uri="{FF2B5EF4-FFF2-40B4-BE49-F238E27FC236}">
              <a16:creationId xmlns:a16="http://schemas.microsoft.com/office/drawing/2014/main" id="{BFAF6ABC-8C04-4A81-96E3-4EA94B8B6C77}"/>
            </a:ext>
          </a:extLst>
        </xdr:cNvPr>
        <xdr:cNvSpPr/>
      </xdr:nvSpPr>
      <xdr:spPr>
        <a:xfrm rot="10800000">
          <a:off x="992886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65</xdr:row>
      <xdr:rowOff>0</xdr:rowOff>
    </xdr:from>
    <xdr:to>
      <xdr:col>71</xdr:col>
      <xdr:colOff>83820</xdr:colOff>
      <xdr:row>65</xdr:row>
      <xdr:rowOff>114300</xdr:rowOff>
    </xdr:to>
    <xdr:sp macro="" textlink="">
      <xdr:nvSpPr>
        <xdr:cNvPr id="428" name="Arrow: Down 427">
          <a:extLst>
            <a:ext uri="{FF2B5EF4-FFF2-40B4-BE49-F238E27FC236}">
              <a16:creationId xmlns:a16="http://schemas.microsoft.com/office/drawing/2014/main" id="{01808273-0ADA-4298-AA67-AD9270E9E0CF}"/>
            </a:ext>
          </a:extLst>
        </xdr:cNvPr>
        <xdr:cNvSpPr/>
      </xdr:nvSpPr>
      <xdr:spPr>
        <a:xfrm>
          <a:off x="1685544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65</xdr:row>
      <xdr:rowOff>0</xdr:rowOff>
    </xdr:from>
    <xdr:to>
      <xdr:col>24</xdr:col>
      <xdr:colOff>83820</xdr:colOff>
      <xdr:row>65</xdr:row>
      <xdr:rowOff>114300</xdr:rowOff>
    </xdr:to>
    <xdr:sp macro="" textlink="">
      <xdr:nvSpPr>
        <xdr:cNvPr id="440" name="Arrow: Down 439">
          <a:extLst>
            <a:ext uri="{FF2B5EF4-FFF2-40B4-BE49-F238E27FC236}">
              <a16:creationId xmlns:a16="http://schemas.microsoft.com/office/drawing/2014/main" id="{24559531-B8F2-4B39-BF30-68EAD01160C3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83820</xdr:colOff>
      <xdr:row>65</xdr:row>
      <xdr:rowOff>114300</xdr:rowOff>
    </xdr:to>
    <xdr:sp macro="" textlink="">
      <xdr:nvSpPr>
        <xdr:cNvPr id="397" name="Arrow: Down 396">
          <a:extLst>
            <a:ext uri="{FF2B5EF4-FFF2-40B4-BE49-F238E27FC236}">
              <a16:creationId xmlns:a16="http://schemas.microsoft.com/office/drawing/2014/main" id="{F7EA6CC7-731B-4C04-9C01-2B4E474ACCE1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65</xdr:row>
      <xdr:rowOff>0</xdr:rowOff>
    </xdr:from>
    <xdr:to>
      <xdr:col>11</xdr:col>
      <xdr:colOff>83820</xdr:colOff>
      <xdr:row>65</xdr:row>
      <xdr:rowOff>114300</xdr:rowOff>
    </xdr:to>
    <xdr:sp macro="" textlink="">
      <xdr:nvSpPr>
        <xdr:cNvPr id="403" name="Arrow: Down 402">
          <a:extLst>
            <a:ext uri="{FF2B5EF4-FFF2-40B4-BE49-F238E27FC236}">
              <a16:creationId xmlns:a16="http://schemas.microsoft.com/office/drawing/2014/main" id="{EE5C4D25-D825-4F8E-B0B2-A74692B5C53E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65</xdr:row>
      <xdr:rowOff>0</xdr:rowOff>
    </xdr:from>
    <xdr:to>
      <xdr:col>39</xdr:col>
      <xdr:colOff>83820</xdr:colOff>
      <xdr:row>65</xdr:row>
      <xdr:rowOff>114300</xdr:rowOff>
    </xdr:to>
    <xdr:sp macro="" textlink="">
      <xdr:nvSpPr>
        <xdr:cNvPr id="405" name="Arrow: Down 404">
          <a:extLst>
            <a:ext uri="{FF2B5EF4-FFF2-40B4-BE49-F238E27FC236}">
              <a16:creationId xmlns:a16="http://schemas.microsoft.com/office/drawing/2014/main" id="{1D7FAA44-25F9-48F3-915C-3826EE7908F6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65</xdr:row>
      <xdr:rowOff>0</xdr:rowOff>
    </xdr:from>
    <xdr:to>
      <xdr:col>60</xdr:col>
      <xdr:colOff>83820</xdr:colOff>
      <xdr:row>65</xdr:row>
      <xdr:rowOff>114300</xdr:rowOff>
    </xdr:to>
    <xdr:sp macro="" textlink="">
      <xdr:nvSpPr>
        <xdr:cNvPr id="408" name="Arrow: Down 407">
          <a:extLst>
            <a:ext uri="{FF2B5EF4-FFF2-40B4-BE49-F238E27FC236}">
              <a16:creationId xmlns:a16="http://schemas.microsoft.com/office/drawing/2014/main" id="{BC99D760-4E8A-45F0-B771-ED5ED1C85365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66</xdr:row>
      <xdr:rowOff>0</xdr:rowOff>
    </xdr:from>
    <xdr:to>
      <xdr:col>45</xdr:col>
      <xdr:colOff>83820</xdr:colOff>
      <xdr:row>66</xdr:row>
      <xdr:rowOff>114300</xdr:rowOff>
    </xdr:to>
    <xdr:sp macro="" textlink="">
      <xdr:nvSpPr>
        <xdr:cNvPr id="444" name="Arrow: Down 443">
          <a:extLst>
            <a:ext uri="{FF2B5EF4-FFF2-40B4-BE49-F238E27FC236}">
              <a16:creationId xmlns:a16="http://schemas.microsoft.com/office/drawing/2014/main" id="{CFB165E1-87D0-48D3-A2B5-83BAA338E02C}"/>
            </a:ext>
          </a:extLst>
        </xdr:cNvPr>
        <xdr:cNvSpPr/>
      </xdr:nvSpPr>
      <xdr:spPr>
        <a:xfrm rot="10800000">
          <a:off x="9928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66</xdr:row>
      <xdr:rowOff>0</xdr:rowOff>
    </xdr:from>
    <xdr:to>
      <xdr:col>71</xdr:col>
      <xdr:colOff>83820</xdr:colOff>
      <xdr:row>66</xdr:row>
      <xdr:rowOff>114300</xdr:rowOff>
    </xdr:to>
    <xdr:sp macro="" textlink="">
      <xdr:nvSpPr>
        <xdr:cNvPr id="445" name="Arrow: Down 444">
          <a:extLst>
            <a:ext uri="{FF2B5EF4-FFF2-40B4-BE49-F238E27FC236}">
              <a16:creationId xmlns:a16="http://schemas.microsoft.com/office/drawing/2014/main" id="{E7E6FBDB-9419-4C4B-8116-C4EAEA967E5B}"/>
            </a:ext>
          </a:extLst>
        </xdr:cNvPr>
        <xdr:cNvSpPr/>
      </xdr:nvSpPr>
      <xdr:spPr>
        <a:xfrm>
          <a:off x="1685544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66</xdr:row>
      <xdr:rowOff>0</xdr:rowOff>
    </xdr:from>
    <xdr:to>
      <xdr:col>24</xdr:col>
      <xdr:colOff>83820</xdr:colOff>
      <xdr:row>66</xdr:row>
      <xdr:rowOff>114300</xdr:rowOff>
    </xdr:to>
    <xdr:sp macro="" textlink="">
      <xdr:nvSpPr>
        <xdr:cNvPr id="446" name="Arrow: Down 445">
          <a:extLst>
            <a:ext uri="{FF2B5EF4-FFF2-40B4-BE49-F238E27FC236}">
              <a16:creationId xmlns:a16="http://schemas.microsoft.com/office/drawing/2014/main" id="{E40ABCBA-DAE0-4F7C-945B-ADEFD0D3353D}"/>
            </a:ext>
          </a:extLst>
        </xdr:cNvPr>
        <xdr:cNvSpPr/>
      </xdr:nvSpPr>
      <xdr:spPr>
        <a:xfrm>
          <a:off x="54406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83820</xdr:colOff>
      <xdr:row>66</xdr:row>
      <xdr:rowOff>114300</xdr:rowOff>
    </xdr:to>
    <xdr:sp macro="" textlink="">
      <xdr:nvSpPr>
        <xdr:cNvPr id="447" name="Arrow: Down 446">
          <a:extLst>
            <a:ext uri="{FF2B5EF4-FFF2-40B4-BE49-F238E27FC236}">
              <a16:creationId xmlns:a16="http://schemas.microsoft.com/office/drawing/2014/main" id="{64DA770E-A0AC-4E9B-B67F-EE145C82AD02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11</xdr:col>
      <xdr:colOff>83820</xdr:colOff>
      <xdr:row>66</xdr:row>
      <xdr:rowOff>114300</xdr:rowOff>
    </xdr:to>
    <xdr:sp macro="" textlink="">
      <xdr:nvSpPr>
        <xdr:cNvPr id="448" name="Arrow: Down 447">
          <a:extLst>
            <a:ext uri="{FF2B5EF4-FFF2-40B4-BE49-F238E27FC236}">
              <a16:creationId xmlns:a16="http://schemas.microsoft.com/office/drawing/2014/main" id="{BF2CA509-9D5A-49A1-B4B9-DC4592CF677A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66</xdr:row>
      <xdr:rowOff>0</xdr:rowOff>
    </xdr:from>
    <xdr:to>
      <xdr:col>39</xdr:col>
      <xdr:colOff>83820</xdr:colOff>
      <xdr:row>66</xdr:row>
      <xdr:rowOff>114300</xdr:rowOff>
    </xdr:to>
    <xdr:sp macro="" textlink="">
      <xdr:nvSpPr>
        <xdr:cNvPr id="449" name="Arrow: Down 448">
          <a:extLst>
            <a:ext uri="{FF2B5EF4-FFF2-40B4-BE49-F238E27FC236}">
              <a16:creationId xmlns:a16="http://schemas.microsoft.com/office/drawing/2014/main" id="{5D7CF2AF-A8A8-4732-8F1C-D85E7243C395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66</xdr:row>
      <xdr:rowOff>0</xdr:rowOff>
    </xdr:from>
    <xdr:to>
      <xdr:col>60</xdr:col>
      <xdr:colOff>83820</xdr:colOff>
      <xdr:row>66</xdr:row>
      <xdr:rowOff>114300</xdr:rowOff>
    </xdr:to>
    <xdr:sp macro="" textlink="">
      <xdr:nvSpPr>
        <xdr:cNvPr id="450" name="Arrow: Down 449">
          <a:extLst>
            <a:ext uri="{FF2B5EF4-FFF2-40B4-BE49-F238E27FC236}">
              <a16:creationId xmlns:a16="http://schemas.microsoft.com/office/drawing/2014/main" id="{9871A177-BDD8-4096-9729-CDC63BFC20AB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48</xdr:row>
      <xdr:rowOff>0</xdr:rowOff>
    </xdr:from>
    <xdr:to>
      <xdr:col>45</xdr:col>
      <xdr:colOff>83820</xdr:colOff>
      <xdr:row>48</xdr:row>
      <xdr:rowOff>114300</xdr:rowOff>
    </xdr:to>
    <xdr:sp macro="" textlink="">
      <xdr:nvSpPr>
        <xdr:cNvPr id="451" name="Arrow: Down 450">
          <a:extLst>
            <a:ext uri="{FF2B5EF4-FFF2-40B4-BE49-F238E27FC236}">
              <a16:creationId xmlns:a16="http://schemas.microsoft.com/office/drawing/2014/main" id="{CE34968F-B27F-4D25-A5DF-59EC9CB2BC80}"/>
            </a:ext>
          </a:extLst>
        </xdr:cNvPr>
        <xdr:cNvSpPr/>
      </xdr:nvSpPr>
      <xdr:spPr>
        <a:xfrm rot="10800000">
          <a:off x="9928860" y="887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67</xdr:row>
      <xdr:rowOff>0</xdr:rowOff>
    </xdr:from>
    <xdr:to>
      <xdr:col>45</xdr:col>
      <xdr:colOff>83820</xdr:colOff>
      <xdr:row>67</xdr:row>
      <xdr:rowOff>114300</xdr:rowOff>
    </xdr:to>
    <xdr:sp macro="" textlink="">
      <xdr:nvSpPr>
        <xdr:cNvPr id="407" name="Arrow: Down 406">
          <a:extLst>
            <a:ext uri="{FF2B5EF4-FFF2-40B4-BE49-F238E27FC236}">
              <a16:creationId xmlns:a16="http://schemas.microsoft.com/office/drawing/2014/main" id="{D8372406-ACCD-432A-A21F-02F9114707F9}"/>
            </a:ext>
          </a:extLst>
        </xdr:cNvPr>
        <xdr:cNvSpPr/>
      </xdr:nvSpPr>
      <xdr:spPr>
        <a:xfrm rot="10800000">
          <a:off x="9928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67</xdr:row>
      <xdr:rowOff>0</xdr:rowOff>
    </xdr:from>
    <xdr:to>
      <xdr:col>71</xdr:col>
      <xdr:colOff>83820</xdr:colOff>
      <xdr:row>67</xdr:row>
      <xdr:rowOff>114300</xdr:rowOff>
    </xdr:to>
    <xdr:sp macro="" textlink="">
      <xdr:nvSpPr>
        <xdr:cNvPr id="412" name="Arrow: Down 411">
          <a:extLst>
            <a:ext uri="{FF2B5EF4-FFF2-40B4-BE49-F238E27FC236}">
              <a16:creationId xmlns:a16="http://schemas.microsoft.com/office/drawing/2014/main" id="{57F33BFB-3F63-421B-B9A9-4D1EAE71C037}"/>
            </a:ext>
          </a:extLst>
        </xdr:cNvPr>
        <xdr:cNvSpPr/>
      </xdr:nvSpPr>
      <xdr:spPr>
        <a:xfrm>
          <a:off x="1685544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67</xdr:row>
      <xdr:rowOff>0</xdr:rowOff>
    </xdr:from>
    <xdr:to>
      <xdr:col>24</xdr:col>
      <xdr:colOff>83820</xdr:colOff>
      <xdr:row>67</xdr:row>
      <xdr:rowOff>114300</xdr:rowOff>
    </xdr:to>
    <xdr:sp macro="" textlink="">
      <xdr:nvSpPr>
        <xdr:cNvPr id="423" name="Arrow: Down 422">
          <a:extLst>
            <a:ext uri="{FF2B5EF4-FFF2-40B4-BE49-F238E27FC236}">
              <a16:creationId xmlns:a16="http://schemas.microsoft.com/office/drawing/2014/main" id="{14F01D08-7409-4781-AF2E-5E2A68A6146C}"/>
            </a:ext>
          </a:extLst>
        </xdr:cNvPr>
        <xdr:cNvSpPr/>
      </xdr:nvSpPr>
      <xdr:spPr>
        <a:xfrm>
          <a:off x="544068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67</xdr:row>
      <xdr:rowOff>0</xdr:rowOff>
    </xdr:from>
    <xdr:to>
      <xdr:col>5</xdr:col>
      <xdr:colOff>83820</xdr:colOff>
      <xdr:row>67</xdr:row>
      <xdr:rowOff>114300</xdr:rowOff>
    </xdr:to>
    <xdr:sp macro="" textlink="">
      <xdr:nvSpPr>
        <xdr:cNvPr id="431" name="Arrow: Down 430">
          <a:extLst>
            <a:ext uri="{FF2B5EF4-FFF2-40B4-BE49-F238E27FC236}">
              <a16:creationId xmlns:a16="http://schemas.microsoft.com/office/drawing/2014/main" id="{DBDEF530-E683-40B0-8ACC-374DD9D6302B}"/>
            </a:ext>
          </a:extLst>
        </xdr:cNvPr>
        <xdr:cNvSpPr/>
      </xdr:nvSpPr>
      <xdr:spPr>
        <a:xfrm>
          <a:off x="1927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67</xdr:row>
      <xdr:rowOff>0</xdr:rowOff>
    </xdr:from>
    <xdr:to>
      <xdr:col>11</xdr:col>
      <xdr:colOff>83820</xdr:colOff>
      <xdr:row>67</xdr:row>
      <xdr:rowOff>114300</xdr:rowOff>
    </xdr:to>
    <xdr:sp macro="" textlink="">
      <xdr:nvSpPr>
        <xdr:cNvPr id="434" name="Arrow: Down 433">
          <a:extLst>
            <a:ext uri="{FF2B5EF4-FFF2-40B4-BE49-F238E27FC236}">
              <a16:creationId xmlns:a16="http://schemas.microsoft.com/office/drawing/2014/main" id="{FF47FC7A-D813-47A4-AFFC-42C0BF34893A}"/>
            </a:ext>
          </a:extLst>
        </xdr:cNvPr>
        <xdr:cNvSpPr/>
      </xdr:nvSpPr>
      <xdr:spPr>
        <a:xfrm>
          <a:off x="361950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22</xdr:col>
      <xdr:colOff>137160</xdr:colOff>
      <xdr:row>180</xdr:row>
      <xdr:rowOff>99060</xdr:rowOff>
    </xdr:from>
    <xdr:to>
      <xdr:col>22</xdr:col>
      <xdr:colOff>312420</xdr:colOff>
      <xdr:row>181</xdr:row>
      <xdr:rowOff>83820</xdr:rowOff>
    </xdr:to>
    <xdr:sp macro="" textlink="">
      <xdr:nvSpPr>
        <xdr:cNvPr id="2" name="Star: 5 Points 1">
          <a:extLst>
            <a:ext uri="{FF2B5EF4-FFF2-40B4-BE49-F238E27FC236}">
              <a16:creationId xmlns:a16="http://schemas.microsoft.com/office/drawing/2014/main" id="{E6FADA76-17CD-4636-B2C8-AA7C109F8021}"/>
            </a:ext>
          </a:extLst>
        </xdr:cNvPr>
        <xdr:cNvSpPr/>
      </xdr:nvSpPr>
      <xdr:spPr>
        <a:xfrm>
          <a:off x="4846320" y="26906220"/>
          <a:ext cx="175260" cy="18288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525780</xdr:colOff>
      <xdr:row>180</xdr:row>
      <xdr:rowOff>129540</xdr:rowOff>
    </xdr:from>
    <xdr:to>
      <xdr:col>23</xdr:col>
      <xdr:colOff>68580</xdr:colOff>
      <xdr:row>181</xdr:row>
      <xdr:rowOff>114300</xdr:rowOff>
    </xdr:to>
    <xdr:sp macro="" textlink="">
      <xdr:nvSpPr>
        <xdr:cNvPr id="452" name="Star: 5 Points 451">
          <a:extLst>
            <a:ext uri="{FF2B5EF4-FFF2-40B4-BE49-F238E27FC236}">
              <a16:creationId xmlns:a16="http://schemas.microsoft.com/office/drawing/2014/main" id="{E79CDA7A-CAFB-42DE-A34F-5430EACA3314}"/>
            </a:ext>
          </a:extLst>
        </xdr:cNvPr>
        <xdr:cNvSpPr/>
      </xdr:nvSpPr>
      <xdr:spPr>
        <a:xfrm>
          <a:off x="5234940" y="26936700"/>
          <a:ext cx="152400" cy="18288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67</xdr:row>
      <xdr:rowOff>0</xdr:rowOff>
    </xdr:from>
    <xdr:to>
      <xdr:col>39</xdr:col>
      <xdr:colOff>83820</xdr:colOff>
      <xdr:row>67</xdr:row>
      <xdr:rowOff>114300</xdr:rowOff>
    </xdr:to>
    <xdr:sp macro="" textlink="">
      <xdr:nvSpPr>
        <xdr:cNvPr id="453" name="Arrow: Down 452">
          <a:extLst>
            <a:ext uri="{FF2B5EF4-FFF2-40B4-BE49-F238E27FC236}">
              <a16:creationId xmlns:a16="http://schemas.microsoft.com/office/drawing/2014/main" id="{847E0ECD-63B5-4630-9CC6-AFFEEC1CF4F3}"/>
            </a:ext>
          </a:extLst>
        </xdr:cNvPr>
        <xdr:cNvSpPr/>
      </xdr:nvSpPr>
      <xdr:spPr>
        <a:xfrm>
          <a:off x="1141476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67</xdr:row>
      <xdr:rowOff>0</xdr:rowOff>
    </xdr:from>
    <xdr:to>
      <xdr:col>60</xdr:col>
      <xdr:colOff>83820</xdr:colOff>
      <xdr:row>67</xdr:row>
      <xdr:rowOff>114300</xdr:rowOff>
    </xdr:to>
    <xdr:sp macro="" textlink="">
      <xdr:nvSpPr>
        <xdr:cNvPr id="454" name="Arrow: Down 453">
          <a:extLst>
            <a:ext uri="{FF2B5EF4-FFF2-40B4-BE49-F238E27FC236}">
              <a16:creationId xmlns:a16="http://schemas.microsoft.com/office/drawing/2014/main" id="{897F8818-AF94-401F-8BBD-6FF05C6E1E1B}"/>
            </a:ext>
          </a:extLst>
        </xdr:cNvPr>
        <xdr:cNvSpPr/>
      </xdr:nvSpPr>
      <xdr:spPr>
        <a:xfrm rot="10800000">
          <a:off x="1754124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68</xdr:row>
      <xdr:rowOff>0</xdr:rowOff>
    </xdr:from>
    <xdr:to>
      <xdr:col>45</xdr:col>
      <xdr:colOff>83820</xdr:colOff>
      <xdr:row>68</xdr:row>
      <xdr:rowOff>114300</xdr:rowOff>
    </xdr:to>
    <xdr:sp macro="" textlink="">
      <xdr:nvSpPr>
        <xdr:cNvPr id="460" name="Arrow: Down 459">
          <a:extLst>
            <a:ext uri="{FF2B5EF4-FFF2-40B4-BE49-F238E27FC236}">
              <a16:creationId xmlns:a16="http://schemas.microsoft.com/office/drawing/2014/main" id="{C5D511FF-1160-4DA4-B37F-9A5F4487B1A2}"/>
            </a:ext>
          </a:extLst>
        </xdr:cNvPr>
        <xdr:cNvSpPr/>
      </xdr:nvSpPr>
      <xdr:spPr>
        <a:xfrm rot="10800000">
          <a:off x="99517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68</xdr:row>
      <xdr:rowOff>0</xdr:rowOff>
    </xdr:from>
    <xdr:to>
      <xdr:col>71</xdr:col>
      <xdr:colOff>83820</xdr:colOff>
      <xdr:row>68</xdr:row>
      <xdr:rowOff>114300</xdr:rowOff>
    </xdr:to>
    <xdr:sp macro="" textlink="">
      <xdr:nvSpPr>
        <xdr:cNvPr id="461" name="Arrow: Down 460">
          <a:extLst>
            <a:ext uri="{FF2B5EF4-FFF2-40B4-BE49-F238E27FC236}">
              <a16:creationId xmlns:a16="http://schemas.microsoft.com/office/drawing/2014/main" id="{AE945740-62A1-40CB-A695-4C5BD3AD30C9}"/>
            </a:ext>
          </a:extLst>
        </xdr:cNvPr>
        <xdr:cNvSpPr/>
      </xdr:nvSpPr>
      <xdr:spPr>
        <a:xfrm>
          <a:off x="168859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68</xdr:row>
      <xdr:rowOff>0</xdr:rowOff>
    </xdr:from>
    <xdr:to>
      <xdr:col>5</xdr:col>
      <xdr:colOff>83820</xdr:colOff>
      <xdr:row>68</xdr:row>
      <xdr:rowOff>114300</xdr:rowOff>
    </xdr:to>
    <xdr:sp macro="" textlink="">
      <xdr:nvSpPr>
        <xdr:cNvPr id="437" name="Arrow: Down 436">
          <a:extLst>
            <a:ext uri="{FF2B5EF4-FFF2-40B4-BE49-F238E27FC236}">
              <a16:creationId xmlns:a16="http://schemas.microsoft.com/office/drawing/2014/main" id="{FAD3CA58-240C-48F7-B97D-F3B2BAC98B39}"/>
            </a:ext>
          </a:extLst>
        </xdr:cNvPr>
        <xdr:cNvSpPr/>
      </xdr:nvSpPr>
      <xdr:spPr>
        <a:xfrm rot="10800000">
          <a:off x="192786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68</xdr:row>
      <xdr:rowOff>0</xdr:rowOff>
    </xdr:from>
    <xdr:to>
      <xdr:col>11</xdr:col>
      <xdr:colOff>83820</xdr:colOff>
      <xdr:row>68</xdr:row>
      <xdr:rowOff>114300</xdr:rowOff>
    </xdr:to>
    <xdr:sp macro="" textlink="">
      <xdr:nvSpPr>
        <xdr:cNvPr id="443" name="Arrow: Down 442">
          <a:extLst>
            <a:ext uri="{FF2B5EF4-FFF2-40B4-BE49-F238E27FC236}">
              <a16:creationId xmlns:a16="http://schemas.microsoft.com/office/drawing/2014/main" id="{53874F88-2FA5-4247-BA97-9A4B358AB796}"/>
            </a:ext>
          </a:extLst>
        </xdr:cNvPr>
        <xdr:cNvSpPr/>
      </xdr:nvSpPr>
      <xdr:spPr>
        <a:xfrm rot="10800000">
          <a:off x="361950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68</xdr:row>
      <xdr:rowOff>0</xdr:rowOff>
    </xdr:from>
    <xdr:to>
      <xdr:col>24</xdr:col>
      <xdr:colOff>83820</xdr:colOff>
      <xdr:row>68</xdr:row>
      <xdr:rowOff>114300</xdr:rowOff>
    </xdr:to>
    <xdr:sp macro="" textlink="">
      <xdr:nvSpPr>
        <xdr:cNvPr id="456" name="Arrow: Down 455">
          <a:extLst>
            <a:ext uri="{FF2B5EF4-FFF2-40B4-BE49-F238E27FC236}">
              <a16:creationId xmlns:a16="http://schemas.microsoft.com/office/drawing/2014/main" id="{3F0E4451-BFFA-4702-87F9-E39937E77DAC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68</xdr:row>
      <xdr:rowOff>0</xdr:rowOff>
    </xdr:from>
    <xdr:to>
      <xdr:col>39</xdr:col>
      <xdr:colOff>83820</xdr:colOff>
      <xdr:row>68</xdr:row>
      <xdr:rowOff>114300</xdr:rowOff>
    </xdr:to>
    <xdr:sp macro="" textlink="">
      <xdr:nvSpPr>
        <xdr:cNvPr id="458" name="Arrow: Down 457">
          <a:extLst>
            <a:ext uri="{FF2B5EF4-FFF2-40B4-BE49-F238E27FC236}">
              <a16:creationId xmlns:a16="http://schemas.microsoft.com/office/drawing/2014/main" id="{5946D140-C1C1-4C2F-A135-8C75690BC5E4}"/>
            </a:ext>
          </a:extLst>
        </xdr:cNvPr>
        <xdr:cNvSpPr/>
      </xdr:nvSpPr>
      <xdr:spPr>
        <a:xfrm rot="10800000">
          <a:off x="844296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68</xdr:row>
      <xdr:rowOff>0</xdr:rowOff>
    </xdr:from>
    <xdr:to>
      <xdr:col>60</xdr:col>
      <xdr:colOff>83820</xdr:colOff>
      <xdr:row>68</xdr:row>
      <xdr:rowOff>114300</xdr:rowOff>
    </xdr:to>
    <xdr:sp macro="" textlink="">
      <xdr:nvSpPr>
        <xdr:cNvPr id="467" name="Arrow: Down 466">
          <a:extLst>
            <a:ext uri="{FF2B5EF4-FFF2-40B4-BE49-F238E27FC236}">
              <a16:creationId xmlns:a16="http://schemas.microsoft.com/office/drawing/2014/main" id="{0B38FE68-9267-4E10-8D43-FF5962F40EA0}"/>
            </a:ext>
          </a:extLst>
        </xdr:cNvPr>
        <xdr:cNvSpPr/>
      </xdr:nvSpPr>
      <xdr:spPr>
        <a:xfrm>
          <a:off x="1456944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69</xdr:row>
      <xdr:rowOff>0</xdr:rowOff>
    </xdr:from>
    <xdr:to>
      <xdr:col>71</xdr:col>
      <xdr:colOff>83820</xdr:colOff>
      <xdr:row>69</xdr:row>
      <xdr:rowOff>114300</xdr:rowOff>
    </xdr:to>
    <xdr:sp macro="" textlink="">
      <xdr:nvSpPr>
        <xdr:cNvPr id="469" name="Arrow: Down 468">
          <a:extLst>
            <a:ext uri="{FF2B5EF4-FFF2-40B4-BE49-F238E27FC236}">
              <a16:creationId xmlns:a16="http://schemas.microsoft.com/office/drawing/2014/main" id="{A24F7339-190D-40D2-B2BB-B7E80F078BE8}"/>
            </a:ext>
          </a:extLst>
        </xdr:cNvPr>
        <xdr:cNvSpPr/>
      </xdr:nvSpPr>
      <xdr:spPr>
        <a:xfrm>
          <a:off x="1688592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69</xdr:row>
      <xdr:rowOff>0</xdr:rowOff>
    </xdr:from>
    <xdr:to>
      <xdr:col>24</xdr:col>
      <xdr:colOff>83820</xdr:colOff>
      <xdr:row>69</xdr:row>
      <xdr:rowOff>114300</xdr:rowOff>
    </xdr:to>
    <xdr:sp macro="" textlink="">
      <xdr:nvSpPr>
        <xdr:cNvPr id="472" name="Arrow: Down 471">
          <a:extLst>
            <a:ext uri="{FF2B5EF4-FFF2-40B4-BE49-F238E27FC236}">
              <a16:creationId xmlns:a16="http://schemas.microsoft.com/office/drawing/2014/main" id="{5A1DA09E-336A-4C91-A63B-DBE8BD1D0D97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83820</xdr:colOff>
      <xdr:row>69</xdr:row>
      <xdr:rowOff>114300</xdr:rowOff>
    </xdr:to>
    <xdr:sp macro="" textlink="">
      <xdr:nvSpPr>
        <xdr:cNvPr id="476" name="Arrow: Down 475">
          <a:extLst>
            <a:ext uri="{FF2B5EF4-FFF2-40B4-BE49-F238E27FC236}">
              <a16:creationId xmlns:a16="http://schemas.microsoft.com/office/drawing/2014/main" id="{8D839C22-3629-44C1-8D33-A82F9C86A3E0}"/>
            </a:ext>
          </a:extLst>
        </xdr:cNvPr>
        <xdr:cNvSpPr/>
      </xdr:nvSpPr>
      <xdr:spPr>
        <a:xfrm>
          <a:off x="361950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5</xdr:col>
      <xdr:colOff>83820</xdr:colOff>
      <xdr:row>69</xdr:row>
      <xdr:rowOff>114300</xdr:rowOff>
    </xdr:to>
    <xdr:sp macro="" textlink="">
      <xdr:nvSpPr>
        <xdr:cNvPr id="479" name="Arrow: Down 478">
          <a:extLst>
            <a:ext uri="{FF2B5EF4-FFF2-40B4-BE49-F238E27FC236}">
              <a16:creationId xmlns:a16="http://schemas.microsoft.com/office/drawing/2014/main" id="{76C1AE71-8918-4540-A534-E56788E5D3F9}"/>
            </a:ext>
          </a:extLst>
        </xdr:cNvPr>
        <xdr:cNvSpPr/>
      </xdr:nvSpPr>
      <xdr:spPr>
        <a:xfrm>
          <a:off x="192786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69</xdr:row>
      <xdr:rowOff>0</xdr:rowOff>
    </xdr:from>
    <xdr:to>
      <xdr:col>39</xdr:col>
      <xdr:colOff>83820</xdr:colOff>
      <xdr:row>69</xdr:row>
      <xdr:rowOff>114300</xdr:rowOff>
    </xdr:to>
    <xdr:sp macro="" textlink="">
      <xdr:nvSpPr>
        <xdr:cNvPr id="481" name="Arrow: Down 480">
          <a:extLst>
            <a:ext uri="{FF2B5EF4-FFF2-40B4-BE49-F238E27FC236}">
              <a16:creationId xmlns:a16="http://schemas.microsoft.com/office/drawing/2014/main" id="{7DED5F41-50FA-4EA4-811E-5D6AA508AAC9}"/>
            </a:ext>
          </a:extLst>
        </xdr:cNvPr>
        <xdr:cNvSpPr/>
      </xdr:nvSpPr>
      <xdr:spPr>
        <a:xfrm>
          <a:off x="844296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69</xdr:row>
      <xdr:rowOff>0</xdr:rowOff>
    </xdr:from>
    <xdr:to>
      <xdr:col>60</xdr:col>
      <xdr:colOff>83820</xdr:colOff>
      <xdr:row>69</xdr:row>
      <xdr:rowOff>114300</xdr:rowOff>
    </xdr:to>
    <xdr:sp macro="" textlink="">
      <xdr:nvSpPr>
        <xdr:cNvPr id="483" name="Arrow: Down 482">
          <a:extLst>
            <a:ext uri="{FF2B5EF4-FFF2-40B4-BE49-F238E27FC236}">
              <a16:creationId xmlns:a16="http://schemas.microsoft.com/office/drawing/2014/main" id="{58878D9A-0B5D-4B3F-BDDF-9871B84A7F10}"/>
            </a:ext>
          </a:extLst>
        </xdr:cNvPr>
        <xdr:cNvSpPr/>
      </xdr:nvSpPr>
      <xdr:spPr>
        <a:xfrm rot="10800000">
          <a:off x="1456944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69</xdr:row>
      <xdr:rowOff>0</xdr:rowOff>
    </xdr:from>
    <xdr:to>
      <xdr:col>46</xdr:col>
      <xdr:colOff>7620</xdr:colOff>
      <xdr:row>69</xdr:row>
      <xdr:rowOff>99060</xdr:rowOff>
    </xdr:to>
    <xdr:sp macro="" textlink="">
      <xdr:nvSpPr>
        <xdr:cNvPr id="485" name="Minus Sign 484">
          <a:extLst>
            <a:ext uri="{FF2B5EF4-FFF2-40B4-BE49-F238E27FC236}">
              <a16:creationId xmlns:a16="http://schemas.microsoft.com/office/drawing/2014/main" id="{A0B1D3C7-CC0E-4DB3-9E57-0C4458B77627}"/>
            </a:ext>
          </a:extLst>
        </xdr:cNvPr>
        <xdr:cNvSpPr/>
      </xdr:nvSpPr>
      <xdr:spPr>
        <a:xfrm>
          <a:off x="9951720" y="127177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71</xdr:col>
      <xdr:colOff>0</xdr:colOff>
      <xdr:row>70</xdr:row>
      <xdr:rowOff>0</xdr:rowOff>
    </xdr:from>
    <xdr:to>
      <xdr:col>71</xdr:col>
      <xdr:colOff>83820</xdr:colOff>
      <xdr:row>70</xdr:row>
      <xdr:rowOff>114300</xdr:rowOff>
    </xdr:to>
    <xdr:sp macro="" textlink="">
      <xdr:nvSpPr>
        <xdr:cNvPr id="466" name="Arrow: Down 465">
          <a:extLst>
            <a:ext uri="{FF2B5EF4-FFF2-40B4-BE49-F238E27FC236}">
              <a16:creationId xmlns:a16="http://schemas.microsoft.com/office/drawing/2014/main" id="{01F856B5-8C5B-4787-A67A-A5D4857D7F20}"/>
            </a:ext>
          </a:extLst>
        </xdr:cNvPr>
        <xdr:cNvSpPr/>
      </xdr:nvSpPr>
      <xdr:spPr>
        <a:xfrm>
          <a:off x="1688592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70</xdr:row>
      <xdr:rowOff>0</xdr:rowOff>
    </xdr:from>
    <xdr:to>
      <xdr:col>24</xdr:col>
      <xdr:colOff>83820</xdr:colOff>
      <xdr:row>70</xdr:row>
      <xdr:rowOff>114300</xdr:rowOff>
    </xdr:to>
    <xdr:sp macro="" textlink="">
      <xdr:nvSpPr>
        <xdr:cNvPr id="457" name="Arrow: Down 456">
          <a:extLst>
            <a:ext uri="{FF2B5EF4-FFF2-40B4-BE49-F238E27FC236}">
              <a16:creationId xmlns:a16="http://schemas.microsoft.com/office/drawing/2014/main" id="{22A68F4F-EB67-4276-B7A0-36931587CDE3}"/>
            </a:ext>
          </a:extLst>
        </xdr:cNvPr>
        <xdr:cNvSpPr/>
      </xdr:nvSpPr>
      <xdr:spPr>
        <a:xfrm>
          <a:off x="544068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70</xdr:row>
      <xdr:rowOff>0</xdr:rowOff>
    </xdr:from>
    <xdr:to>
      <xdr:col>39</xdr:col>
      <xdr:colOff>83820</xdr:colOff>
      <xdr:row>70</xdr:row>
      <xdr:rowOff>114300</xdr:rowOff>
    </xdr:to>
    <xdr:sp macro="" textlink="">
      <xdr:nvSpPr>
        <xdr:cNvPr id="462" name="Arrow: Down 461">
          <a:extLst>
            <a:ext uri="{FF2B5EF4-FFF2-40B4-BE49-F238E27FC236}">
              <a16:creationId xmlns:a16="http://schemas.microsoft.com/office/drawing/2014/main" id="{AFD0079F-1889-4350-B1A1-7C8E6475FDAA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70</xdr:row>
      <xdr:rowOff>0</xdr:rowOff>
    </xdr:from>
    <xdr:to>
      <xdr:col>45</xdr:col>
      <xdr:colOff>83820</xdr:colOff>
      <xdr:row>70</xdr:row>
      <xdr:rowOff>114300</xdr:rowOff>
    </xdr:to>
    <xdr:sp macro="" textlink="">
      <xdr:nvSpPr>
        <xdr:cNvPr id="463" name="Arrow: Down 462">
          <a:extLst>
            <a:ext uri="{FF2B5EF4-FFF2-40B4-BE49-F238E27FC236}">
              <a16:creationId xmlns:a16="http://schemas.microsoft.com/office/drawing/2014/main" id="{7B69D279-7D67-4697-9A93-DFC833F1A01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70</xdr:row>
      <xdr:rowOff>0</xdr:rowOff>
    </xdr:from>
    <xdr:to>
      <xdr:col>60</xdr:col>
      <xdr:colOff>83820</xdr:colOff>
      <xdr:row>70</xdr:row>
      <xdr:rowOff>114300</xdr:rowOff>
    </xdr:to>
    <xdr:sp macro="" textlink="">
      <xdr:nvSpPr>
        <xdr:cNvPr id="465" name="Arrow: Down 464">
          <a:extLst>
            <a:ext uri="{FF2B5EF4-FFF2-40B4-BE49-F238E27FC236}">
              <a16:creationId xmlns:a16="http://schemas.microsoft.com/office/drawing/2014/main" id="{16A387A1-43E2-4C6C-97BD-87CDC195F3AC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5</xdr:col>
      <xdr:colOff>83820</xdr:colOff>
      <xdr:row>70</xdr:row>
      <xdr:rowOff>114300</xdr:rowOff>
    </xdr:to>
    <xdr:sp macro="" textlink="">
      <xdr:nvSpPr>
        <xdr:cNvPr id="475" name="Arrow: Down 474">
          <a:extLst>
            <a:ext uri="{FF2B5EF4-FFF2-40B4-BE49-F238E27FC236}">
              <a16:creationId xmlns:a16="http://schemas.microsoft.com/office/drawing/2014/main" id="{E2F1BF9C-1499-41A4-9721-721AF4A1C093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11</xdr:col>
      <xdr:colOff>83820</xdr:colOff>
      <xdr:row>70</xdr:row>
      <xdr:rowOff>114300</xdr:rowOff>
    </xdr:to>
    <xdr:sp macro="" textlink="">
      <xdr:nvSpPr>
        <xdr:cNvPr id="478" name="Arrow: Down 477">
          <a:extLst>
            <a:ext uri="{FF2B5EF4-FFF2-40B4-BE49-F238E27FC236}">
              <a16:creationId xmlns:a16="http://schemas.microsoft.com/office/drawing/2014/main" id="{BB4E0999-8A20-4CA5-A729-F0F0AD3AA488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71</xdr:row>
      <xdr:rowOff>0</xdr:rowOff>
    </xdr:from>
    <xdr:to>
      <xdr:col>71</xdr:col>
      <xdr:colOff>83820</xdr:colOff>
      <xdr:row>71</xdr:row>
      <xdr:rowOff>114300</xdr:rowOff>
    </xdr:to>
    <xdr:sp macro="" textlink="">
      <xdr:nvSpPr>
        <xdr:cNvPr id="490" name="Arrow: Down 489">
          <a:extLst>
            <a:ext uri="{FF2B5EF4-FFF2-40B4-BE49-F238E27FC236}">
              <a16:creationId xmlns:a16="http://schemas.microsoft.com/office/drawing/2014/main" id="{93473CC1-E656-4B5D-B172-52C69BF8B1FF}"/>
            </a:ext>
          </a:extLst>
        </xdr:cNvPr>
        <xdr:cNvSpPr/>
      </xdr:nvSpPr>
      <xdr:spPr>
        <a:xfrm>
          <a:off x="168859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71</xdr:row>
      <xdr:rowOff>0</xdr:rowOff>
    </xdr:from>
    <xdr:to>
      <xdr:col>39</xdr:col>
      <xdr:colOff>83820</xdr:colOff>
      <xdr:row>71</xdr:row>
      <xdr:rowOff>114300</xdr:rowOff>
    </xdr:to>
    <xdr:sp macro="" textlink="">
      <xdr:nvSpPr>
        <xdr:cNvPr id="492" name="Arrow: Down 491">
          <a:extLst>
            <a:ext uri="{FF2B5EF4-FFF2-40B4-BE49-F238E27FC236}">
              <a16:creationId xmlns:a16="http://schemas.microsoft.com/office/drawing/2014/main" id="{22DC44A3-6785-431A-9FBD-A59CD71AF410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71</xdr:row>
      <xdr:rowOff>0</xdr:rowOff>
    </xdr:from>
    <xdr:to>
      <xdr:col>45</xdr:col>
      <xdr:colOff>83820</xdr:colOff>
      <xdr:row>71</xdr:row>
      <xdr:rowOff>114300</xdr:rowOff>
    </xdr:to>
    <xdr:sp macro="" textlink="">
      <xdr:nvSpPr>
        <xdr:cNvPr id="493" name="Arrow: Down 492">
          <a:extLst>
            <a:ext uri="{FF2B5EF4-FFF2-40B4-BE49-F238E27FC236}">
              <a16:creationId xmlns:a16="http://schemas.microsoft.com/office/drawing/2014/main" id="{CEED763D-4988-45DB-A51F-166A8F176CF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71</xdr:row>
      <xdr:rowOff>0</xdr:rowOff>
    </xdr:from>
    <xdr:to>
      <xdr:col>60</xdr:col>
      <xdr:colOff>83820</xdr:colOff>
      <xdr:row>71</xdr:row>
      <xdr:rowOff>114300</xdr:rowOff>
    </xdr:to>
    <xdr:sp macro="" textlink="">
      <xdr:nvSpPr>
        <xdr:cNvPr id="494" name="Arrow: Down 493">
          <a:extLst>
            <a:ext uri="{FF2B5EF4-FFF2-40B4-BE49-F238E27FC236}">
              <a16:creationId xmlns:a16="http://schemas.microsoft.com/office/drawing/2014/main" id="{6055176D-6257-44AE-BC97-985D5EF96C1D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71</xdr:row>
      <xdr:rowOff>0</xdr:rowOff>
    </xdr:from>
    <xdr:to>
      <xdr:col>5</xdr:col>
      <xdr:colOff>83820</xdr:colOff>
      <xdr:row>71</xdr:row>
      <xdr:rowOff>114300</xdr:rowOff>
    </xdr:to>
    <xdr:sp macro="" textlink="">
      <xdr:nvSpPr>
        <xdr:cNvPr id="495" name="Arrow: Down 494">
          <a:extLst>
            <a:ext uri="{FF2B5EF4-FFF2-40B4-BE49-F238E27FC236}">
              <a16:creationId xmlns:a16="http://schemas.microsoft.com/office/drawing/2014/main" id="{A4F607D9-966E-4CA8-9A3E-0C45F961326A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71</xdr:row>
      <xdr:rowOff>0</xdr:rowOff>
    </xdr:from>
    <xdr:to>
      <xdr:col>11</xdr:col>
      <xdr:colOff>83820</xdr:colOff>
      <xdr:row>71</xdr:row>
      <xdr:rowOff>114300</xdr:rowOff>
    </xdr:to>
    <xdr:sp macro="" textlink="">
      <xdr:nvSpPr>
        <xdr:cNvPr id="496" name="Arrow: Down 495">
          <a:extLst>
            <a:ext uri="{FF2B5EF4-FFF2-40B4-BE49-F238E27FC236}">
              <a16:creationId xmlns:a16="http://schemas.microsoft.com/office/drawing/2014/main" id="{DACE3D76-B45E-4DF3-B11C-7D64FC9EB3CF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71</xdr:row>
      <xdr:rowOff>0</xdr:rowOff>
    </xdr:from>
    <xdr:to>
      <xdr:col>24</xdr:col>
      <xdr:colOff>83820</xdr:colOff>
      <xdr:row>71</xdr:row>
      <xdr:rowOff>114300</xdr:rowOff>
    </xdr:to>
    <xdr:sp macro="" textlink="">
      <xdr:nvSpPr>
        <xdr:cNvPr id="498" name="Arrow: Down 497">
          <a:extLst>
            <a:ext uri="{FF2B5EF4-FFF2-40B4-BE49-F238E27FC236}">
              <a16:creationId xmlns:a16="http://schemas.microsoft.com/office/drawing/2014/main" id="{1BF5EF02-395D-4781-9834-2CDC67FA65D6}"/>
            </a:ext>
          </a:extLst>
        </xdr:cNvPr>
        <xdr:cNvSpPr/>
      </xdr:nvSpPr>
      <xdr:spPr>
        <a:xfrm rot="10800000">
          <a:off x="5440680" y="1308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72</xdr:row>
      <xdr:rowOff>0</xdr:rowOff>
    </xdr:from>
    <xdr:to>
      <xdr:col>71</xdr:col>
      <xdr:colOff>83820</xdr:colOff>
      <xdr:row>72</xdr:row>
      <xdr:rowOff>114300</xdr:rowOff>
    </xdr:to>
    <xdr:sp macro="" textlink="">
      <xdr:nvSpPr>
        <xdr:cNvPr id="474" name="Arrow: Down 473">
          <a:extLst>
            <a:ext uri="{FF2B5EF4-FFF2-40B4-BE49-F238E27FC236}">
              <a16:creationId xmlns:a16="http://schemas.microsoft.com/office/drawing/2014/main" id="{6B189826-EB1D-42CE-AB44-3A925F8A3C1A}"/>
            </a:ext>
          </a:extLst>
        </xdr:cNvPr>
        <xdr:cNvSpPr/>
      </xdr:nvSpPr>
      <xdr:spPr>
        <a:xfrm>
          <a:off x="168859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72</xdr:row>
      <xdr:rowOff>0</xdr:rowOff>
    </xdr:from>
    <xdr:to>
      <xdr:col>39</xdr:col>
      <xdr:colOff>83820</xdr:colOff>
      <xdr:row>72</xdr:row>
      <xdr:rowOff>114300</xdr:rowOff>
    </xdr:to>
    <xdr:sp macro="" textlink="">
      <xdr:nvSpPr>
        <xdr:cNvPr id="477" name="Arrow: Down 476">
          <a:extLst>
            <a:ext uri="{FF2B5EF4-FFF2-40B4-BE49-F238E27FC236}">
              <a16:creationId xmlns:a16="http://schemas.microsoft.com/office/drawing/2014/main" id="{9E5B158C-3814-4386-BA21-2DE8F21CBB67}"/>
            </a:ext>
          </a:extLst>
        </xdr:cNvPr>
        <xdr:cNvSpPr/>
      </xdr:nvSpPr>
      <xdr:spPr>
        <a:xfrm rot="10800000">
          <a:off x="844296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72</xdr:row>
      <xdr:rowOff>0</xdr:rowOff>
    </xdr:from>
    <xdr:to>
      <xdr:col>45</xdr:col>
      <xdr:colOff>83820</xdr:colOff>
      <xdr:row>72</xdr:row>
      <xdr:rowOff>114300</xdr:rowOff>
    </xdr:to>
    <xdr:sp macro="" textlink="">
      <xdr:nvSpPr>
        <xdr:cNvPr id="480" name="Arrow: Down 479">
          <a:extLst>
            <a:ext uri="{FF2B5EF4-FFF2-40B4-BE49-F238E27FC236}">
              <a16:creationId xmlns:a16="http://schemas.microsoft.com/office/drawing/2014/main" id="{4EF32D32-86B1-4F9A-BAF3-3FF3ED5ECFE5}"/>
            </a:ext>
          </a:extLst>
        </xdr:cNvPr>
        <xdr:cNvSpPr/>
      </xdr:nvSpPr>
      <xdr:spPr>
        <a:xfrm rot="10800000">
          <a:off x="99517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72</xdr:row>
      <xdr:rowOff>0</xdr:rowOff>
    </xdr:from>
    <xdr:to>
      <xdr:col>60</xdr:col>
      <xdr:colOff>83820</xdr:colOff>
      <xdr:row>72</xdr:row>
      <xdr:rowOff>114300</xdr:rowOff>
    </xdr:to>
    <xdr:sp macro="" textlink="">
      <xdr:nvSpPr>
        <xdr:cNvPr id="482" name="Arrow: Down 481">
          <a:extLst>
            <a:ext uri="{FF2B5EF4-FFF2-40B4-BE49-F238E27FC236}">
              <a16:creationId xmlns:a16="http://schemas.microsoft.com/office/drawing/2014/main" id="{58DDC545-59B2-4343-BBBF-918D236481F9}"/>
            </a:ext>
          </a:extLst>
        </xdr:cNvPr>
        <xdr:cNvSpPr/>
      </xdr:nvSpPr>
      <xdr:spPr>
        <a:xfrm>
          <a:off x="1456944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72</xdr:row>
      <xdr:rowOff>0</xdr:rowOff>
    </xdr:from>
    <xdr:to>
      <xdr:col>24</xdr:col>
      <xdr:colOff>83820</xdr:colOff>
      <xdr:row>72</xdr:row>
      <xdr:rowOff>114300</xdr:rowOff>
    </xdr:to>
    <xdr:sp macro="" textlink="">
      <xdr:nvSpPr>
        <xdr:cNvPr id="491" name="Arrow: Down 490">
          <a:extLst>
            <a:ext uri="{FF2B5EF4-FFF2-40B4-BE49-F238E27FC236}">
              <a16:creationId xmlns:a16="http://schemas.microsoft.com/office/drawing/2014/main" id="{E48DDD60-D186-4E53-9E9F-B1E4504A3531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72</xdr:row>
      <xdr:rowOff>0</xdr:rowOff>
    </xdr:from>
    <xdr:to>
      <xdr:col>5</xdr:col>
      <xdr:colOff>83820</xdr:colOff>
      <xdr:row>72</xdr:row>
      <xdr:rowOff>114300</xdr:rowOff>
    </xdr:to>
    <xdr:sp macro="" textlink="">
      <xdr:nvSpPr>
        <xdr:cNvPr id="497" name="Arrow: Down 496">
          <a:extLst>
            <a:ext uri="{FF2B5EF4-FFF2-40B4-BE49-F238E27FC236}">
              <a16:creationId xmlns:a16="http://schemas.microsoft.com/office/drawing/2014/main" id="{0DFDE999-B868-4AAF-A578-2911E192D0C9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72</xdr:row>
      <xdr:rowOff>0</xdr:rowOff>
    </xdr:from>
    <xdr:to>
      <xdr:col>11</xdr:col>
      <xdr:colOff>83820</xdr:colOff>
      <xdr:row>72</xdr:row>
      <xdr:rowOff>114300</xdr:rowOff>
    </xdr:to>
    <xdr:sp macro="" textlink="">
      <xdr:nvSpPr>
        <xdr:cNvPr id="500" name="Arrow: Down 499">
          <a:extLst>
            <a:ext uri="{FF2B5EF4-FFF2-40B4-BE49-F238E27FC236}">
              <a16:creationId xmlns:a16="http://schemas.microsoft.com/office/drawing/2014/main" id="{2ABA6FFC-9934-475F-BCC0-DF48A4338BB6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73</xdr:row>
      <xdr:rowOff>0</xdr:rowOff>
    </xdr:from>
    <xdr:to>
      <xdr:col>71</xdr:col>
      <xdr:colOff>83820</xdr:colOff>
      <xdr:row>73</xdr:row>
      <xdr:rowOff>114300</xdr:rowOff>
    </xdr:to>
    <xdr:sp macro="" textlink="">
      <xdr:nvSpPr>
        <xdr:cNvPr id="484" name="Arrow: Down 483">
          <a:extLst>
            <a:ext uri="{FF2B5EF4-FFF2-40B4-BE49-F238E27FC236}">
              <a16:creationId xmlns:a16="http://schemas.microsoft.com/office/drawing/2014/main" id="{32E638A4-B3EB-4627-ACE1-F25AED5D7411}"/>
            </a:ext>
          </a:extLst>
        </xdr:cNvPr>
        <xdr:cNvSpPr/>
      </xdr:nvSpPr>
      <xdr:spPr>
        <a:xfrm>
          <a:off x="168859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73</xdr:row>
      <xdr:rowOff>0</xdr:rowOff>
    </xdr:from>
    <xdr:to>
      <xdr:col>45</xdr:col>
      <xdr:colOff>83820</xdr:colOff>
      <xdr:row>73</xdr:row>
      <xdr:rowOff>114300</xdr:rowOff>
    </xdr:to>
    <xdr:sp macro="" textlink="">
      <xdr:nvSpPr>
        <xdr:cNvPr id="487" name="Arrow: Down 486">
          <a:extLst>
            <a:ext uri="{FF2B5EF4-FFF2-40B4-BE49-F238E27FC236}">
              <a16:creationId xmlns:a16="http://schemas.microsoft.com/office/drawing/2014/main" id="{7AD0A002-AC1A-4895-A739-2D6731C71C76}"/>
            </a:ext>
          </a:extLst>
        </xdr:cNvPr>
        <xdr:cNvSpPr/>
      </xdr:nvSpPr>
      <xdr:spPr>
        <a:xfrm rot="10800000">
          <a:off x="99517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73</xdr:row>
      <xdr:rowOff>0</xdr:rowOff>
    </xdr:from>
    <xdr:to>
      <xdr:col>60</xdr:col>
      <xdr:colOff>83820</xdr:colOff>
      <xdr:row>73</xdr:row>
      <xdr:rowOff>114300</xdr:rowOff>
    </xdr:to>
    <xdr:sp macro="" textlink="">
      <xdr:nvSpPr>
        <xdr:cNvPr id="488" name="Arrow: Down 487">
          <a:extLst>
            <a:ext uri="{FF2B5EF4-FFF2-40B4-BE49-F238E27FC236}">
              <a16:creationId xmlns:a16="http://schemas.microsoft.com/office/drawing/2014/main" id="{1CB59807-C487-4296-B1C1-A80944CBE0D7}"/>
            </a:ext>
          </a:extLst>
        </xdr:cNvPr>
        <xdr:cNvSpPr/>
      </xdr:nvSpPr>
      <xdr:spPr>
        <a:xfrm>
          <a:off x="1456944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73</xdr:row>
      <xdr:rowOff>0</xdr:rowOff>
    </xdr:from>
    <xdr:to>
      <xdr:col>24</xdr:col>
      <xdr:colOff>83820</xdr:colOff>
      <xdr:row>73</xdr:row>
      <xdr:rowOff>114300</xdr:rowOff>
    </xdr:to>
    <xdr:sp macro="" textlink="">
      <xdr:nvSpPr>
        <xdr:cNvPr id="489" name="Arrow: Down 488">
          <a:extLst>
            <a:ext uri="{FF2B5EF4-FFF2-40B4-BE49-F238E27FC236}">
              <a16:creationId xmlns:a16="http://schemas.microsoft.com/office/drawing/2014/main" id="{4F84B8D5-0440-4DBE-A7D5-93D973BFF9D2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73</xdr:row>
      <xdr:rowOff>0</xdr:rowOff>
    </xdr:from>
    <xdr:to>
      <xdr:col>5</xdr:col>
      <xdr:colOff>83820</xdr:colOff>
      <xdr:row>73</xdr:row>
      <xdr:rowOff>114300</xdr:rowOff>
    </xdr:to>
    <xdr:sp macro="" textlink="">
      <xdr:nvSpPr>
        <xdr:cNvPr id="499" name="Arrow: Down 498">
          <a:extLst>
            <a:ext uri="{FF2B5EF4-FFF2-40B4-BE49-F238E27FC236}">
              <a16:creationId xmlns:a16="http://schemas.microsoft.com/office/drawing/2014/main" id="{6B533E18-1604-4EBC-9B1A-A1DF4C23ACD3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73</xdr:row>
      <xdr:rowOff>0</xdr:rowOff>
    </xdr:from>
    <xdr:to>
      <xdr:col>11</xdr:col>
      <xdr:colOff>83820</xdr:colOff>
      <xdr:row>73</xdr:row>
      <xdr:rowOff>114300</xdr:rowOff>
    </xdr:to>
    <xdr:sp macro="" textlink="">
      <xdr:nvSpPr>
        <xdr:cNvPr id="501" name="Arrow: Down 500">
          <a:extLst>
            <a:ext uri="{FF2B5EF4-FFF2-40B4-BE49-F238E27FC236}">
              <a16:creationId xmlns:a16="http://schemas.microsoft.com/office/drawing/2014/main" id="{A17543A9-3EC4-4638-9070-87884605E9F9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73</xdr:row>
      <xdr:rowOff>0</xdr:rowOff>
    </xdr:from>
    <xdr:to>
      <xdr:col>39</xdr:col>
      <xdr:colOff>83820</xdr:colOff>
      <xdr:row>73</xdr:row>
      <xdr:rowOff>114300</xdr:rowOff>
    </xdr:to>
    <xdr:sp macro="" textlink="">
      <xdr:nvSpPr>
        <xdr:cNvPr id="503" name="Arrow: Down 502">
          <a:extLst>
            <a:ext uri="{FF2B5EF4-FFF2-40B4-BE49-F238E27FC236}">
              <a16:creationId xmlns:a16="http://schemas.microsoft.com/office/drawing/2014/main" id="{C5B73AE7-4517-460F-8946-2D59249A4870}"/>
            </a:ext>
          </a:extLst>
        </xdr:cNvPr>
        <xdr:cNvSpPr/>
      </xdr:nvSpPr>
      <xdr:spPr>
        <a:xfrm>
          <a:off x="844296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74</xdr:row>
      <xdr:rowOff>0</xdr:rowOff>
    </xdr:from>
    <xdr:to>
      <xdr:col>71</xdr:col>
      <xdr:colOff>83820</xdr:colOff>
      <xdr:row>74</xdr:row>
      <xdr:rowOff>114300</xdr:rowOff>
    </xdr:to>
    <xdr:sp macro="" textlink="">
      <xdr:nvSpPr>
        <xdr:cNvPr id="455" name="Arrow: Down 454">
          <a:extLst>
            <a:ext uri="{FF2B5EF4-FFF2-40B4-BE49-F238E27FC236}">
              <a16:creationId xmlns:a16="http://schemas.microsoft.com/office/drawing/2014/main" id="{C137B2F5-63C8-474B-B7DE-ECA69C2A2B40}"/>
            </a:ext>
          </a:extLst>
        </xdr:cNvPr>
        <xdr:cNvSpPr/>
      </xdr:nvSpPr>
      <xdr:spPr>
        <a:xfrm>
          <a:off x="1854708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74</xdr:row>
      <xdr:rowOff>0</xdr:rowOff>
    </xdr:from>
    <xdr:to>
      <xdr:col>24</xdr:col>
      <xdr:colOff>83820</xdr:colOff>
      <xdr:row>74</xdr:row>
      <xdr:rowOff>114300</xdr:rowOff>
    </xdr:to>
    <xdr:sp macro="" textlink="">
      <xdr:nvSpPr>
        <xdr:cNvPr id="468" name="Arrow: Down 467">
          <a:extLst>
            <a:ext uri="{FF2B5EF4-FFF2-40B4-BE49-F238E27FC236}">
              <a16:creationId xmlns:a16="http://schemas.microsoft.com/office/drawing/2014/main" id="{39772F6C-8A3B-49FA-8C3A-91103C9A7A8F}"/>
            </a:ext>
          </a:extLst>
        </xdr:cNvPr>
        <xdr:cNvSpPr/>
      </xdr:nvSpPr>
      <xdr:spPr>
        <a:xfrm>
          <a:off x="710184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83820</xdr:colOff>
      <xdr:row>74</xdr:row>
      <xdr:rowOff>114300</xdr:rowOff>
    </xdr:to>
    <xdr:sp macro="" textlink="">
      <xdr:nvSpPr>
        <xdr:cNvPr id="470" name="Arrow: Down 469">
          <a:extLst>
            <a:ext uri="{FF2B5EF4-FFF2-40B4-BE49-F238E27FC236}">
              <a16:creationId xmlns:a16="http://schemas.microsoft.com/office/drawing/2014/main" id="{893DEECC-9481-4F80-BB3C-B2A9950D43B5}"/>
            </a:ext>
          </a:extLst>
        </xdr:cNvPr>
        <xdr:cNvSpPr/>
      </xdr:nvSpPr>
      <xdr:spPr>
        <a:xfrm>
          <a:off x="192786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74</xdr:row>
      <xdr:rowOff>0</xdr:rowOff>
    </xdr:from>
    <xdr:to>
      <xdr:col>11</xdr:col>
      <xdr:colOff>83820</xdr:colOff>
      <xdr:row>74</xdr:row>
      <xdr:rowOff>114300</xdr:rowOff>
    </xdr:to>
    <xdr:sp macro="" textlink="">
      <xdr:nvSpPr>
        <xdr:cNvPr id="471" name="Arrow: Down 470">
          <a:extLst>
            <a:ext uri="{FF2B5EF4-FFF2-40B4-BE49-F238E27FC236}">
              <a16:creationId xmlns:a16="http://schemas.microsoft.com/office/drawing/2014/main" id="{919CBD04-F94A-4BD1-905E-97A401C04988}"/>
            </a:ext>
          </a:extLst>
        </xdr:cNvPr>
        <xdr:cNvSpPr/>
      </xdr:nvSpPr>
      <xdr:spPr>
        <a:xfrm>
          <a:off x="3619500" y="134493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74</xdr:row>
      <xdr:rowOff>0</xdr:rowOff>
    </xdr:from>
    <xdr:to>
      <xdr:col>39</xdr:col>
      <xdr:colOff>83820</xdr:colOff>
      <xdr:row>74</xdr:row>
      <xdr:rowOff>114300</xdr:rowOff>
    </xdr:to>
    <xdr:sp macro="" textlink="">
      <xdr:nvSpPr>
        <xdr:cNvPr id="473" name="Arrow: Down 472">
          <a:extLst>
            <a:ext uri="{FF2B5EF4-FFF2-40B4-BE49-F238E27FC236}">
              <a16:creationId xmlns:a16="http://schemas.microsoft.com/office/drawing/2014/main" id="{23F2599F-E7C5-4B25-AD7A-577EFC19E012}"/>
            </a:ext>
          </a:extLst>
        </xdr:cNvPr>
        <xdr:cNvSpPr/>
      </xdr:nvSpPr>
      <xdr:spPr>
        <a:xfrm>
          <a:off x="1010412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77</xdr:col>
      <xdr:colOff>0</xdr:colOff>
      <xdr:row>8</xdr:row>
      <xdr:rowOff>38100</xdr:rowOff>
    </xdr:from>
    <xdr:to>
      <xdr:col>88</xdr:col>
      <xdr:colOff>274320</xdr:colOff>
      <xdr:row>26</xdr:row>
      <xdr:rowOff>22860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94AEB37-4356-482D-8011-BAFDAAD905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80</xdr:col>
      <xdr:colOff>91440</xdr:colOff>
      <xdr:row>26</xdr:row>
      <xdr:rowOff>160020</xdr:rowOff>
    </xdr:from>
    <xdr:to>
      <xdr:col>90</xdr:col>
      <xdr:colOff>144780</xdr:colOff>
      <xdr:row>44</xdr:row>
      <xdr:rowOff>106680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EE80E16-783A-47AF-8FC2-D755C3AD5A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80</xdr:col>
      <xdr:colOff>472440</xdr:colOff>
      <xdr:row>5</xdr:row>
      <xdr:rowOff>60960</xdr:rowOff>
    </xdr:from>
    <xdr:to>
      <xdr:col>91</xdr:col>
      <xdr:colOff>38100</xdr:colOff>
      <xdr:row>23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F9C9EA0-B665-4656-B9C2-9B038BCCD3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45</xdr:col>
      <xdr:colOff>0</xdr:colOff>
      <xdr:row>74</xdr:row>
      <xdr:rowOff>0</xdr:rowOff>
    </xdr:from>
    <xdr:to>
      <xdr:col>45</xdr:col>
      <xdr:colOff>83820</xdr:colOff>
      <xdr:row>74</xdr:row>
      <xdr:rowOff>114300</xdr:rowOff>
    </xdr:to>
    <xdr:sp macro="" textlink="">
      <xdr:nvSpPr>
        <xdr:cNvPr id="486" name="Arrow: Down 485">
          <a:extLst>
            <a:ext uri="{FF2B5EF4-FFF2-40B4-BE49-F238E27FC236}">
              <a16:creationId xmlns:a16="http://schemas.microsoft.com/office/drawing/2014/main" id="{9056D1D5-D10C-45DD-8E65-963C8E8ABAEE}"/>
            </a:ext>
          </a:extLst>
        </xdr:cNvPr>
        <xdr:cNvSpPr/>
      </xdr:nvSpPr>
      <xdr:spPr>
        <a:xfrm>
          <a:off x="1292352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74</xdr:row>
      <xdr:rowOff>0</xdr:rowOff>
    </xdr:from>
    <xdr:to>
      <xdr:col>60</xdr:col>
      <xdr:colOff>83820</xdr:colOff>
      <xdr:row>74</xdr:row>
      <xdr:rowOff>114300</xdr:rowOff>
    </xdr:to>
    <xdr:sp macro="" textlink="">
      <xdr:nvSpPr>
        <xdr:cNvPr id="502" name="Arrow: Down 501">
          <a:extLst>
            <a:ext uri="{FF2B5EF4-FFF2-40B4-BE49-F238E27FC236}">
              <a16:creationId xmlns:a16="http://schemas.microsoft.com/office/drawing/2014/main" id="{411C7F3B-AE8B-4337-990B-B161DCF6E4B1}"/>
            </a:ext>
          </a:extLst>
        </xdr:cNvPr>
        <xdr:cNvSpPr/>
      </xdr:nvSpPr>
      <xdr:spPr>
        <a:xfrm rot="10800000">
          <a:off x="1754124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75</xdr:row>
      <xdr:rowOff>0</xdr:rowOff>
    </xdr:from>
    <xdr:to>
      <xdr:col>71</xdr:col>
      <xdr:colOff>83820</xdr:colOff>
      <xdr:row>75</xdr:row>
      <xdr:rowOff>114300</xdr:rowOff>
    </xdr:to>
    <xdr:sp macro="" textlink="">
      <xdr:nvSpPr>
        <xdr:cNvPr id="459" name="Arrow: Down 458">
          <a:extLst>
            <a:ext uri="{FF2B5EF4-FFF2-40B4-BE49-F238E27FC236}">
              <a16:creationId xmlns:a16="http://schemas.microsoft.com/office/drawing/2014/main" id="{E43C89D8-1001-481E-957F-CECA89FD3AD8}"/>
            </a:ext>
          </a:extLst>
        </xdr:cNvPr>
        <xdr:cNvSpPr/>
      </xdr:nvSpPr>
      <xdr:spPr>
        <a:xfrm>
          <a:off x="1688592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75</xdr:row>
      <xdr:rowOff>0</xdr:rowOff>
    </xdr:from>
    <xdr:to>
      <xdr:col>24</xdr:col>
      <xdr:colOff>83820</xdr:colOff>
      <xdr:row>75</xdr:row>
      <xdr:rowOff>114300</xdr:rowOff>
    </xdr:to>
    <xdr:sp macro="" textlink="">
      <xdr:nvSpPr>
        <xdr:cNvPr id="464" name="Arrow: Down 463">
          <a:extLst>
            <a:ext uri="{FF2B5EF4-FFF2-40B4-BE49-F238E27FC236}">
              <a16:creationId xmlns:a16="http://schemas.microsoft.com/office/drawing/2014/main" id="{2CB2A946-35F2-478F-91BA-7D10D5C051EE}"/>
            </a:ext>
          </a:extLst>
        </xdr:cNvPr>
        <xdr:cNvSpPr/>
      </xdr:nvSpPr>
      <xdr:spPr>
        <a:xfrm>
          <a:off x="544068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83820</xdr:colOff>
      <xdr:row>75</xdr:row>
      <xdr:rowOff>114300</xdr:rowOff>
    </xdr:to>
    <xdr:sp macro="" textlink="">
      <xdr:nvSpPr>
        <xdr:cNvPr id="509" name="Arrow: Down 508">
          <a:extLst>
            <a:ext uri="{FF2B5EF4-FFF2-40B4-BE49-F238E27FC236}">
              <a16:creationId xmlns:a16="http://schemas.microsoft.com/office/drawing/2014/main" id="{599AD875-26BA-4493-80A4-B4B5AC3F9C23}"/>
            </a:ext>
          </a:extLst>
        </xdr:cNvPr>
        <xdr:cNvSpPr/>
      </xdr:nvSpPr>
      <xdr:spPr>
        <a:xfrm rot="10800000">
          <a:off x="1927860" y="13815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75</xdr:row>
      <xdr:rowOff>0</xdr:rowOff>
    </xdr:from>
    <xdr:to>
      <xdr:col>39</xdr:col>
      <xdr:colOff>83820</xdr:colOff>
      <xdr:row>75</xdr:row>
      <xdr:rowOff>114300</xdr:rowOff>
    </xdr:to>
    <xdr:sp macro="" textlink="">
      <xdr:nvSpPr>
        <xdr:cNvPr id="510" name="Arrow: Down 509">
          <a:extLst>
            <a:ext uri="{FF2B5EF4-FFF2-40B4-BE49-F238E27FC236}">
              <a16:creationId xmlns:a16="http://schemas.microsoft.com/office/drawing/2014/main" id="{01B7A094-5976-48CD-A0A3-BA15895D1B0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75</xdr:row>
      <xdr:rowOff>0</xdr:rowOff>
    </xdr:from>
    <xdr:to>
      <xdr:col>45</xdr:col>
      <xdr:colOff>83820</xdr:colOff>
      <xdr:row>75</xdr:row>
      <xdr:rowOff>114300</xdr:rowOff>
    </xdr:to>
    <xdr:sp macro="" textlink="">
      <xdr:nvSpPr>
        <xdr:cNvPr id="512" name="Arrow: Down 511">
          <a:extLst>
            <a:ext uri="{FF2B5EF4-FFF2-40B4-BE49-F238E27FC236}">
              <a16:creationId xmlns:a16="http://schemas.microsoft.com/office/drawing/2014/main" id="{690D45F8-2438-4DD0-9C29-5098D1D7923B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75</xdr:row>
      <xdr:rowOff>0</xdr:rowOff>
    </xdr:from>
    <xdr:to>
      <xdr:col>11</xdr:col>
      <xdr:colOff>160020</xdr:colOff>
      <xdr:row>75</xdr:row>
      <xdr:rowOff>99060</xdr:rowOff>
    </xdr:to>
    <xdr:sp macro="" textlink="">
      <xdr:nvSpPr>
        <xdr:cNvPr id="515" name="Minus Sign 514">
          <a:extLst>
            <a:ext uri="{FF2B5EF4-FFF2-40B4-BE49-F238E27FC236}">
              <a16:creationId xmlns:a16="http://schemas.microsoft.com/office/drawing/2014/main" id="{148AAB89-5F8E-43F6-991A-11ACA16ABA0E}"/>
            </a:ext>
          </a:extLst>
        </xdr:cNvPr>
        <xdr:cNvSpPr/>
      </xdr:nvSpPr>
      <xdr:spPr>
        <a:xfrm>
          <a:off x="3619500" y="138150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60</xdr:col>
      <xdr:colOff>0</xdr:colOff>
      <xdr:row>75</xdr:row>
      <xdr:rowOff>0</xdr:rowOff>
    </xdr:from>
    <xdr:to>
      <xdr:col>60</xdr:col>
      <xdr:colOff>83820</xdr:colOff>
      <xdr:row>75</xdr:row>
      <xdr:rowOff>114300</xdr:rowOff>
    </xdr:to>
    <xdr:sp macro="" textlink="">
      <xdr:nvSpPr>
        <xdr:cNvPr id="516" name="Arrow: Down 515">
          <a:extLst>
            <a:ext uri="{FF2B5EF4-FFF2-40B4-BE49-F238E27FC236}">
              <a16:creationId xmlns:a16="http://schemas.microsoft.com/office/drawing/2014/main" id="{9BEA6317-4A0A-4323-B84E-9C914E8DF7FB}"/>
            </a:ext>
          </a:extLst>
        </xdr:cNvPr>
        <xdr:cNvSpPr/>
      </xdr:nvSpPr>
      <xdr:spPr>
        <a:xfrm>
          <a:off x="1456944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76</xdr:row>
      <xdr:rowOff>0</xdr:rowOff>
    </xdr:from>
    <xdr:to>
      <xdr:col>71</xdr:col>
      <xdr:colOff>83820</xdr:colOff>
      <xdr:row>76</xdr:row>
      <xdr:rowOff>114300</xdr:rowOff>
    </xdr:to>
    <xdr:sp macro="" textlink="">
      <xdr:nvSpPr>
        <xdr:cNvPr id="504" name="Arrow: Down 503">
          <a:extLst>
            <a:ext uri="{FF2B5EF4-FFF2-40B4-BE49-F238E27FC236}">
              <a16:creationId xmlns:a16="http://schemas.microsoft.com/office/drawing/2014/main" id="{FB3BE2DB-67AB-4172-A5EC-28C5F3FF2852}"/>
            </a:ext>
          </a:extLst>
        </xdr:cNvPr>
        <xdr:cNvSpPr/>
      </xdr:nvSpPr>
      <xdr:spPr>
        <a:xfrm>
          <a:off x="168859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76</xdr:row>
      <xdr:rowOff>0</xdr:rowOff>
    </xdr:from>
    <xdr:to>
      <xdr:col>39</xdr:col>
      <xdr:colOff>83820</xdr:colOff>
      <xdr:row>76</xdr:row>
      <xdr:rowOff>114300</xdr:rowOff>
    </xdr:to>
    <xdr:sp macro="" textlink="">
      <xdr:nvSpPr>
        <xdr:cNvPr id="507" name="Arrow: Down 506">
          <a:extLst>
            <a:ext uri="{FF2B5EF4-FFF2-40B4-BE49-F238E27FC236}">
              <a16:creationId xmlns:a16="http://schemas.microsoft.com/office/drawing/2014/main" id="{20FD0B2A-AF9D-41A2-9D5F-0CBD05A377B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76</xdr:row>
      <xdr:rowOff>0</xdr:rowOff>
    </xdr:from>
    <xdr:to>
      <xdr:col>45</xdr:col>
      <xdr:colOff>83820</xdr:colOff>
      <xdr:row>76</xdr:row>
      <xdr:rowOff>114300</xdr:rowOff>
    </xdr:to>
    <xdr:sp macro="" textlink="">
      <xdr:nvSpPr>
        <xdr:cNvPr id="508" name="Arrow: Down 507">
          <a:extLst>
            <a:ext uri="{FF2B5EF4-FFF2-40B4-BE49-F238E27FC236}">
              <a16:creationId xmlns:a16="http://schemas.microsoft.com/office/drawing/2014/main" id="{F9CEA7DB-4A52-4003-98F3-1954950D294C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83820</xdr:colOff>
      <xdr:row>76</xdr:row>
      <xdr:rowOff>114300</xdr:rowOff>
    </xdr:to>
    <xdr:sp macro="" textlink="">
      <xdr:nvSpPr>
        <xdr:cNvPr id="514" name="Arrow: Down 513">
          <a:extLst>
            <a:ext uri="{FF2B5EF4-FFF2-40B4-BE49-F238E27FC236}">
              <a16:creationId xmlns:a16="http://schemas.microsoft.com/office/drawing/2014/main" id="{C093EE9C-5CA5-4C01-8351-989DB06175E5}"/>
            </a:ext>
          </a:extLst>
        </xdr:cNvPr>
        <xdr:cNvSpPr/>
      </xdr:nvSpPr>
      <xdr:spPr>
        <a:xfrm>
          <a:off x="3619500" y="13997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76</xdr:row>
      <xdr:rowOff>0</xdr:rowOff>
    </xdr:from>
    <xdr:to>
      <xdr:col>60</xdr:col>
      <xdr:colOff>83820</xdr:colOff>
      <xdr:row>76</xdr:row>
      <xdr:rowOff>114300</xdr:rowOff>
    </xdr:to>
    <xdr:sp macro="" textlink="">
      <xdr:nvSpPr>
        <xdr:cNvPr id="518" name="Arrow: Down 517">
          <a:extLst>
            <a:ext uri="{FF2B5EF4-FFF2-40B4-BE49-F238E27FC236}">
              <a16:creationId xmlns:a16="http://schemas.microsoft.com/office/drawing/2014/main" id="{AA8358FC-27C1-487B-8025-3683838C232E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76</xdr:row>
      <xdr:rowOff>0</xdr:rowOff>
    </xdr:from>
    <xdr:to>
      <xdr:col>24</xdr:col>
      <xdr:colOff>83820</xdr:colOff>
      <xdr:row>76</xdr:row>
      <xdr:rowOff>114300</xdr:rowOff>
    </xdr:to>
    <xdr:sp macro="" textlink="">
      <xdr:nvSpPr>
        <xdr:cNvPr id="520" name="Arrow: Down 519">
          <a:extLst>
            <a:ext uri="{FF2B5EF4-FFF2-40B4-BE49-F238E27FC236}">
              <a16:creationId xmlns:a16="http://schemas.microsoft.com/office/drawing/2014/main" id="{94FE72DF-4F7F-411F-ACA7-067E6CD25521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83820</xdr:colOff>
      <xdr:row>76</xdr:row>
      <xdr:rowOff>114300</xdr:rowOff>
    </xdr:to>
    <xdr:sp macro="" textlink="">
      <xdr:nvSpPr>
        <xdr:cNvPr id="522" name="Arrow: Down 521">
          <a:extLst>
            <a:ext uri="{FF2B5EF4-FFF2-40B4-BE49-F238E27FC236}">
              <a16:creationId xmlns:a16="http://schemas.microsoft.com/office/drawing/2014/main" id="{309BECF5-AA72-45C3-9E6B-328DC7E5329D}"/>
            </a:ext>
          </a:extLst>
        </xdr:cNvPr>
        <xdr:cNvSpPr/>
      </xdr:nvSpPr>
      <xdr:spPr>
        <a:xfrm>
          <a:off x="192786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77</xdr:row>
      <xdr:rowOff>0</xdr:rowOff>
    </xdr:from>
    <xdr:to>
      <xdr:col>71</xdr:col>
      <xdr:colOff>83820</xdr:colOff>
      <xdr:row>77</xdr:row>
      <xdr:rowOff>114300</xdr:rowOff>
    </xdr:to>
    <xdr:sp macro="" textlink="">
      <xdr:nvSpPr>
        <xdr:cNvPr id="523" name="Arrow: Down 522">
          <a:extLst>
            <a:ext uri="{FF2B5EF4-FFF2-40B4-BE49-F238E27FC236}">
              <a16:creationId xmlns:a16="http://schemas.microsoft.com/office/drawing/2014/main" id="{8C9C98DD-E01A-4847-BBA0-7A23626626AE}"/>
            </a:ext>
          </a:extLst>
        </xdr:cNvPr>
        <xdr:cNvSpPr/>
      </xdr:nvSpPr>
      <xdr:spPr>
        <a:xfrm>
          <a:off x="169926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77</xdr:row>
      <xdr:rowOff>0</xdr:rowOff>
    </xdr:from>
    <xdr:to>
      <xdr:col>45</xdr:col>
      <xdr:colOff>83820</xdr:colOff>
      <xdr:row>77</xdr:row>
      <xdr:rowOff>114300</xdr:rowOff>
    </xdr:to>
    <xdr:sp macro="" textlink="">
      <xdr:nvSpPr>
        <xdr:cNvPr id="525" name="Arrow: Down 524">
          <a:extLst>
            <a:ext uri="{FF2B5EF4-FFF2-40B4-BE49-F238E27FC236}">
              <a16:creationId xmlns:a16="http://schemas.microsoft.com/office/drawing/2014/main" id="{7274B0A1-99C1-4326-8311-9FAA7A814DEF}"/>
            </a:ext>
          </a:extLst>
        </xdr:cNvPr>
        <xdr:cNvSpPr/>
      </xdr:nvSpPr>
      <xdr:spPr>
        <a:xfrm rot="10800000">
          <a:off x="100584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77</xdr:row>
      <xdr:rowOff>0</xdr:rowOff>
    </xdr:from>
    <xdr:to>
      <xdr:col>60</xdr:col>
      <xdr:colOff>83820</xdr:colOff>
      <xdr:row>77</xdr:row>
      <xdr:rowOff>114300</xdr:rowOff>
    </xdr:to>
    <xdr:sp macro="" textlink="">
      <xdr:nvSpPr>
        <xdr:cNvPr id="527" name="Arrow: Down 526">
          <a:extLst>
            <a:ext uri="{FF2B5EF4-FFF2-40B4-BE49-F238E27FC236}">
              <a16:creationId xmlns:a16="http://schemas.microsoft.com/office/drawing/2014/main" id="{02C309A5-A816-45E9-AFD4-15C3E1D0097B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77</xdr:row>
      <xdr:rowOff>0</xdr:rowOff>
    </xdr:from>
    <xdr:to>
      <xdr:col>24</xdr:col>
      <xdr:colOff>83820</xdr:colOff>
      <xdr:row>77</xdr:row>
      <xdr:rowOff>114300</xdr:rowOff>
    </xdr:to>
    <xdr:sp macro="" textlink="">
      <xdr:nvSpPr>
        <xdr:cNvPr id="528" name="Arrow: Down 527">
          <a:extLst>
            <a:ext uri="{FF2B5EF4-FFF2-40B4-BE49-F238E27FC236}">
              <a16:creationId xmlns:a16="http://schemas.microsoft.com/office/drawing/2014/main" id="{18300DF0-485C-4430-853B-49349E6C560D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77</xdr:row>
      <xdr:rowOff>0</xdr:rowOff>
    </xdr:from>
    <xdr:to>
      <xdr:col>5</xdr:col>
      <xdr:colOff>83820</xdr:colOff>
      <xdr:row>77</xdr:row>
      <xdr:rowOff>114300</xdr:rowOff>
    </xdr:to>
    <xdr:sp macro="" textlink="">
      <xdr:nvSpPr>
        <xdr:cNvPr id="505" name="Arrow: Down 504">
          <a:extLst>
            <a:ext uri="{FF2B5EF4-FFF2-40B4-BE49-F238E27FC236}">
              <a16:creationId xmlns:a16="http://schemas.microsoft.com/office/drawing/2014/main" id="{F4C14CF4-2DA3-442B-B083-4ABD986CD981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77</xdr:row>
      <xdr:rowOff>0</xdr:rowOff>
    </xdr:from>
    <xdr:to>
      <xdr:col>11</xdr:col>
      <xdr:colOff>83820</xdr:colOff>
      <xdr:row>77</xdr:row>
      <xdr:rowOff>114300</xdr:rowOff>
    </xdr:to>
    <xdr:sp macro="" textlink="">
      <xdr:nvSpPr>
        <xdr:cNvPr id="511" name="Arrow: Down 510">
          <a:extLst>
            <a:ext uri="{FF2B5EF4-FFF2-40B4-BE49-F238E27FC236}">
              <a16:creationId xmlns:a16="http://schemas.microsoft.com/office/drawing/2014/main" id="{D16F3F1E-21FD-432B-8DA1-499E32DFF7AD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77</xdr:row>
      <xdr:rowOff>0</xdr:rowOff>
    </xdr:from>
    <xdr:to>
      <xdr:col>39</xdr:col>
      <xdr:colOff>83820</xdr:colOff>
      <xdr:row>77</xdr:row>
      <xdr:rowOff>114300</xdr:rowOff>
    </xdr:to>
    <xdr:sp macro="" textlink="">
      <xdr:nvSpPr>
        <xdr:cNvPr id="513" name="Arrow: Down 512">
          <a:extLst>
            <a:ext uri="{FF2B5EF4-FFF2-40B4-BE49-F238E27FC236}">
              <a16:creationId xmlns:a16="http://schemas.microsoft.com/office/drawing/2014/main" id="{D15A3710-28E4-4D6B-9AC1-EF75C4784E84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78</xdr:row>
      <xdr:rowOff>0</xdr:rowOff>
    </xdr:from>
    <xdr:to>
      <xdr:col>71</xdr:col>
      <xdr:colOff>83820</xdr:colOff>
      <xdr:row>78</xdr:row>
      <xdr:rowOff>114300</xdr:rowOff>
    </xdr:to>
    <xdr:sp macro="" textlink="">
      <xdr:nvSpPr>
        <xdr:cNvPr id="530" name="Arrow: Down 529">
          <a:extLst>
            <a:ext uri="{FF2B5EF4-FFF2-40B4-BE49-F238E27FC236}">
              <a16:creationId xmlns:a16="http://schemas.microsoft.com/office/drawing/2014/main" id="{72AD29C3-4465-49AB-A533-E5AA791F12CF}"/>
            </a:ext>
          </a:extLst>
        </xdr:cNvPr>
        <xdr:cNvSpPr/>
      </xdr:nvSpPr>
      <xdr:spPr>
        <a:xfrm>
          <a:off x="169926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78</xdr:row>
      <xdr:rowOff>0</xdr:rowOff>
    </xdr:from>
    <xdr:to>
      <xdr:col>45</xdr:col>
      <xdr:colOff>83820</xdr:colOff>
      <xdr:row>78</xdr:row>
      <xdr:rowOff>114300</xdr:rowOff>
    </xdr:to>
    <xdr:sp macro="" textlink="">
      <xdr:nvSpPr>
        <xdr:cNvPr id="531" name="Arrow: Down 530">
          <a:extLst>
            <a:ext uri="{FF2B5EF4-FFF2-40B4-BE49-F238E27FC236}">
              <a16:creationId xmlns:a16="http://schemas.microsoft.com/office/drawing/2014/main" id="{61AC81E7-9F1F-4630-98A4-ACC23F73ACB3}"/>
            </a:ext>
          </a:extLst>
        </xdr:cNvPr>
        <xdr:cNvSpPr/>
      </xdr:nvSpPr>
      <xdr:spPr>
        <a:xfrm rot="10800000">
          <a:off x="100584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78</xdr:row>
      <xdr:rowOff>0</xdr:rowOff>
    </xdr:from>
    <xdr:to>
      <xdr:col>5</xdr:col>
      <xdr:colOff>83820</xdr:colOff>
      <xdr:row>78</xdr:row>
      <xdr:rowOff>114300</xdr:rowOff>
    </xdr:to>
    <xdr:sp macro="" textlink="">
      <xdr:nvSpPr>
        <xdr:cNvPr id="534" name="Arrow: Down 533">
          <a:extLst>
            <a:ext uri="{FF2B5EF4-FFF2-40B4-BE49-F238E27FC236}">
              <a16:creationId xmlns:a16="http://schemas.microsoft.com/office/drawing/2014/main" id="{A8ECCF7D-F0EB-48F4-8520-2C0ED508B8BD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78</xdr:row>
      <xdr:rowOff>0</xdr:rowOff>
    </xdr:from>
    <xdr:to>
      <xdr:col>11</xdr:col>
      <xdr:colOff>83820</xdr:colOff>
      <xdr:row>78</xdr:row>
      <xdr:rowOff>114300</xdr:rowOff>
    </xdr:to>
    <xdr:sp macro="" textlink="">
      <xdr:nvSpPr>
        <xdr:cNvPr id="535" name="Arrow: Down 534">
          <a:extLst>
            <a:ext uri="{FF2B5EF4-FFF2-40B4-BE49-F238E27FC236}">
              <a16:creationId xmlns:a16="http://schemas.microsoft.com/office/drawing/2014/main" id="{56EC297F-C15B-4829-9C5C-75F695DDB2E0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78</xdr:row>
      <xdr:rowOff>0</xdr:rowOff>
    </xdr:from>
    <xdr:to>
      <xdr:col>39</xdr:col>
      <xdr:colOff>83820</xdr:colOff>
      <xdr:row>78</xdr:row>
      <xdr:rowOff>114300</xdr:rowOff>
    </xdr:to>
    <xdr:sp macro="" textlink="">
      <xdr:nvSpPr>
        <xdr:cNvPr id="536" name="Arrow: Down 535">
          <a:extLst>
            <a:ext uri="{FF2B5EF4-FFF2-40B4-BE49-F238E27FC236}">
              <a16:creationId xmlns:a16="http://schemas.microsoft.com/office/drawing/2014/main" id="{90597AE8-1EA3-43AC-9D8D-02002F3BE786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78</xdr:row>
      <xdr:rowOff>0</xdr:rowOff>
    </xdr:from>
    <xdr:to>
      <xdr:col>24</xdr:col>
      <xdr:colOff>83820</xdr:colOff>
      <xdr:row>78</xdr:row>
      <xdr:rowOff>114300</xdr:rowOff>
    </xdr:to>
    <xdr:sp macro="" textlink="">
      <xdr:nvSpPr>
        <xdr:cNvPr id="537" name="Arrow: Down 536">
          <a:extLst>
            <a:ext uri="{FF2B5EF4-FFF2-40B4-BE49-F238E27FC236}">
              <a16:creationId xmlns:a16="http://schemas.microsoft.com/office/drawing/2014/main" id="{82431E64-6447-4C49-8168-AD2309FA6D96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78</xdr:row>
      <xdr:rowOff>0</xdr:rowOff>
    </xdr:from>
    <xdr:to>
      <xdr:col>60</xdr:col>
      <xdr:colOff>83820</xdr:colOff>
      <xdr:row>78</xdr:row>
      <xdr:rowOff>114300</xdr:rowOff>
    </xdr:to>
    <xdr:sp macro="" textlink="">
      <xdr:nvSpPr>
        <xdr:cNvPr id="539" name="Arrow: Down 538">
          <a:extLst>
            <a:ext uri="{FF2B5EF4-FFF2-40B4-BE49-F238E27FC236}">
              <a16:creationId xmlns:a16="http://schemas.microsoft.com/office/drawing/2014/main" id="{033D633D-30F5-44D7-B22A-F511D59C4120}"/>
            </a:ext>
          </a:extLst>
        </xdr:cNvPr>
        <xdr:cNvSpPr/>
      </xdr:nvSpPr>
      <xdr:spPr>
        <a:xfrm>
          <a:off x="1467612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79</xdr:row>
      <xdr:rowOff>0</xdr:rowOff>
    </xdr:from>
    <xdr:to>
      <xdr:col>11</xdr:col>
      <xdr:colOff>83820</xdr:colOff>
      <xdr:row>79</xdr:row>
      <xdr:rowOff>114300</xdr:rowOff>
    </xdr:to>
    <xdr:sp macro="" textlink="">
      <xdr:nvSpPr>
        <xdr:cNvPr id="517" name="Arrow: Down 516">
          <a:extLst>
            <a:ext uri="{FF2B5EF4-FFF2-40B4-BE49-F238E27FC236}">
              <a16:creationId xmlns:a16="http://schemas.microsoft.com/office/drawing/2014/main" id="{A3BDB40C-4E67-4D1B-BFB0-513EA2FCB30F}"/>
            </a:ext>
          </a:extLst>
        </xdr:cNvPr>
        <xdr:cNvSpPr/>
      </xdr:nvSpPr>
      <xdr:spPr>
        <a:xfrm rot="10800000">
          <a:off x="361950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79</xdr:row>
      <xdr:rowOff>0</xdr:rowOff>
    </xdr:from>
    <xdr:to>
      <xdr:col>5</xdr:col>
      <xdr:colOff>83820</xdr:colOff>
      <xdr:row>79</xdr:row>
      <xdr:rowOff>114300</xdr:rowOff>
    </xdr:to>
    <xdr:sp macro="" textlink="">
      <xdr:nvSpPr>
        <xdr:cNvPr id="521" name="Arrow: Down 520">
          <a:extLst>
            <a:ext uri="{FF2B5EF4-FFF2-40B4-BE49-F238E27FC236}">
              <a16:creationId xmlns:a16="http://schemas.microsoft.com/office/drawing/2014/main" id="{DDCD889B-E1FE-486A-80ED-EBE4FCE69ABF}"/>
            </a:ext>
          </a:extLst>
        </xdr:cNvPr>
        <xdr:cNvSpPr/>
      </xdr:nvSpPr>
      <xdr:spPr>
        <a:xfrm rot="10800000">
          <a:off x="192786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79</xdr:row>
      <xdr:rowOff>0</xdr:rowOff>
    </xdr:from>
    <xdr:to>
      <xdr:col>24</xdr:col>
      <xdr:colOff>83820</xdr:colOff>
      <xdr:row>79</xdr:row>
      <xdr:rowOff>114300</xdr:rowOff>
    </xdr:to>
    <xdr:sp macro="" textlink="">
      <xdr:nvSpPr>
        <xdr:cNvPr id="526" name="Arrow: Down 525">
          <a:extLst>
            <a:ext uri="{FF2B5EF4-FFF2-40B4-BE49-F238E27FC236}">
              <a16:creationId xmlns:a16="http://schemas.microsoft.com/office/drawing/2014/main" id="{0D3DE6A0-C9D9-4843-A94B-3E09C8185F2C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79</xdr:row>
      <xdr:rowOff>0</xdr:rowOff>
    </xdr:from>
    <xdr:to>
      <xdr:col>45</xdr:col>
      <xdr:colOff>83820</xdr:colOff>
      <xdr:row>79</xdr:row>
      <xdr:rowOff>114300</xdr:rowOff>
    </xdr:to>
    <xdr:sp macro="" textlink="">
      <xdr:nvSpPr>
        <xdr:cNvPr id="529" name="Arrow: Down 528">
          <a:extLst>
            <a:ext uri="{FF2B5EF4-FFF2-40B4-BE49-F238E27FC236}">
              <a16:creationId xmlns:a16="http://schemas.microsoft.com/office/drawing/2014/main" id="{BAD74FF0-FB37-4532-BC8F-FD0E2E2E8496}"/>
            </a:ext>
          </a:extLst>
        </xdr:cNvPr>
        <xdr:cNvSpPr/>
      </xdr:nvSpPr>
      <xdr:spPr>
        <a:xfrm rot="10800000">
          <a:off x="100584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79</xdr:row>
      <xdr:rowOff>0</xdr:rowOff>
    </xdr:from>
    <xdr:to>
      <xdr:col>39</xdr:col>
      <xdr:colOff>83820</xdr:colOff>
      <xdr:row>79</xdr:row>
      <xdr:rowOff>114300</xdr:rowOff>
    </xdr:to>
    <xdr:sp macro="" textlink="">
      <xdr:nvSpPr>
        <xdr:cNvPr id="506" name="Arrow: Down 505">
          <a:extLst>
            <a:ext uri="{FF2B5EF4-FFF2-40B4-BE49-F238E27FC236}">
              <a16:creationId xmlns:a16="http://schemas.microsoft.com/office/drawing/2014/main" id="{972903CA-97F5-4BD2-9628-499362007F77}"/>
            </a:ext>
          </a:extLst>
        </xdr:cNvPr>
        <xdr:cNvSpPr/>
      </xdr:nvSpPr>
      <xdr:spPr>
        <a:xfrm rot="10800000">
          <a:off x="854964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79</xdr:row>
      <xdr:rowOff>0</xdr:rowOff>
    </xdr:from>
    <xdr:to>
      <xdr:col>60</xdr:col>
      <xdr:colOff>83820</xdr:colOff>
      <xdr:row>79</xdr:row>
      <xdr:rowOff>114300</xdr:rowOff>
    </xdr:to>
    <xdr:sp macro="" textlink="">
      <xdr:nvSpPr>
        <xdr:cNvPr id="524" name="Arrow: Down 523">
          <a:extLst>
            <a:ext uri="{FF2B5EF4-FFF2-40B4-BE49-F238E27FC236}">
              <a16:creationId xmlns:a16="http://schemas.microsoft.com/office/drawing/2014/main" id="{05656C59-30AD-464C-ACFD-01587CA308BC}"/>
            </a:ext>
          </a:extLst>
        </xdr:cNvPr>
        <xdr:cNvSpPr/>
      </xdr:nvSpPr>
      <xdr:spPr>
        <a:xfrm rot="10800000">
          <a:off x="1467612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79</xdr:row>
      <xdr:rowOff>0</xdr:rowOff>
    </xdr:from>
    <xdr:to>
      <xdr:col>71</xdr:col>
      <xdr:colOff>83820</xdr:colOff>
      <xdr:row>79</xdr:row>
      <xdr:rowOff>114300</xdr:rowOff>
    </xdr:to>
    <xdr:sp macro="" textlink="">
      <xdr:nvSpPr>
        <xdr:cNvPr id="533" name="Arrow: Down 532">
          <a:extLst>
            <a:ext uri="{FF2B5EF4-FFF2-40B4-BE49-F238E27FC236}">
              <a16:creationId xmlns:a16="http://schemas.microsoft.com/office/drawing/2014/main" id="{7ECEA41A-42D1-4026-B912-8A5B2622BF57}"/>
            </a:ext>
          </a:extLst>
        </xdr:cNvPr>
        <xdr:cNvSpPr/>
      </xdr:nvSpPr>
      <xdr:spPr>
        <a:xfrm>
          <a:off x="169926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80</xdr:row>
      <xdr:rowOff>0</xdr:rowOff>
    </xdr:from>
    <xdr:to>
      <xdr:col>24</xdr:col>
      <xdr:colOff>83820</xdr:colOff>
      <xdr:row>80</xdr:row>
      <xdr:rowOff>114300</xdr:rowOff>
    </xdr:to>
    <xdr:sp macro="" textlink="">
      <xdr:nvSpPr>
        <xdr:cNvPr id="548" name="Arrow: Down 547">
          <a:extLst>
            <a:ext uri="{FF2B5EF4-FFF2-40B4-BE49-F238E27FC236}">
              <a16:creationId xmlns:a16="http://schemas.microsoft.com/office/drawing/2014/main" id="{08BAF3EE-13CB-414E-9DAB-1D65EB62B536}"/>
            </a:ext>
          </a:extLst>
        </xdr:cNvPr>
        <xdr:cNvSpPr/>
      </xdr:nvSpPr>
      <xdr:spPr>
        <a:xfrm>
          <a:off x="544068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80</xdr:row>
      <xdr:rowOff>0</xdr:rowOff>
    </xdr:from>
    <xdr:to>
      <xdr:col>45</xdr:col>
      <xdr:colOff>83820</xdr:colOff>
      <xdr:row>80</xdr:row>
      <xdr:rowOff>114300</xdr:rowOff>
    </xdr:to>
    <xdr:sp macro="" textlink="">
      <xdr:nvSpPr>
        <xdr:cNvPr id="549" name="Arrow: Down 548">
          <a:extLst>
            <a:ext uri="{FF2B5EF4-FFF2-40B4-BE49-F238E27FC236}">
              <a16:creationId xmlns:a16="http://schemas.microsoft.com/office/drawing/2014/main" id="{CF182C77-43A6-4388-B993-EF93DDEC715E}"/>
            </a:ext>
          </a:extLst>
        </xdr:cNvPr>
        <xdr:cNvSpPr/>
      </xdr:nvSpPr>
      <xdr:spPr>
        <a:xfrm rot="10800000">
          <a:off x="100584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80</xdr:row>
      <xdr:rowOff>0</xdr:rowOff>
    </xdr:from>
    <xdr:to>
      <xdr:col>71</xdr:col>
      <xdr:colOff>83820</xdr:colOff>
      <xdr:row>80</xdr:row>
      <xdr:rowOff>114300</xdr:rowOff>
    </xdr:to>
    <xdr:sp macro="" textlink="">
      <xdr:nvSpPr>
        <xdr:cNvPr id="552" name="Arrow: Down 551">
          <a:extLst>
            <a:ext uri="{FF2B5EF4-FFF2-40B4-BE49-F238E27FC236}">
              <a16:creationId xmlns:a16="http://schemas.microsoft.com/office/drawing/2014/main" id="{D630AE99-C9EA-48EA-B5C6-E6920B24237F}"/>
            </a:ext>
          </a:extLst>
        </xdr:cNvPr>
        <xdr:cNvSpPr/>
      </xdr:nvSpPr>
      <xdr:spPr>
        <a:xfrm>
          <a:off x="169926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80</xdr:row>
      <xdr:rowOff>0</xdr:rowOff>
    </xdr:from>
    <xdr:to>
      <xdr:col>5</xdr:col>
      <xdr:colOff>83820</xdr:colOff>
      <xdr:row>80</xdr:row>
      <xdr:rowOff>114300</xdr:rowOff>
    </xdr:to>
    <xdr:sp macro="" textlink="">
      <xdr:nvSpPr>
        <xdr:cNvPr id="553" name="Arrow: Down 552">
          <a:extLst>
            <a:ext uri="{FF2B5EF4-FFF2-40B4-BE49-F238E27FC236}">
              <a16:creationId xmlns:a16="http://schemas.microsoft.com/office/drawing/2014/main" id="{E7F7CFEE-4AB0-4443-B738-779533BD250C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80</xdr:row>
      <xdr:rowOff>0</xdr:rowOff>
    </xdr:from>
    <xdr:to>
      <xdr:col>11</xdr:col>
      <xdr:colOff>83820</xdr:colOff>
      <xdr:row>80</xdr:row>
      <xdr:rowOff>114300</xdr:rowOff>
    </xdr:to>
    <xdr:sp macro="" textlink="">
      <xdr:nvSpPr>
        <xdr:cNvPr id="554" name="Arrow: Down 553">
          <a:extLst>
            <a:ext uri="{FF2B5EF4-FFF2-40B4-BE49-F238E27FC236}">
              <a16:creationId xmlns:a16="http://schemas.microsoft.com/office/drawing/2014/main" id="{CA02D2E2-5CE8-4A68-BD2F-FAE326B6E566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80</xdr:row>
      <xdr:rowOff>0</xdr:rowOff>
    </xdr:from>
    <xdr:to>
      <xdr:col>39</xdr:col>
      <xdr:colOff>83820</xdr:colOff>
      <xdr:row>80</xdr:row>
      <xdr:rowOff>114300</xdr:rowOff>
    </xdr:to>
    <xdr:sp macro="" textlink="">
      <xdr:nvSpPr>
        <xdr:cNvPr id="556" name="Arrow: Down 555">
          <a:extLst>
            <a:ext uri="{FF2B5EF4-FFF2-40B4-BE49-F238E27FC236}">
              <a16:creationId xmlns:a16="http://schemas.microsoft.com/office/drawing/2014/main" id="{370ED247-1DBA-46D9-9F17-BBFDBF7E1D21}"/>
            </a:ext>
          </a:extLst>
        </xdr:cNvPr>
        <xdr:cNvSpPr/>
      </xdr:nvSpPr>
      <xdr:spPr>
        <a:xfrm>
          <a:off x="8549640" y="1472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80</xdr:row>
      <xdr:rowOff>0</xdr:rowOff>
    </xdr:from>
    <xdr:to>
      <xdr:col>60</xdr:col>
      <xdr:colOff>83820</xdr:colOff>
      <xdr:row>80</xdr:row>
      <xdr:rowOff>114300</xdr:rowOff>
    </xdr:to>
    <xdr:sp macro="" textlink="">
      <xdr:nvSpPr>
        <xdr:cNvPr id="557" name="Arrow: Down 556">
          <a:extLst>
            <a:ext uri="{FF2B5EF4-FFF2-40B4-BE49-F238E27FC236}">
              <a16:creationId xmlns:a16="http://schemas.microsoft.com/office/drawing/2014/main" id="{4E12E4D0-0480-4C89-B431-C4CB643DABFB}"/>
            </a:ext>
          </a:extLst>
        </xdr:cNvPr>
        <xdr:cNvSpPr/>
      </xdr:nvSpPr>
      <xdr:spPr>
        <a:xfrm>
          <a:off x="1467612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81</xdr:row>
      <xdr:rowOff>0</xdr:rowOff>
    </xdr:from>
    <xdr:to>
      <xdr:col>45</xdr:col>
      <xdr:colOff>83820</xdr:colOff>
      <xdr:row>81</xdr:row>
      <xdr:rowOff>114300</xdr:rowOff>
    </xdr:to>
    <xdr:sp macro="" textlink="">
      <xdr:nvSpPr>
        <xdr:cNvPr id="559" name="Arrow: Down 558">
          <a:extLst>
            <a:ext uri="{FF2B5EF4-FFF2-40B4-BE49-F238E27FC236}">
              <a16:creationId xmlns:a16="http://schemas.microsoft.com/office/drawing/2014/main" id="{8772D111-D967-40D7-B1CE-66441FABF4C4}"/>
            </a:ext>
          </a:extLst>
        </xdr:cNvPr>
        <xdr:cNvSpPr/>
      </xdr:nvSpPr>
      <xdr:spPr>
        <a:xfrm rot="10800000">
          <a:off x="100584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81</xdr:row>
      <xdr:rowOff>0</xdr:rowOff>
    </xdr:from>
    <xdr:to>
      <xdr:col>71</xdr:col>
      <xdr:colOff>83820</xdr:colOff>
      <xdr:row>81</xdr:row>
      <xdr:rowOff>114300</xdr:rowOff>
    </xdr:to>
    <xdr:sp macro="" textlink="">
      <xdr:nvSpPr>
        <xdr:cNvPr id="560" name="Arrow: Down 559">
          <a:extLst>
            <a:ext uri="{FF2B5EF4-FFF2-40B4-BE49-F238E27FC236}">
              <a16:creationId xmlns:a16="http://schemas.microsoft.com/office/drawing/2014/main" id="{9C557F52-664E-44C2-AE71-9649657AC684}"/>
            </a:ext>
          </a:extLst>
        </xdr:cNvPr>
        <xdr:cNvSpPr/>
      </xdr:nvSpPr>
      <xdr:spPr>
        <a:xfrm>
          <a:off x="169926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81</xdr:row>
      <xdr:rowOff>0</xdr:rowOff>
    </xdr:from>
    <xdr:to>
      <xdr:col>5</xdr:col>
      <xdr:colOff>83820</xdr:colOff>
      <xdr:row>81</xdr:row>
      <xdr:rowOff>114300</xdr:rowOff>
    </xdr:to>
    <xdr:sp macro="" textlink="">
      <xdr:nvSpPr>
        <xdr:cNvPr id="561" name="Arrow: Down 560">
          <a:extLst>
            <a:ext uri="{FF2B5EF4-FFF2-40B4-BE49-F238E27FC236}">
              <a16:creationId xmlns:a16="http://schemas.microsoft.com/office/drawing/2014/main" id="{29AC2AC1-F81D-4D21-94B2-848E0BEDE7D1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81</xdr:row>
      <xdr:rowOff>0</xdr:rowOff>
    </xdr:from>
    <xdr:to>
      <xdr:col>11</xdr:col>
      <xdr:colOff>83820</xdr:colOff>
      <xdr:row>81</xdr:row>
      <xdr:rowOff>114300</xdr:rowOff>
    </xdr:to>
    <xdr:sp macro="" textlink="">
      <xdr:nvSpPr>
        <xdr:cNvPr id="562" name="Arrow: Down 561">
          <a:extLst>
            <a:ext uri="{FF2B5EF4-FFF2-40B4-BE49-F238E27FC236}">
              <a16:creationId xmlns:a16="http://schemas.microsoft.com/office/drawing/2014/main" id="{CE51FD7E-DCD0-49AC-8E51-9295102C1695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81</xdr:row>
      <xdr:rowOff>0</xdr:rowOff>
    </xdr:from>
    <xdr:to>
      <xdr:col>24</xdr:col>
      <xdr:colOff>83820</xdr:colOff>
      <xdr:row>81</xdr:row>
      <xdr:rowOff>114300</xdr:rowOff>
    </xdr:to>
    <xdr:sp macro="" textlink="">
      <xdr:nvSpPr>
        <xdr:cNvPr id="568" name="Arrow: Down 567">
          <a:extLst>
            <a:ext uri="{FF2B5EF4-FFF2-40B4-BE49-F238E27FC236}">
              <a16:creationId xmlns:a16="http://schemas.microsoft.com/office/drawing/2014/main" id="{4C917A1C-CBDC-4CBC-9CAA-862449C209ED}"/>
            </a:ext>
          </a:extLst>
        </xdr:cNvPr>
        <xdr:cNvSpPr/>
      </xdr:nvSpPr>
      <xdr:spPr>
        <a:xfrm>
          <a:off x="71018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81</xdr:row>
      <xdr:rowOff>0</xdr:rowOff>
    </xdr:from>
    <xdr:to>
      <xdr:col>39</xdr:col>
      <xdr:colOff>83820</xdr:colOff>
      <xdr:row>81</xdr:row>
      <xdr:rowOff>114300</xdr:rowOff>
    </xdr:to>
    <xdr:sp macro="" textlink="">
      <xdr:nvSpPr>
        <xdr:cNvPr id="570" name="Arrow: Down 569">
          <a:extLst>
            <a:ext uri="{FF2B5EF4-FFF2-40B4-BE49-F238E27FC236}">
              <a16:creationId xmlns:a16="http://schemas.microsoft.com/office/drawing/2014/main" id="{3F22EAFA-B67B-4443-94D2-57C6C4209472}"/>
            </a:ext>
          </a:extLst>
        </xdr:cNvPr>
        <xdr:cNvSpPr/>
      </xdr:nvSpPr>
      <xdr:spPr>
        <a:xfrm rot="10800000">
          <a:off x="115214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81</xdr:row>
      <xdr:rowOff>0</xdr:rowOff>
    </xdr:from>
    <xdr:to>
      <xdr:col>60</xdr:col>
      <xdr:colOff>160020</xdr:colOff>
      <xdr:row>81</xdr:row>
      <xdr:rowOff>99060</xdr:rowOff>
    </xdr:to>
    <xdr:sp macro="" textlink="">
      <xdr:nvSpPr>
        <xdr:cNvPr id="571" name="Minus Sign 570">
          <a:extLst>
            <a:ext uri="{FF2B5EF4-FFF2-40B4-BE49-F238E27FC236}">
              <a16:creationId xmlns:a16="http://schemas.microsoft.com/office/drawing/2014/main" id="{34345CB4-DBF3-41CF-B81B-9D0D0A314C03}"/>
            </a:ext>
          </a:extLst>
        </xdr:cNvPr>
        <xdr:cNvSpPr/>
      </xdr:nvSpPr>
      <xdr:spPr>
        <a:xfrm>
          <a:off x="17724120" y="1491234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45</xdr:col>
      <xdr:colOff>0</xdr:colOff>
      <xdr:row>82</xdr:row>
      <xdr:rowOff>0</xdr:rowOff>
    </xdr:from>
    <xdr:to>
      <xdr:col>45</xdr:col>
      <xdr:colOff>83820</xdr:colOff>
      <xdr:row>82</xdr:row>
      <xdr:rowOff>114300</xdr:rowOff>
    </xdr:to>
    <xdr:sp macro="" textlink="">
      <xdr:nvSpPr>
        <xdr:cNvPr id="579" name="Arrow: Down 578">
          <a:extLst>
            <a:ext uri="{FF2B5EF4-FFF2-40B4-BE49-F238E27FC236}">
              <a16:creationId xmlns:a16="http://schemas.microsoft.com/office/drawing/2014/main" id="{C77F1D63-7AB3-4076-AECB-27FDFEEC800F}"/>
            </a:ext>
          </a:extLst>
        </xdr:cNvPr>
        <xdr:cNvSpPr/>
      </xdr:nvSpPr>
      <xdr:spPr>
        <a:xfrm rot="10800000">
          <a:off x="101346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82</xdr:row>
      <xdr:rowOff>0</xdr:rowOff>
    </xdr:from>
    <xdr:to>
      <xdr:col>71</xdr:col>
      <xdr:colOff>83820</xdr:colOff>
      <xdr:row>82</xdr:row>
      <xdr:rowOff>114300</xdr:rowOff>
    </xdr:to>
    <xdr:sp macro="" textlink="">
      <xdr:nvSpPr>
        <xdr:cNvPr id="580" name="Arrow: Down 579">
          <a:extLst>
            <a:ext uri="{FF2B5EF4-FFF2-40B4-BE49-F238E27FC236}">
              <a16:creationId xmlns:a16="http://schemas.microsoft.com/office/drawing/2014/main" id="{A6C2D79F-19A9-4158-B46B-FB24B87D56CF}"/>
            </a:ext>
          </a:extLst>
        </xdr:cNvPr>
        <xdr:cNvSpPr/>
      </xdr:nvSpPr>
      <xdr:spPr>
        <a:xfrm>
          <a:off x="170688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82</xdr:row>
      <xdr:rowOff>0</xdr:rowOff>
    </xdr:from>
    <xdr:to>
      <xdr:col>60</xdr:col>
      <xdr:colOff>83820</xdr:colOff>
      <xdr:row>82</xdr:row>
      <xdr:rowOff>114300</xdr:rowOff>
    </xdr:to>
    <xdr:sp macro="" textlink="">
      <xdr:nvSpPr>
        <xdr:cNvPr id="587" name="Arrow: Down 586">
          <a:extLst>
            <a:ext uri="{FF2B5EF4-FFF2-40B4-BE49-F238E27FC236}">
              <a16:creationId xmlns:a16="http://schemas.microsoft.com/office/drawing/2014/main" id="{B5AAA2E3-973C-4DBE-9616-BA6E3F2B0E1E}"/>
            </a:ext>
          </a:extLst>
        </xdr:cNvPr>
        <xdr:cNvSpPr/>
      </xdr:nvSpPr>
      <xdr:spPr>
        <a:xfrm>
          <a:off x="1475232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82</xdr:row>
      <xdr:rowOff>0</xdr:rowOff>
    </xdr:from>
    <xdr:to>
      <xdr:col>24</xdr:col>
      <xdr:colOff>83820</xdr:colOff>
      <xdr:row>82</xdr:row>
      <xdr:rowOff>114300</xdr:rowOff>
    </xdr:to>
    <xdr:sp macro="" textlink="">
      <xdr:nvSpPr>
        <xdr:cNvPr id="589" name="Arrow: Down 588">
          <a:extLst>
            <a:ext uri="{FF2B5EF4-FFF2-40B4-BE49-F238E27FC236}">
              <a16:creationId xmlns:a16="http://schemas.microsoft.com/office/drawing/2014/main" id="{3F1F1C90-180A-4036-A181-4B5558F7F929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5</xdr:col>
      <xdr:colOff>83820</xdr:colOff>
      <xdr:row>82</xdr:row>
      <xdr:rowOff>114300</xdr:rowOff>
    </xdr:to>
    <xdr:sp macro="" textlink="">
      <xdr:nvSpPr>
        <xdr:cNvPr id="591" name="Arrow: Down 590">
          <a:extLst>
            <a:ext uri="{FF2B5EF4-FFF2-40B4-BE49-F238E27FC236}">
              <a16:creationId xmlns:a16="http://schemas.microsoft.com/office/drawing/2014/main" id="{F83B4B2E-FCB4-4725-B38C-840CADFDB8C4}"/>
            </a:ext>
          </a:extLst>
        </xdr:cNvPr>
        <xdr:cNvSpPr/>
      </xdr:nvSpPr>
      <xdr:spPr>
        <a:xfrm rot="10800000">
          <a:off x="192786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83820</xdr:colOff>
      <xdr:row>82</xdr:row>
      <xdr:rowOff>114300</xdr:rowOff>
    </xdr:to>
    <xdr:sp macro="" textlink="">
      <xdr:nvSpPr>
        <xdr:cNvPr id="593" name="Arrow: Down 592">
          <a:extLst>
            <a:ext uri="{FF2B5EF4-FFF2-40B4-BE49-F238E27FC236}">
              <a16:creationId xmlns:a16="http://schemas.microsoft.com/office/drawing/2014/main" id="{313154C2-793C-44D9-AB6C-A62AE6A83BB7}"/>
            </a:ext>
          </a:extLst>
        </xdr:cNvPr>
        <xdr:cNvSpPr/>
      </xdr:nvSpPr>
      <xdr:spPr>
        <a:xfrm rot="10800000">
          <a:off x="361950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82</xdr:row>
      <xdr:rowOff>0</xdr:rowOff>
    </xdr:from>
    <xdr:to>
      <xdr:col>39</xdr:col>
      <xdr:colOff>83820</xdr:colOff>
      <xdr:row>82</xdr:row>
      <xdr:rowOff>114300</xdr:rowOff>
    </xdr:to>
    <xdr:sp macro="" textlink="">
      <xdr:nvSpPr>
        <xdr:cNvPr id="595" name="Arrow: Down 594">
          <a:extLst>
            <a:ext uri="{FF2B5EF4-FFF2-40B4-BE49-F238E27FC236}">
              <a16:creationId xmlns:a16="http://schemas.microsoft.com/office/drawing/2014/main" id="{9126C905-8063-427E-8FF4-54F186988EBD}"/>
            </a:ext>
          </a:extLst>
        </xdr:cNvPr>
        <xdr:cNvSpPr/>
      </xdr:nvSpPr>
      <xdr:spPr>
        <a:xfrm>
          <a:off x="854964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83</xdr:row>
      <xdr:rowOff>0</xdr:rowOff>
    </xdr:from>
    <xdr:to>
      <xdr:col>45</xdr:col>
      <xdr:colOff>83820</xdr:colOff>
      <xdr:row>83</xdr:row>
      <xdr:rowOff>114300</xdr:rowOff>
    </xdr:to>
    <xdr:sp macro="" textlink="">
      <xdr:nvSpPr>
        <xdr:cNvPr id="603" name="Arrow: Down 602">
          <a:extLst>
            <a:ext uri="{FF2B5EF4-FFF2-40B4-BE49-F238E27FC236}">
              <a16:creationId xmlns:a16="http://schemas.microsoft.com/office/drawing/2014/main" id="{0A8571AC-5283-4683-A5FD-2E6034BD1643}"/>
            </a:ext>
          </a:extLst>
        </xdr:cNvPr>
        <xdr:cNvSpPr/>
      </xdr:nvSpPr>
      <xdr:spPr>
        <a:xfrm rot="10800000">
          <a:off x="101346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83</xdr:row>
      <xdr:rowOff>0</xdr:rowOff>
    </xdr:from>
    <xdr:to>
      <xdr:col>71</xdr:col>
      <xdr:colOff>83820</xdr:colOff>
      <xdr:row>83</xdr:row>
      <xdr:rowOff>114300</xdr:rowOff>
    </xdr:to>
    <xdr:sp macro="" textlink="">
      <xdr:nvSpPr>
        <xdr:cNvPr id="604" name="Arrow: Down 603">
          <a:extLst>
            <a:ext uri="{FF2B5EF4-FFF2-40B4-BE49-F238E27FC236}">
              <a16:creationId xmlns:a16="http://schemas.microsoft.com/office/drawing/2014/main" id="{8E58F68D-5518-40B5-89D7-5CA853A1512D}"/>
            </a:ext>
          </a:extLst>
        </xdr:cNvPr>
        <xdr:cNvSpPr/>
      </xdr:nvSpPr>
      <xdr:spPr>
        <a:xfrm>
          <a:off x="170688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83</xdr:row>
      <xdr:rowOff>0</xdr:rowOff>
    </xdr:from>
    <xdr:to>
      <xdr:col>24</xdr:col>
      <xdr:colOff>83820</xdr:colOff>
      <xdr:row>83</xdr:row>
      <xdr:rowOff>114300</xdr:rowOff>
    </xdr:to>
    <xdr:sp macro="" textlink="">
      <xdr:nvSpPr>
        <xdr:cNvPr id="606" name="Arrow: Down 605">
          <a:extLst>
            <a:ext uri="{FF2B5EF4-FFF2-40B4-BE49-F238E27FC236}">
              <a16:creationId xmlns:a16="http://schemas.microsoft.com/office/drawing/2014/main" id="{408A5E8C-13B0-4024-BEBE-BE5209F5601D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83</xdr:row>
      <xdr:rowOff>0</xdr:rowOff>
    </xdr:from>
    <xdr:to>
      <xdr:col>5</xdr:col>
      <xdr:colOff>83820</xdr:colOff>
      <xdr:row>83</xdr:row>
      <xdr:rowOff>114300</xdr:rowOff>
    </xdr:to>
    <xdr:sp macro="" textlink="">
      <xdr:nvSpPr>
        <xdr:cNvPr id="532" name="Arrow: Down 531">
          <a:extLst>
            <a:ext uri="{FF2B5EF4-FFF2-40B4-BE49-F238E27FC236}">
              <a16:creationId xmlns:a16="http://schemas.microsoft.com/office/drawing/2014/main" id="{A300051B-DAC0-4A9E-9AE4-8167220EA2B3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83</xdr:row>
      <xdr:rowOff>0</xdr:rowOff>
    </xdr:from>
    <xdr:to>
      <xdr:col>11</xdr:col>
      <xdr:colOff>83820</xdr:colOff>
      <xdr:row>83</xdr:row>
      <xdr:rowOff>114300</xdr:rowOff>
    </xdr:to>
    <xdr:sp macro="" textlink="">
      <xdr:nvSpPr>
        <xdr:cNvPr id="538" name="Arrow: Down 537">
          <a:extLst>
            <a:ext uri="{FF2B5EF4-FFF2-40B4-BE49-F238E27FC236}">
              <a16:creationId xmlns:a16="http://schemas.microsoft.com/office/drawing/2014/main" id="{35B86C8E-C5F1-4326-866D-8854837D4892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83</xdr:row>
      <xdr:rowOff>0</xdr:rowOff>
    </xdr:from>
    <xdr:to>
      <xdr:col>39</xdr:col>
      <xdr:colOff>83820</xdr:colOff>
      <xdr:row>83</xdr:row>
      <xdr:rowOff>114300</xdr:rowOff>
    </xdr:to>
    <xdr:sp macro="" textlink="">
      <xdr:nvSpPr>
        <xdr:cNvPr id="540" name="Arrow: Down 539">
          <a:extLst>
            <a:ext uri="{FF2B5EF4-FFF2-40B4-BE49-F238E27FC236}">
              <a16:creationId xmlns:a16="http://schemas.microsoft.com/office/drawing/2014/main" id="{59BAB580-6D9E-4338-9E9A-C9F9A77D85FF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83</xdr:row>
      <xdr:rowOff>0</xdr:rowOff>
    </xdr:from>
    <xdr:to>
      <xdr:col>60</xdr:col>
      <xdr:colOff>83820</xdr:colOff>
      <xdr:row>83</xdr:row>
      <xdr:rowOff>114300</xdr:rowOff>
    </xdr:to>
    <xdr:sp macro="" textlink="">
      <xdr:nvSpPr>
        <xdr:cNvPr id="541" name="Arrow: Down 540">
          <a:extLst>
            <a:ext uri="{FF2B5EF4-FFF2-40B4-BE49-F238E27FC236}">
              <a16:creationId xmlns:a16="http://schemas.microsoft.com/office/drawing/2014/main" id="{FBF9D9EB-566E-4DC2-B719-0F9FCAEDE2F9}"/>
            </a:ext>
          </a:extLst>
        </xdr:cNvPr>
        <xdr:cNvSpPr/>
      </xdr:nvSpPr>
      <xdr:spPr>
        <a:xfrm rot="10800000">
          <a:off x="14752320" y="1527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84</xdr:row>
      <xdr:rowOff>0</xdr:rowOff>
    </xdr:from>
    <xdr:to>
      <xdr:col>45</xdr:col>
      <xdr:colOff>83820</xdr:colOff>
      <xdr:row>84</xdr:row>
      <xdr:rowOff>114300</xdr:rowOff>
    </xdr:to>
    <xdr:sp macro="" textlink="">
      <xdr:nvSpPr>
        <xdr:cNvPr id="519" name="Arrow: Down 518">
          <a:extLst>
            <a:ext uri="{FF2B5EF4-FFF2-40B4-BE49-F238E27FC236}">
              <a16:creationId xmlns:a16="http://schemas.microsoft.com/office/drawing/2014/main" id="{6ED75CD3-220E-4CA6-9ECF-C7C964954BA4}"/>
            </a:ext>
          </a:extLst>
        </xdr:cNvPr>
        <xdr:cNvSpPr/>
      </xdr:nvSpPr>
      <xdr:spPr>
        <a:xfrm rot="10800000">
          <a:off x="101346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84</xdr:row>
      <xdr:rowOff>0</xdr:rowOff>
    </xdr:from>
    <xdr:to>
      <xdr:col>71</xdr:col>
      <xdr:colOff>83820</xdr:colOff>
      <xdr:row>84</xdr:row>
      <xdr:rowOff>114300</xdr:rowOff>
    </xdr:to>
    <xdr:sp macro="" textlink="">
      <xdr:nvSpPr>
        <xdr:cNvPr id="542" name="Arrow: Down 541">
          <a:extLst>
            <a:ext uri="{FF2B5EF4-FFF2-40B4-BE49-F238E27FC236}">
              <a16:creationId xmlns:a16="http://schemas.microsoft.com/office/drawing/2014/main" id="{5F938BBC-D5DF-4414-83DE-CC56C127D1B0}"/>
            </a:ext>
          </a:extLst>
        </xdr:cNvPr>
        <xdr:cNvSpPr/>
      </xdr:nvSpPr>
      <xdr:spPr>
        <a:xfrm>
          <a:off x="170688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84</xdr:row>
      <xdr:rowOff>0</xdr:rowOff>
    </xdr:from>
    <xdr:to>
      <xdr:col>5</xdr:col>
      <xdr:colOff>83820</xdr:colOff>
      <xdr:row>84</xdr:row>
      <xdr:rowOff>114300</xdr:rowOff>
    </xdr:to>
    <xdr:sp macro="" textlink="">
      <xdr:nvSpPr>
        <xdr:cNvPr id="544" name="Arrow: Down 543">
          <a:extLst>
            <a:ext uri="{FF2B5EF4-FFF2-40B4-BE49-F238E27FC236}">
              <a16:creationId xmlns:a16="http://schemas.microsoft.com/office/drawing/2014/main" id="{C81421BA-8E67-4B13-BEA2-69CE25EDD5D7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84</xdr:row>
      <xdr:rowOff>0</xdr:rowOff>
    </xdr:from>
    <xdr:to>
      <xdr:col>11</xdr:col>
      <xdr:colOff>83820</xdr:colOff>
      <xdr:row>84</xdr:row>
      <xdr:rowOff>114300</xdr:rowOff>
    </xdr:to>
    <xdr:sp macro="" textlink="">
      <xdr:nvSpPr>
        <xdr:cNvPr id="545" name="Arrow: Down 544">
          <a:extLst>
            <a:ext uri="{FF2B5EF4-FFF2-40B4-BE49-F238E27FC236}">
              <a16:creationId xmlns:a16="http://schemas.microsoft.com/office/drawing/2014/main" id="{635BB5C0-6BCA-461C-97C1-A80F5652CEFB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84</xdr:row>
      <xdr:rowOff>0</xdr:rowOff>
    </xdr:from>
    <xdr:to>
      <xdr:col>39</xdr:col>
      <xdr:colOff>83820</xdr:colOff>
      <xdr:row>84</xdr:row>
      <xdr:rowOff>114300</xdr:rowOff>
    </xdr:to>
    <xdr:sp macro="" textlink="">
      <xdr:nvSpPr>
        <xdr:cNvPr id="546" name="Arrow: Down 545">
          <a:extLst>
            <a:ext uri="{FF2B5EF4-FFF2-40B4-BE49-F238E27FC236}">
              <a16:creationId xmlns:a16="http://schemas.microsoft.com/office/drawing/2014/main" id="{F54F7A5F-8614-4193-96A5-E8F041830295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84</xdr:row>
      <xdr:rowOff>0</xdr:rowOff>
    </xdr:from>
    <xdr:to>
      <xdr:col>60</xdr:col>
      <xdr:colOff>83820</xdr:colOff>
      <xdr:row>84</xdr:row>
      <xdr:rowOff>114300</xdr:rowOff>
    </xdr:to>
    <xdr:sp macro="" textlink="">
      <xdr:nvSpPr>
        <xdr:cNvPr id="551" name="Arrow: Down 550">
          <a:extLst>
            <a:ext uri="{FF2B5EF4-FFF2-40B4-BE49-F238E27FC236}">
              <a16:creationId xmlns:a16="http://schemas.microsoft.com/office/drawing/2014/main" id="{B227AAB4-9C5C-4515-A7E6-5299FECCBE9F}"/>
            </a:ext>
          </a:extLst>
        </xdr:cNvPr>
        <xdr:cNvSpPr/>
      </xdr:nvSpPr>
      <xdr:spPr>
        <a:xfrm>
          <a:off x="1475232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84</xdr:row>
      <xdr:rowOff>0</xdr:rowOff>
    </xdr:from>
    <xdr:to>
      <xdr:col>24</xdr:col>
      <xdr:colOff>83820</xdr:colOff>
      <xdr:row>84</xdr:row>
      <xdr:rowOff>114300</xdr:rowOff>
    </xdr:to>
    <xdr:sp macro="" textlink="">
      <xdr:nvSpPr>
        <xdr:cNvPr id="555" name="Arrow: Down 554">
          <a:extLst>
            <a:ext uri="{FF2B5EF4-FFF2-40B4-BE49-F238E27FC236}">
              <a16:creationId xmlns:a16="http://schemas.microsoft.com/office/drawing/2014/main" id="{C474C805-99B7-4B23-9A18-3CFAD8C06CCE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85</xdr:row>
      <xdr:rowOff>0</xdr:rowOff>
    </xdr:from>
    <xdr:to>
      <xdr:col>45</xdr:col>
      <xdr:colOff>83820</xdr:colOff>
      <xdr:row>85</xdr:row>
      <xdr:rowOff>114300</xdr:rowOff>
    </xdr:to>
    <xdr:sp macro="" textlink="">
      <xdr:nvSpPr>
        <xdr:cNvPr id="543" name="Arrow: Down 542">
          <a:extLst>
            <a:ext uri="{FF2B5EF4-FFF2-40B4-BE49-F238E27FC236}">
              <a16:creationId xmlns:a16="http://schemas.microsoft.com/office/drawing/2014/main" id="{731AF5BF-8DD2-4508-B2C4-CDE60D148B63}"/>
            </a:ext>
          </a:extLst>
        </xdr:cNvPr>
        <xdr:cNvSpPr/>
      </xdr:nvSpPr>
      <xdr:spPr>
        <a:xfrm rot="10800000">
          <a:off x="101346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85</xdr:row>
      <xdr:rowOff>0</xdr:rowOff>
    </xdr:from>
    <xdr:to>
      <xdr:col>71</xdr:col>
      <xdr:colOff>83820</xdr:colOff>
      <xdr:row>85</xdr:row>
      <xdr:rowOff>114300</xdr:rowOff>
    </xdr:to>
    <xdr:sp macro="" textlink="">
      <xdr:nvSpPr>
        <xdr:cNvPr id="547" name="Arrow: Down 546">
          <a:extLst>
            <a:ext uri="{FF2B5EF4-FFF2-40B4-BE49-F238E27FC236}">
              <a16:creationId xmlns:a16="http://schemas.microsoft.com/office/drawing/2014/main" id="{0F507649-F523-412C-84B0-0695C6C2E1D3}"/>
            </a:ext>
          </a:extLst>
        </xdr:cNvPr>
        <xdr:cNvSpPr/>
      </xdr:nvSpPr>
      <xdr:spPr>
        <a:xfrm>
          <a:off x="170688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85</xdr:row>
      <xdr:rowOff>0</xdr:rowOff>
    </xdr:from>
    <xdr:to>
      <xdr:col>24</xdr:col>
      <xdr:colOff>83820</xdr:colOff>
      <xdr:row>85</xdr:row>
      <xdr:rowOff>114300</xdr:rowOff>
    </xdr:to>
    <xdr:sp macro="" textlink="">
      <xdr:nvSpPr>
        <xdr:cNvPr id="565" name="Arrow: Down 564">
          <a:extLst>
            <a:ext uri="{FF2B5EF4-FFF2-40B4-BE49-F238E27FC236}">
              <a16:creationId xmlns:a16="http://schemas.microsoft.com/office/drawing/2014/main" id="{592ACE14-4A26-4874-9D8C-AAC7ACC2BE25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85</xdr:row>
      <xdr:rowOff>0</xdr:rowOff>
    </xdr:from>
    <xdr:to>
      <xdr:col>5</xdr:col>
      <xdr:colOff>83820</xdr:colOff>
      <xdr:row>85</xdr:row>
      <xdr:rowOff>114300</xdr:rowOff>
    </xdr:to>
    <xdr:sp macro="" textlink="">
      <xdr:nvSpPr>
        <xdr:cNvPr id="566" name="Arrow: Down 565">
          <a:extLst>
            <a:ext uri="{FF2B5EF4-FFF2-40B4-BE49-F238E27FC236}">
              <a16:creationId xmlns:a16="http://schemas.microsoft.com/office/drawing/2014/main" id="{F7F0CB3F-3552-415D-AF9A-7D7B285FC670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85</xdr:row>
      <xdr:rowOff>0</xdr:rowOff>
    </xdr:from>
    <xdr:to>
      <xdr:col>11</xdr:col>
      <xdr:colOff>83820</xdr:colOff>
      <xdr:row>85</xdr:row>
      <xdr:rowOff>114300</xdr:rowOff>
    </xdr:to>
    <xdr:sp macro="" textlink="">
      <xdr:nvSpPr>
        <xdr:cNvPr id="567" name="Arrow: Down 566">
          <a:extLst>
            <a:ext uri="{FF2B5EF4-FFF2-40B4-BE49-F238E27FC236}">
              <a16:creationId xmlns:a16="http://schemas.microsoft.com/office/drawing/2014/main" id="{64B1C074-CFC9-463E-9F18-AA395B160D43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85</xdr:row>
      <xdr:rowOff>0</xdr:rowOff>
    </xdr:from>
    <xdr:to>
      <xdr:col>39</xdr:col>
      <xdr:colOff>83820</xdr:colOff>
      <xdr:row>85</xdr:row>
      <xdr:rowOff>114300</xdr:rowOff>
    </xdr:to>
    <xdr:sp macro="" textlink="">
      <xdr:nvSpPr>
        <xdr:cNvPr id="569" name="Arrow: Down 568">
          <a:extLst>
            <a:ext uri="{FF2B5EF4-FFF2-40B4-BE49-F238E27FC236}">
              <a16:creationId xmlns:a16="http://schemas.microsoft.com/office/drawing/2014/main" id="{58DEFB8F-94F3-4BB4-853F-A5D0F27E7970}"/>
            </a:ext>
          </a:extLst>
        </xdr:cNvPr>
        <xdr:cNvSpPr/>
      </xdr:nvSpPr>
      <xdr:spPr>
        <a:xfrm>
          <a:off x="854964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85</xdr:row>
      <xdr:rowOff>0</xdr:rowOff>
    </xdr:from>
    <xdr:to>
      <xdr:col>60</xdr:col>
      <xdr:colOff>83820</xdr:colOff>
      <xdr:row>85</xdr:row>
      <xdr:rowOff>114300</xdr:rowOff>
    </xdr:to>
    <xdr:sp macro="" textlink="">
      <xdr:nvSpPr>
        <xdr:cNvPr id="572" name="Arrow: Down 571">
          <a:extLst>
            <a:ext uri="{FF2B5EF4-FFF2-40B4-BE49-F238E27FC236}">
              <a16:creationId xmlns:a16="http://schemas.microsoft.com/office/drawing/2014/main" id="{F6836F1D-203A-414E-9CA5-7D7A64037649}"/>
            </a:ext>
          </a:extLst>
        </xdr:cNvPr>
        <xdr:cNvSpPr/>
      </xdr:nvSpPr>
      <xdr:spPr>
        <a:xfrm rot="10800000">
          <a:off x="1475232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86</xdr:row>
      <xdr:rowOff>0</xdr:rowOff>
    </xdr:from>
    <xdr:to>
      <xdr:col>45</xdr:col>
      <xdr:colOff>83820</xdr:colOff>
      <xdr:row>86</xdr:row>
      <xdr:rowOff>114300</xdr:rowOff>
    </xdr:to>
    <xdr:sp macro="" textlink="">
      <xdr:nvSpPr>
        <xdr:cNvPr id="550" name="Arrow: Down 549">
          <a:extLst>
            <a:ext uri="{FF2B5EF4-FFF2-40B4-BE49-F238E27FC236}">
              <a16:creationId xmlns:a16="http://schemas.microsoft.com/office/drawing/2014/main" id="{DE9F070F-1BA8-4EF8-B95B-BDE938C66789}"/>
            </a:ext>
          </a:extLst>
        </xdr:cNvPr>
        <xdr:cNvSpPr/>
      </xdr:nvSpPr>
      <xdr:spPr>
        <a:xfrm rot="10800000">
          <a:off x="101346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86</xdr:row>
      <xdr:rowOff>0</xdr:rowOff>
    </xdr:from>
    <xdr:to>
      <xdr:col>71</xdr:col>
      <xdr:colOff>83820</xdr:colOff>
      <xdr:row>86</xdr:row>
      <xdr:rowOff>114300</xdr:rowOff>
    </xdr:to>
    <xdr:sp macro="" textlink="">
      <xdr:nvSpPr>
        <xdr:cNvPr id="558" name="Arrow: Down 557">
          <a:extLst>
            <a:ext uri="{FF2B5EF4-FFF2-40B4-BE49-F238E27FC236}">
              <a16:creationId xmlns:a16="http://schemas.microsoft.com/office/drawing/2014/main" id="{A8D457D9-6106-453E-AF7C-5F85040CA4F6}"/>
            </a:ext>
          </a:extLst>
        </xdr:cNvPr>
        <xdr:cNvSpPr/>
      </xdr:nvSpPr>
      <xdr:spPr>
        <a:xfrm>
          <a:off x="170688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86</xdr:row>
      <xdr:rowOff>0</xdr:rowOff>
    </xdr:from>
    <xdr:to>
      <xdr:col>24</xdr:col>
      <xdr:colOff>83820</xdr:colOff>
      <xdr:row>86</xdr:row>
      <xdr:rowOff>114300</xdr:rowOff>
    </xdr:to>
    <xdr:sp macro="" textlink="">
      <xdr:nvSpPr>
        <xdr:cNvPr id="563" name="Arrow: Down 562">
          <a:extLst>
            <a:ext uri="{FF2B5EF4-FFF2-40B4-BE49-F238E27FC236}">
              <a16:creationId xmlns:a16="http://schemas.microsoft.com/office/drawing/2014/main" id="{DAF9E590-D928-4098-8F6D-EF3FE367CD12}"/>
            </a:ext>
          </a:extLst>
        </xdr:cNvPr>
        <xdr:cNvSpPr/>
      </xdr:nvSpPr>
      <xdr:spPr>
        <a:xfrm>
          <a:off x="544068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86</xdr:row>
      <xdr:rowOff>0</xdr:rowOff>
    </xdr:from>
    <xdr:to>
      <xdr:col>5</xdr:col>
      <xdr:colOff>83820</xdr:colOff>
      <xdr:row>86</xdr:row>
      <xdr:rowOff>114300</xdr:rowOff>
    </xdr:to>
    <xdr:sp macro="" textlink="">
      <xdr:nvSpPr>
        <xdr:cNvPr id="564" name="Arrow: Down 563">
          <a:extLst>
            <a:ext uri="{FF2B5EF4-FFF2-40B4-BE49-F238E27FC236}">
              <a16:creationId xmlns:a16="http://schemas.microsoft.com/office/drawing/2014/main" id="{DC41CCE0-BAC6-4BF4-B8F4-1D394A66F1ED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86</xdr:row>
      <xdr:rowOff>0</xdr:rowOff>
    </xdr:from>
    <xdr:to>
      <xdr:col>11</xdr:col>
      <xdr:colOff>83820</xdr:colOff>
      <xdr:row>86</xdr:row>
      <xdr:rowOff>114300</xdr:rowOff>
    </xdr:to>
    <xdr:sp macro="" textlink="">
      <xdr:nvSpPr>
        <xdr:cNvPr id="573" name="Arrow: Down 572">
          <a:extLst>
            <a:ext uri="{FF2B5EF4-FFF2-40B4-BE49-F238E27FC236}">
              <a16:creationId xmlns:a16="http://schemas.microsoft.com/office/drawing/2014/main" id="{4E93A918-5ED3-4375-9ABD-655F2ED374D9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86</xdr:row>
      <xdr:rowOff>0</xdr:rowOff>
    </xdr:from>
    <xdr:to>
      <xdr:col>39</xdr:col>
      <xdr:colOff>83820</xdr:colOff>
      <xdr:row>86</xdr:row>
      <xdr:rowOff>114300</xdr:rowOff>
    </xdr:to>
    <xdr:sp macro="" textlink="">
      <xdr:nvSpPr>
        <xdr:cNvPr id="577" name="Arrow: Down 576">
          <a:extLst>
            <a:ext uri="{FF2B5EF4-FFF2-40B4-BE49-F238E27FC236}">
              <a16:creationId xmlns:a16="http://schemas.microsoft.com/office/drawing/2014/main" id="{517D7A9F-5146-4A54-BE02-02790813C46E}"/>
            </a:ext>
          </a:extLst>
        </xdr:cNvPr>
        <xdr:cNvSpPr/>
      </xdr:nvSpPr>
      <xdr:spPr>
        <a:xfrm rot="10800000">
          <a:off x="854964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86</xdr:row>
      <xdr:rowOff>0</xdr:rowOff>
    </xdr:from>
    <xdr:to>
      <xdr:col>60</xdr:col>
      <xdr:colOff>83820</xdr:colOff>
      <xdr:row>86</xdr:row>
      <xdr:rowOff>114300</xdr:rowOff>
    </xdr:to>
    <xdr:sp macro="" textlink="">
      <xdr:nvSpPr>
        <xdr:cNvPr id="578" name="Arrow: Down 577">
          <a:extLst>
            <a:ext uri="{FF2B5EF4-FFF2-40B4-BE49-F238E27FC236}">
              <a16:creationId xmlns:a16="http://schemas.microsoft.com/office/drawing/2014/main" id="{D6EF428C-D7EF-4D31-B359-60D31B1421E2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87</xdr:row>
      <xdr:rowOff>0</xdr:rowOff>
    </xdr:from>
    <xdr:to>
      <xdr:col>45</xdr:col>
      <xdr:colOff>83820</xdr:colOff>
      <xdr:row>87</xdr:row>
      <xdr:rowOff>114300</xdr:rowOff>
    </xdr:to>
    <xdr:sp macro="" textlink="">
      <xdr:nvSpPr>
        <xdr:cNvPr id="574" name="Arrow: Down 573">
          <a:extLst>
            <a:ext uri="{FF2B5EF4-FFF2-40B4-BE49-F238E27FC236}">
              <a16:creationId xmlns:a16="http://schemas.microsoft.com/office/drawing/2014/main" id="{278C8798-1602-4090-ACFD-0967E3B6E373}"/>
            </a:ext>
          </a:extLst>
        </xdr:cNvPr>
        <xdr:cNvSpPr/>
      </xdr:nvSpPr>
      <xdr:spPr>
        <a:xfrm rot="10800000">
          <a:off x="101346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87</xdr:row>
      <xdr:rowOff>0</xdr:rowOff>
    </xdr:from>
    <xdr:to>
      <xdr:col>71</xdr:col>
      <xdr:colOff>83820</xdr:colOff>
      <xdr:row>87</xdr:row>
      <xdr:rowOff>114300</xdr:rowOff>
    </xdr:to>
    <xdr:sp macro="" textlink="">
      <xdr:nvSpPr>
        <xdr:cNvPr id="575" name="Arrow: Down 574">
          <a:extLst>
            <a:ext uri="{FF2B5EF4-FFF2-40B4-BE49-F238E27FC236}">
              <a16:creationId xmlns:a16="http://schemas.microsoft.com/office/drawing/2014/main" id="{A91B58AF-5C32-4ABB-9B7D-E09EB35934B8}"/>
            </a:ext>
          </a:extLst>
        </xdr:cNvPr>
        <xdr:cNvSpPr/>
      </xdr:nvSpPr>
      <xdr:spPr>
        <a:xfrm>
          <a:off x="170688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87</xdr:row>
      <xdr:rowOff>0</xdr:rowOff>
    </xdr:from>
    <xdr:to>
      <xdr:col>24</xdr:col>
      <xdr:colOff>83820</xdr:colOff>
      <xdr:row>87</xdr:row>
      <xdr:rowOff>114300</xdr:rowOff>
    </xdr:to>
    <xdr:sp macro="" textlink="">
      <xdr:nvSpPr>
        <xdr:cNvPr id="576" name="Arrow: Down 575">
          <a:extLst>
            <a:ext uri="{FF2B5EF4-FFF2-40B4-BE49-F238E27FC236}">
              <a16:creationId xmlns:a16="http://schemas.microsoft.com/office/drawing/2014/main" id="{9C790E31-20DC-456F-AE0D-2D46F37ADC29}"/>
            </a:ext>
          </a:extLst>
        </xdr:cNvPr>
        <xdr:cNvSpPr/>
      </xdr:nvSpPr>
      <xdr:spPr>
        <a:xfrm>
          <a:off x="544068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87</xdr:row>
      <xdr:rowOff>0</xdr:rowOff>
    </xdr:from>
    <xdr:to>
      <xdr:col>60</xdr:col>
      <xdr:colOff>83820</xdr:colOff>
      <xdr:row>87</xdr:row>
      <xdr:rowOff>114300</xdr:rowOff>
    </xdr:to>
    <xdr:sp macro="" textlink="">
      <xdr:nvSpPr>
        <xdr:cNvPr id="584" name="Arrow: Down 583">
          <a:extLst>
            <a:ext uri="{FF2B5EF4-FFF2-40B4-BE49-F238E27FC236}">
              <a16:creationId xmlns:a16="http://schemas.microsoft.com/office/drawing/2014/main" id="{66AB14FF-8C4A-408B-92E4-6BBC3E1AC27C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87</xdr:row>
      <xdr:rowOff>0</xdr:rowOff>
    </xdr:from>
    <xdr:to>
      <xdr:col>5</xdr:col>
      <xdr:colOff>83820</xdr:colOff>
      <xdr:row>87</xdr:row>
      <xdr:rowOff>114300</xdr:rowOff>
    </xdr:to>
    <xdr:sp macro="" textlink="">
      <xdr:nvSpPr>
        <xdr:cNvPr id="588" name="Arrow: Down 587">
          <a:extLst>
            <a:ext uri="{FF2B5EF4-FFF2-40B4-BE49-F238E27FC236}">
              <a16:creationId xmlns:a16="http://schemas.microsoft.com/office/drawing/2014/main" id="{084CF643-CF0D-40DA-943B-27894BA12A8D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87</xdr:row>
      <xdr:rowOff>0</xdr:rowOff>
    </xdr:from>
    <xdr:to>
      <xdr:col>11</xdr:col>
      <xdr:colOff>83820</xdr:colOff>
      <xdr:row>87</xdr:row>
      <xdr:rowOff>114300</xdr:rowOff>
    </xdr:to>
    <xdr:sp macro="" textlink="">
      <xdr:nvSpPr>
        <xdr:cNvPr id="592" name="Arrow: Down 591">
          <a:extLst>
            <a:ext uri="{FF2B5EF4-FFF2-40B4-BE49-F238E27FC236}">
              <a16:creationId xmlns:a16="http://schemas.microsoft.com/office/drawing/2014/main" id="{F0AB55C6-7297-4E13-956A-241829B42833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87</xdr:row>
      <xdr:rowOff>0</xdr:rowOff>
    </xdr:from>
    <xdr:to>
      <xdr:col>39</xdr:col>
      <xdr:colOff>83820</xdr:colOff>
      <xdr:row>87</xdr:row>
      <xdr:rowOff>114300</xdr:rowOff>
    </xdr:to>
    <xdr:sp macro="" textlink="">
      <xdr:nvSpPr>
        <xdr:cNvPr id="594" name="Arrow: Down 593">
          <a:extLst>
            <a:ext uri="{FF2B5EF4-FFF2-40B4-BE49-F238E27FC236}">
              <a16:creationId xmlns:a16="http://schemas.microsoft.com/office/drawing/2014/main" id="{C9DEC42C-58F0-4625-8D67-136EEAE2A2B5}"/>
            </a:ext>
          </a:extLst>
        </xdr:cNvPr>
        <xdr:cNvSpPr/>
      </xdr:nvSpPr>
      <xdr:spPr>
        <a:xfrm>
          <a:off x="85496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88</xdr:row>
      <xdr:rowOff>0</xdr:rowOff>
    </xdr:from>
    <xdr:to>
      <xdr:col>45</xdr:col>
      <xdr:colOff>83820</xdr:colOff>
      <xdr:row>88</xdr:row>
      <xdr:rowOff>114300</xdr:rowOff>
    </xdr:to>
    <xdr:sp macro="" textlink="">
      <xdr:nvSpPr>
        <xdr:cNvPr id="596" name="Arrow: Down 595">
          <a:extLst>
            <a:ext uri="{FF2B5EF4-FFF2-40B4-BE49-F238E27FC236}">
              <a16:creationId xmlns:a16="http://schemas.microsoft.com/office/drawing/2014/main" id="{09D5CA95-BBBE-4643-8570-AB7926B6BBB5}"/>
            </a:ext>
          </a:extLst>
        </xdr:cNvPr>
        <xdr:cNvSpPr/>
      </xdr:nvSpPr>
      <xdr:spPr>
        <a:xfrm rot="10800000">
          <a:off x="1310640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88</xdr:row>
      <xdr:rowOff>0</xdr:rowOff>
    </xdr:from>
    <xdr:to>
      <xdr:col>71</xdr:col>
      <xdr:colOff>83820</xdr:colOff>
      <xdr:row>88</xdr:row>
      <xdr:rowOff>114300</xdr:rowOff>
    </xdr:to>
    <xdr:sp macro="" textlink="">
      <xdr:nvSpPr>
        <xdr:cNvPr id="597" name="Arrow: Down 596">
          <a:extLst>
            <a:ext uri="{FF2B5EF4-FFF2-40B4-BE49-F238E27FC236}">
              <a16:creationId xmlns:a16="http://schemas.microsoft.com/office/drawing/2014/main" id="{8946EF6A-EF23-41E0-AA2E-3DB3D40C54A7}"/>
            </a:ext>
          </a:extLst>
        </xdr:cNvPr>
        <xdr:cNvSpPr/>
      </xdr:nvSpPr>
      <xdr:spPr>
        <a:xfrm>
          <a:off x="213817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88</xdr:row>
      <xdr:rowOff>0</xdr:rowOff>
    </xdr:from>
    <xdr:to>
      <xdr:col>24</xdr:col>
      <xdr:colOff>83820</xdr:colOff>
      <xdr:row>88</xdr:row>
      <xdr:rowOff>114300</xdr:rowOff>
    </xdr:to>
    <xdr:sp macro="" textlink="">
      <xdr:nvSpPr>
        <xdr:cNvPr id="598" name="Arrow: Down 597">
          <a:extLst>
            <a:ext uri="{FF2B5EF4-FFF2-40B4-BE49-F238E27FC236}">
              <a16:creationId xmlns:a16="http://schemas.microsoft.com/office/drawing/2014/main" id="{01700663-120E-42A6-A959-B7FD08E1DCA4}"/>
            </a:ext>
          </a:extLst>
        </xdr:cNvPr>
        <xdr:cNvSpPr/>
      </xdr:nvSpPr>
      <xdr:spPr>
        <a:xfrm>
          <a:off x="710184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88</xdr:row>
      <xdr:rowOff>0</xdr:rowOff>
    </xdr:from>
    <xdr:to>
      <xdr:col>60</xdr:col>
      <xdr:colOff>83820</xdr:colOff>
      <xdr:row>88</xdr:row>
      <xdr:rowOff>114300</xdr:rowOff>
    </xdr:to>
    <xdr:sp macro="" textlink="">
      <xdr:nvSpPr>
        <xdr:cNvPr id="599" name="Arrow: Down 598">
          <a:extLst>
            <a:ext uri="{FF2B5EF4-FFF2-40B4-BE49-F238E27FC236}">
              <a16:creationId xmlns:a16="http://schemas.microsoft.com/office/drawing/2014/main" id="{7528FAC1-0F86-4477-AFCA-5CFBD8E85B63}"/>
            </a:ext>
          </a:extLst>
        </xdr:cNvPr>
        <xdr:cNvSpPr/>
      </xdr:nvSpPr>
      <xdr:spPr>
        <a:xfrm>
          <a:off x="177241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88</xdr:row>
      <xdr:rowOff>0</xdr:rowOff>
    </xdr:from>
    <xdr:to>
      <xdr:col>5</xdr:col>
      <xdr:colOff>83820</xdr:colOff>
      <xdr:row>88</xdr:row>
      <xdr:rowOff>114300</xdr:rowOff>
    </xdr:to>
    <xdr:sp macro="" textlink="">
      <xdr:nvSpPr>
        <xdr:cNvPr id="600" name="Arrow: Down 599">
          <a:extLst>
            <a:ext uri="{FF2B5EF4-FFF2-40B4-BE49-F238E27FC236}">
              <a16:creationId xmlns:a16="http://schemas.microsoft.com/office/drawing/2014/main" id="{D9C84463-B7D0-47EC-9FDA-CA0D4168560A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88</xdr:row>
      <xdr:rowOff>0</xdr:rowOff>
    </xdr:from>
    <xdr:to>
      <xdr:col>11</xdr:col>
      <xdr:colOff>83820</xdr:colOff>
      <xdr:row>88</xdr:row>
      <xdr:rowOff>114300</xdr:rowOff>
    </xdr:to>
    <xdr:sp macro="" textlink="">
      <xdr:nvSpPr>
        <xdr:cNvPr id="601" name="Arrow: Down 600">
          <a:extLst>
            <a:ext uri="{FF2B5EF4-FFF2-40B4-BE49-F238E27FC236}">
              <a16:creationId xmlns:a16="http://schemas.microsoft.com/office/drawing/2014/main" id="{C5B0A287-0C3E-4F41-B77A-D814F9E0FEFE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88</xdr:row>
      <xdr:rowOff>0</xdr:rowOff>
    </xdr:from>
    <xdr:to>
      <xdr:col>39</xdr:col>
      <xdr:colOff>83820</xdr:colOff>
      <xdr:row>88</xdr:row>
      <xdr:rowOff>114300</xdr:rowOff>
    </xdr:to>
    <xdr:sp macro="" textlink="">
      <xdr:nvSpPr>
        <xdr:cNvPr id="602" name="Arrow: Down 601">
          <a:extLst>
            <a:ext uri="{FF2B5EF4-FFF2-40B4-BE49-F238E27FC236}">
              <a16:creationId xmlns:a16="http://schemas.microsoft.com/office/drawing/2014/main" id="{5710110F-6BC4-46C4-8D5E-5173D6FA2322}"/>
            </a:ext>
          </a:extLst>
        </xdr:cNvPr>
        <xdr:cNvSpPr/>
      </xdr:nvSpPr>
      <xdr:spPr>
        <a:xfrm>
          <a:off x="115214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89</xdr:row>
      <xdr:rowOff>0</xdr:rowOff>
    </xdr:from>
    <xdr:to>
      <xdr:col>45</xdr:col>
      <xdr:colOff>83820</xdr:colOff>
      <xdr:row>89</xdr:row>
      <xdr:rowOff>114300</xdr:rowOff>
    </xdr:to>
    <xdr:sp macro="" textlink="">
      <xdr:nvSpPr>
        <xdr:cNvPr id="581" name="Arrow: Down 580">
          <a:extLst>
            <a:ext uri="{FF2B5EF4-FFF2-40B4-BE49-F238E27FC236}">
              <a16:creationId xmlns:a16="http://schemas.microsoft.com/office/drawing/2014/main" id="{2932EA77-D4CA-4924-88E1-8262E411F4F1}"/>
            </a:ext>
          </a:extLst>
        </xdr:cNvPr>
        <xdr:cNvSpPr/>
      </xdr:nvSpPr>
      <xdr:spPr>
        <a:xfrm rot="10800000">
          <a:off x="1310640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89</xdr:row>
      <xdr:rowOff>0</xdr:rowOff>
    </xdr:from>
    <xdr:to>
      <xdr:col>71</xdr:col>
      <xdr:colOff>83820</xdr:colOff>
      <xdr:row>89</xdr:row>
      <xdr:rowOff>114300</xdr:rowOff>
    </xdr:to>
    <xdr:sp macro="" textlink="">
      <xdr:nvSpPr>
        <xdr:cNvPr id="582" name="Arrow: Down 581">
          <a:extLst>
            <a:ext uri="{FF2B5EF4-FFF2-40B4-BE49-F238E27FC236}">
              <a16:creationId xmlns:a16="http://schemas.microsoft.com/office/drawing/2014/main" id="{5D94833A-1CE0-4EA4-8AE9-1D7A037DCA8B}"/>
            </a:ext>
          </a:extLst>
        </xdr:cNvPr>
        <xdr:cNvSpPr/>
      </xdr:nvSpPr>
      <xdr:spPr>
        <a:xfrm>
          <a:off x="2138172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89</xdr:row>
      <xdr:rowOff>0</xdr:rowOff>
    </xdr:from>
    <xdr:to>
      <xdr:col>11</xdr:col>
      <xdr:colOff>83820</xdr:colOff>
      <xdr:row>89</xdr:row>
      <xdr:rowOff>114300</xdr:rowOff>
    </xdr:to>
    <xdr:sp macro="" textlink="">
      <xdr:nvSpPr>
        <xdr:cNvPr id="590" name="Arrow: Down 589">
          <a:extLst>
            <a:ext uri="{FF2B5EF4-FFF2-40B4-BE49-F238E27FC236}">
              <a16:creationId xmlns:a16="http://schemas.microsoft.com/office/drawing/2014/main" id="{C6FE5652-1246-4E42-9DE2-408182FDCEF7}"/>
            </a:ext>
          </a:extLst>
        </xdr:cNvPr>
        <xdr:cNvSpPr/>
      </xdr:nvSpPr>
      <xdr:spPr>
        <a:xfrm>
          <a:off x="3619500" y="16192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89</xdr:row>
      <xdr:rowOff>0</xdr:rowOff>
    </xdr:from>
    <xdr:to>
      <xdr:col>24</xdr:col>
      <xdr:colOff>83820</xdr:colOff>
      <xdr:row>89</xdr:row>
      <xdr:rowOff>114300</xdr:rowOff>
    </xdr:to>
    <xdr:sp macro="" textlink="">
      <xdr:nvSpPr>
        <xdr:cNvPr id="608" name="Arrow: Down 607">
          <a:extLst>
            <a:ext uri="{FF2B5EF4-FFF2-40B4-BE49-F238E27FC236}">
              <a16:creationId xmlns:a16="http://schemas.microsoft.com/office/drawing/2014/main" id="{625EA2B2-9074-4EA2-A377-5965470956EB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89</xdr:row>
      <xdr:rowOff>0</xdr:rowOff>
    </xdr:from>
    <xdr:to>
      <xdr:col>39</xdr:col>
      <xdr:colOff>83820</xdr:colOff>
      <xdr:row>89</xdr:row>
      <xdr:rowOff>114300</xdr:rowOff>
    </xdr:to>
    <xdr:sp macro="" textlink="">
      <xdr:nvSpPr>
        <xdr:cNvPr id="609" name="Arrow: Down 608">
          <a:extLst>
            <a:ext uri="{FF2B5EF4-FFF2-40B4-BE49-F238E27FC236}">
              <a16:creationId xmlns:a16="http://schemas.microsoft.com/office/drawing/2014/main" id="{AF73CAB3-8122-46AC-8DF0-CA46A1B0C1C3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89</xdr:row>
      <xdr:rowOff>0</xdr:rowOff>
    </xdr:from>
    <xdr:to>
      <xdr:col>5</xdr:col>
      <xdr:colOff>83820</xdr:colOff>
      <xdr:row>89</xdr:row>
      <xdr:rowOff>114300</xdr:rowOff>
    </xdr:to>
    <xdr:sp macro="" textlink="">
      <xdr:nvSpPr>
        <xdr:cNvPr id="610" name="Arrow: Down 609">
          <a:extLst>
            <a:ext uri="{FF2B5EF4-FFF2-40B4-BE49-F238E27FC236}">
              <a16:creationId xmlns:a16="http://schemas.microsoft.com/office/drawing/2014/main" id="{6A506863-2EE0-46CA-91AC-7EE5647247EA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89</xdr:row>
      <xdr:rowOff>0</xdr:rowOff>
    </xdr:from>
    <xdr:to>
      <xdr:col>60</xdr:col>
      <xdr:colOff>83820</xdr:colOff>
      <xdr:row>89</xdr:row>
      <xdr:rowOff>114300</xdr:rowOff>
    </xdr:to>
    <xdr:sp macro="" textlink="">
      <xdr:nvSpPr>
        <xdr:cNvPr id="611" name="Arrow: Down 610">
          <a:extLst>
            <a:ext uri="{FF2B5EF4-FFF2-40B4-BE49-F238E27FC236}">
              <a16:creationId xmlns:a16="http://schemas.microsoft.com/office/drawing/2014/main" id="{6CBCED35-CC8A-4804-BB38-482AEC42E087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90</xdr:row>
      <xdr:rowOff>0</xdr:rowOff>
    </xdr:from>
    <xdr:to>
      <xdr:col>45</xdr:col>
      <xdr:colOff>83820</xdr:colOff>
      <xdr:row>90</xdr:row>
      <xdr:rowOff>114300</xdr:rowOff>
    </xdr:to>
    <xdr:sp macro="" textlink="">
      <xdr:nvSpPr>
        <xdr:cNvPr id="583" name="Arrow: Down 582">
          <a:extLst>
            <a:ext uri="{FF2B5EF4-FFF2-40B4-BE49-F238E27FC236}">
              <a16:creationId xmlns:a16="http://schemas.microsoft.com/office/drawing/2014/main" id="{B6D12E32-F589-44C7-B5A1-A16A72EA9A6F}"/>
            </a:ext>
          </a:extLst>
        </xdr:cNvPr>
        <xdr:cNvSpPr/>
      </xdr:nvSpPr>
      <xdr:spPr>
        <a:xfrm rot="10800000">
          <a:off x="101346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90</xdr:row>
      <xdr:rowOff>0</xdr:rowOff>
    </xdr:from>
    <xdr:to>
      <xdr:col>71</xdr:col>
      <xdr:colOff>83820</xdr:colOff>
      <xdr:row>90</xdr:row>
      <xdr:rowOff>114300</xdr:rowOff>
    </xdr:to>
    <xdr:sp macro="" textlink="">
      <xdr:nvSpPr>
        <xdr:cNvPr id="585" name="Arrow: Down 584">
          <a:extLst>
            <a:ext uri="{FF2B5EF4-FFF2-40B4-BE49-F238E27FC236}">
              <a16:creationId xmlns:a16="http://schemas.microsoft.com/office/drawing/2014/main" id="{564A3FE1-F936-414E-9D3A-FF876DA610C0}"/>
            </a:ext>
          </a:extLst>
        </xdr:cNvPr>
        <xdr:cNvSpPr/>
      </xdr:nvSpPr>
      <xdr:spPr>
        <a:xfrm>
          <a:off x="170688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90</xdr:row>
      <xdr:rowOff>0</xdr:rowOff>
    </xdr:from>
    <xdr:to>
      <xdr:col>11</xdr:col>
      <xdr:colOff>83820</xdr:colOff>
      <xdr:row>90</xdr:row>
      <xdr:rowOff>114300</xdr:rowOff>
    </xdr:to>
    <xdr:sp macro="" textlink="">
      <xdr:nvSpPr>
        <xdr:cNvPr id="586" name="Arrow: Down 585">
          <a:extLst>
            <a:ext uri="{FF2B5EF4-FFF2-40B4-BE49-F238E27FC236}">
              <a16:creationId xmlns:a16="http://schemas.microsoft.com/office/drawing/2014/main" id="{A7575F84-AE59-4555-93E4-BC16940CD9EA}"/>
            </a:ext>
          </a:extLst>
        </xdr:cNvPr>
        <xdr:cNvSpPr/>
      </xdr:nvSpPr>
      <xdr:spPr>
        <a:xfrm>
          <a:off x="3619500" y="16375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90</xdr:row>
      <xdr:rowOff>0</xdr:rowOff>
    </xdr:from>
    <xdr:to>
      <xdr:col>24</xdr:col>
      <xdr:colOff>83820</xdr:colOff>
      <xdr:row>90</xdr:row>
      <xdr:rowOff>114300</xdr:rowOff>
    </xdr:to>
    <xdr:sp macro="" textlink="">
      <xdr:nvSpPr>
        <xdr:cNvPr id="605" name="Arrow: Down 604">
          <a:extLst>
            <a:ext uri="{FF2B5EF4-FFF2-40B4-BE49-F238E27FC236}">
              <a16:creationId xmlns:a16="http://schemas.microsoft.com/office/drawing/2014/main" id="{4006E4F8-ED4B-432B-811D-665B9B566251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90</xdr:row>
      <xdr:rowOff>0</xdr:rowOff>
    </xdr:from>
    <xdr:to>
      <xdr:col>39</xdr:col>
      <xdr:colOff>83820</xdr:colOff>
      <xdr:row>90</xdr:row>
      <xdr:rowOff>114300</xdr:rowOff>
    </xdr:to>
    <xdr:sp macro="" textlink="">
      <xdr:nvSpPr>
        <xdr:cNvPr id="607" name="Arrow: Down 606">
          <a:extLst>
            <a:ext uri="{FF2B5EF4-FFF2-40B4-BE49-F238E27FC236}">
              <a16:creationId xmlns:a16="http://schemas.microsoft.com/office/drawing/2014/main" id="{446097BE-E9EC-4C90-8333-E9F57DAA0F4B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90</xdr:row>
      <xdr:rowOff>0</xdr:rowOff>
    </xdr:from>
    <xdr:to>
      <xdr:col>5</xdr:col>
      <xdr:colOff>83820</xdr:colOff>
      <xdr:row>90</xdr:row>
      <xdr:rowOff>114300</xdr:rowOff>
    </xdr:to>
    <xdr:sp macro="" textlink="">
      <xdr:nvSpPr>
        <xdr:cNvPr id="612" name="Arrow: Down 611">
          <a:extLst>
            <a:ext uri="{FF2B5EF4-FFF2-40B4-BE49-F238E27FC236}">
              <a16:creationId xmlns:a16="http://schemas.microsoft.com/office/drawing/2014/main" id="{1A876879-4C70-4C32-89BB-3A3CF71013C6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90</xdr:row>
      <xdr:rowOff>0</xdr:rowOff>
    </xdr:from>
    <xdr:to>
      <xdr:col>60</xdr:col>
      <xdr:colOff>83820</xdr:colOff>
      <xdr:row>90</xdr:row>
      <xdr:rowOff>114300</xdr:rowOff>
    </xdr:to>
    <xdr:sp macro="" textlink="">
      <xdr:nvSpPr>
        <xdr:cNvPr id="613" name="Arrow: Down 612">
          <a:extLst>
            <a:ext uri="{FF2B5EF4-FFF2-40B4-BE49-F238E27FC236}">
              <a16:creationId xmlns:a16="http://schemas.microsoft.com/office/drawing/2014/main" id="{36F67B6A-A9B1-4FE9-8CC6-5C7A111EE11D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91</xdr:row>
      <xdr:rowOff>0</xdr:rowOff>
    </xdr:from>
    <xdr:to>
      <xdr:col>45</xdr:col>
      <xdr:colOff>83820</xdr:colOff>
      <xdr:row>91</xdr:row>
      <xdr:rowOff>114300</xdr:rowOff>
    </xdr:to>
    <xdr:sp macro="" textlink="">
      <xdr:nvSpPr>
        <xdr:cNvPr id="614" name="Arrow: Down 613">
          <a:extLst>
            <a:ext uri="{FF2B5EF4-FFF2-40B4-BE49-F238E27FC236}">
              <a16:creationId xmlns:a16="http://schemas.microsoft.com/office/drawing/2014/main" id="{9B217658-6A92-4CAB-B39B-42060CF0F066}"/>
            </a:ext>
          </a:extLst>
        </xdr:cNvPr>
        <xdr:cNvSpPr/>
      </xdr:nvSpPr>
      <xdr:spPr>
        <a:xfrm rot="10800000">
          <a:off x="101346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91</xdr:row>
      <xdr:rowOff>0</xdr:rowOff>
    </xdr:from>
    <xdr:to>
      <xdr:col>71</xdr:col>
      <xdr:colOff>83820</xdr:colOff>
      <xdr:row>91</xdr:row>
      <xdr:rowOff>114300</xdr:rowOff>
    </xdr:to>
    <xdr:sp macro="" textlink="">
      <xdr:nvSpPr>
        <xdr:cNvPr id="615" name="Arrow: Down 614">
          <a:extLst>
            <a:ext uri="{FF2B5EF4-FFF2-40B4-BE49-F238E27FC236}">
              <a16:creationId xmlns:a16="http://schemas.microsoft.com/office/drawing/2014/main" id="{B16EF4F5-FCCC-4CF7-9964-6BD7E5E0A51E}"/>
            </a:ext>
          </a:extLst>
        </xdr:cNvPr>
        <xdr:cNvSpPr/>
      </xdr:nvSpPr>
      <xdr:spPr>
        <a:xfrm>
          <a:off x="170688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91</xdr:row>
      <xdr:rowOff>0</xdr:rowOff>
    </xdr:from>
    <xdr:to>
      <xdr:col>39</xdr:col>
      <xdr:colOff>83820</xdr:colOff>
      <xdr:row>91</xdr:row>
      <xdr:rowOff>114300</xdr:rowOff>
    </xdr:to>
    <xdr:sp macro="" textlink="">
      <xdr:nvSpPr>
        <xdr:cNvPr id="618" name="Arrow: Down 617">
          <a:extLst>
            <a:ext uri="{FF2B5EF4-FFF2-40B4-BE49-F238E27FC236}">
              <a16:creationId xmlns:a16="http://schemas.microsoft.com/office/drawing/2014/main" id="{6A8CC463-9B5B-4D9B-90AF-38CF7A366E34}"/>
            </a:ext>
          </a:extLst>
        </xdr:cNvPr>
        <xdr:cNvSpPr/>
      </xdr:nvSpPr>
      <xdr:spPr>
        <a:xfrm rot="10800000">
          <a:off x="854964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91</xdr:row>
      <xdr:rowOff>0</xdr:rowOff>
    </xdr:from>
    <xdr:to>
      <xdr:col>5</xdr:col>
      <xdr:colOff>83820</xdr:colOff>
      <xdr:row>91</xdr:row>
      <xdr:rowOff>114300</xdr:rowOff>
    </xdr:to>
    <xdr:sp macro="" textlink="">
      <xdr:nvSpPr>
        <xdr:cNvPr id="619" name="Arrow: Down 618">
          <a:extLst>
            <a:ext uri="{FF2B5EF4-FFF2-40B4-BE49-F238E27FC236}">
              <a16:creationId xmlns:a16="http://schemas.microsoft.com/office/drawing/2014/main" id="{DD51BE25-6207-466F-BA60-D54BA04DACAF}"/>
            </a:ext>
          </a:extLst>
        </xdr:cNvPr>
        <xdr:cNvSpPr/>
      </xdr:nvSpPr>
      <xdr:spPr>
        <a:xfrm rot="10800000">
          <a:off x="1927860" y="16558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91</xdr:row>
      <xdr:rowOff>0</xdr:rowOff>
    </xdr:from>
    <xdr:to>
      <xdr:col>60</xdr:col>
      <xdr:colOff>83820</xdr:colOff>
      <xdr:row>91</xdr:row>
      <xdr:rowOff>114300</xdr:rowOff>
    </xdr:to>
    <xdr:sp macro="" textlink="">
      <xdr:nvSpPr>
        <xdr:cNvPr id="621" name="Arrow: Down 620">
          <a:extLst>
            <a:ext uri="{FF2B5EF4-FFF2-40B4-BE49-F238E27FC236}">
              <a16:creationId xmlns:a16="http://schemas.microsoft.com/office/drawing/2014/main" id="{0D452C8D-2EAD-46EC-B9A3-A58A3F04A6F1}"/>
            </a:ext>
          </a:extLst>
        </xdr:cNvPr>
        <xdr:cNvSpPr/>
      </xdr:nvSpPr>
      <xdr:spPr>
        <a:xfrm>
          <a:off x="1475232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91</xdr:row>
      <xdr:rowOff>0</xdr:rowOff>
    </xdr:from>
    <xdr:to>
      <xdr:col>24</xdr:col>
      <xdr:colOff>83820</xdr:colOff>
      <xdr:row>91</xdr:row>
      <xdr:rowOff>114300</xdr:rowOff>
    </xdr:to>
    <xdr:sp macro="" textlink="">
      <xdr:nvSpPr>
        <xdr:cNvPr id="622" name="Arrow: Down 621">
          <a:extLst>
            <a:ext uri="{FF2B5EF4-FFF2-40B4-BE49-F238E27FC236}">
              <a16:creationId xmlns:a16="http://schemas.microsoft.com/office/drawing/2014/main" id="{7A03E1A5-9B8D-404E-A430-045E90B464E3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91</xdr:row>
      <xdr:rowOff>0</xdr:rowOff>
    </xdr:from>
    <xdr:to>
      <xdr:col>11</xdr:col>
      <xdr:colOff>83820</xdr:colOff>
      <xdr:row>91</xdr:row>
      <xdr:rowOff>114300</xdr:rowOff>
    </xdr:to>
    <xdr:sp macro="" textlink="">
      <xdr:nvSpPr>
        <xdr:cNvPr id="623" name="Arrow: Down 622">
          <a:extLst>
            <a:ext uri="{FF2B5EF4-FFF2-40B4-BE49-F238E27FC236}">
              <a16:creationId xmlns:a16="http://schemas.microsoft.com/office/drawing/2014/main" id="{C5C427A5-FAD8-44E5-B2DA-D7ACE751F57A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92</xdr:row>
      <xdr:rowOff>0</xdr:rowOff>
    </xdr:from>
    <xdr:to>
      <xdr:col>71</xdr:col>
      <xdr:colOff>83820</xdr:colOff>
      <xdr:row>92</xdr:row>
      <xdr:rowOff>114300</xdr:rowOff>
    </xdr:to>
    <xdr:sp macro="" textlink="">
      <xdr:nvSpPr>
        <xdr:cNvPr id="617" name="Arrow: Down 616">
          <a:extLst>
            <a:ext uri="{FF2B5EF4-FFF2-40B4-BE49-F238E27FC236}">
              <a16:creationId xmlns:a16="http://schemas.microsoft.com/office/drawing/2014/main" id="{024DB0A9-E788-428F-B8D0-BDCDBA5B50DF}"/>
            </a:ext>
          </a:extLst>
        </xdr:cNvPr>
        <xdr:cNvSpPr/>
      </xdr:nvSpPr>
      <xdr:spPr>
        <a:xfrm>
          <a:off x="1706880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92</xdr:row>
      <xdr:rowOff>0</xdr:rowOff>
    </xdr:from>
    <xdr:to>
      <xdr:col>5</xdr:col>
      <xdr:colOff>83820</xdr:colOff>
      <xdr:row>92</xdr:row>
      <xdr:rowOff>114300</xdr:rowOff>
    </xdr:to>
    <xdr:sp macro="" textlink="">
      <xdr:nvSpPr>
        <xdr:cNvPr id="624" name="Arrow: Down 623">
          <a:extLst>
            <a:ext uri="{FF2B5EF4-FFF2-40B4-BE49-F238E27FC236}">
              <a16:creationId xmlns:a16="http://schemas.microsoft.com/office/drawing/2014/main" id="{39BDD6D1-CF4A-4679-AA55-4BEC82B4F433}"/>
            </a:ext>
          </a:extLst>
        </xdr:cNvPr>
        <xdr:cNvSpPr/>
      </xdr:nvSpPr>
      <xdr:spPr>
        <a:xfrm rot="10800000">
          <a:off x="192786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92</xdr:row>
      <xdr:rowOff>0</xdr:rowOff>
    </xdr:from>
    <xdr:to>
      <xdr:col>24</xdr:col>
      <xdr:colOff>83820</xdr:colOff>
      <xdr:row>92</xdr:row>
      <xdr:rowOff>114300</xdr:rowOff>
    </xdr:to>
    <xdr:sp macro="" textlink="">
      <xdr:nvSpPr>
        <xdr:cNvPr id="626" name="Arrow: Down 625">
          <a:extLst>
            <a:ext uri="{FF2B5EF4-FFF2-40B4-BE49-F238E27FC236}">
              <a16:creationId xmlns:a16="http://schemas.microsoft.com/office/drawing/2014/main" id="{AC17A3B8-EA6C-47AF-B0B5-6D478F3ADB6B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92</xdr:row>
      <xdr:rowOff>0</xdr:rowOff>
    </xdr:from>
    <xdr:to>
      <xdr:col>11</xdr:col>
      <xdr:colOff>83820</xdr:colOff>
      <xdr:row>92</xdr:row>
      <xdr:rowOff>114300</xdr:rowOff>
    </xdr:to>
    <xdr:sp macro="" textlink="">
      <xdr:nvSpPr>
        <xdr:cNvPr id="627" name="Arrow: Down 626">
          <a:extLst>
            <a:ext uri="{FF2B5EF4-FFF2-40B4-BE49-F238E27FC236}">
              <a16:creationId xmlns:a16="http://schemas.microsoft.com/office/drawing/2014/main" id="{DABDA057-06DE-4344-B004-6861DE62F37F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92</xdr:row>
      <xdr:rowOff>0</xdr:rowOff>
    </xdr:from>
    <xdr:to>
      <xdr:col>39</xdr:col>
      <xdr:colOff>83820</xdr:colOff>
      <xdr:row>92</xdr:row>
      <xdr:rowOff>114300</xdr:rowOff>
    </xdr:to>
    <xdr:sp macro="" textlink="">
      <xdr:nvSpPr>
        <xdr:cNvPr id="628" name="Arrow: Down 627">
          <a:extLst>
            <a:ext uri="{FF2B5EF4-FFF2-40B4-BE49-F238E27FC236}">
              <a16:creationId xmlns:a16="http://schemas.microsoft.com/office/drawing/2014/main" id="{D60F4993-4DB6-4717-9569-B73B1AB0A8DB}"/>
            </a:ext>
          </a:extLst>
        </xdr:cNvPr>
        <xdr:cNvSpPr/>
      </xdr:nvSpPr>
      <xdr:spPr>
        <a:xfrm>
          <a:off x="854964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92</xdr:row>
      <xdr:rowOff>0</xdr:rowOff>
    </xdr:from>
    <xdr:to>
      <xdr:col>45</xdr:col>
      <xdr:colOff>83820</xdr:colOff>
      <xdr:row>92</xdr:row>
      <xdr:rowOff>114300</xdr:rowOff>
    </xdr:to>
    <xdr:sp macro="" textlink="">
      <xdr:nvSpPr>
        <xdr:cNvPr id="629" name="Arrow: Down 628">
          <a:extLst>
            <a:ext uri="{FF2B5EF4-FFF2-40B4-BE49-F238E27FC236}">
              <a16:creationId xmlns:a16="http://schemas.microsoft.com/office/drawing/2014/main" id="{08FD601C-109C-4519-9D9D-1C9650FDBF73}"/>
            </a:ext>
          </a:extLst>
        </xdr:cNvPr>
        <xdr:cNvSpPr/>
      </xdr:nvSpPr>
      <xdr:spPr>
        <a:xfrm>
          <a:off x="101346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93</xdr:row>
      <xdr:rowOff>0</xdr:rowOff>
    </xdr:from>
    <xdr:to>
      <xdr:col>71</xdr:col>
      <xdr:colOff>83820</xdr:colOff>
      <xdr:row>93</xdr:row>
      <xdr:rowOff>114300</xdr:rowOff>
    </xdr:to>
    <xdr:sp macro="" textlink="">
      <xdr:nvSpPr>
        <xdr:cNvPr id="638" name="Arrow: Down 637">
          <a:extLst>
            <a:ext uri="{FF2B5EF4-FFF2-40B4-BE49-F238E27FC236}">
              <a16:creationId xmlns:a16="http://schemas.microsoft.com/office/drawing/2014/main" id="{15042096-613B-454F-A913-FB19A4135B1C}"/>
            </a:ext>
          </a:extLst>
        </xdr:cNvPr>
        <xdr:cNvSpPr/>
      </xdr:nvSpPr>
      <xdr:spPr>
        <a:xfrm>
          <a:off x="1706880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93</xdr:row>
      <xdr:rowOff>0</xdr:rowOff>
    </xdr:from>
    <xdr:to>
      <xdr:col>5</xdr:col>
      <xdr:colOff>83820</xdr:colOff>
      <xdr:row>93</xdr:row>
      <xdr:rowOff>114300</xdr:rowOff>
    </xdr:to>
    <xdr:sp macro="" textlink="">
      <xdr:nvSpPr>
        <xdr:cNvPr id="639" name="Arrow: Down 638">
          <a:extLst>
            <a:ext uri="{FF2B5EF4-FFF2-40B4-BE49-F238E27FC236}">
              <a16:creationId xmlns:a16="http://schemas.microsoft.com/office/drawing/2014/main" id="{83B40CA9-CC29-4956-891B-A62E0FAEB507}"/>
            </a:ext>
          </a:extLst>
        </xdr:cNvPr>
        <xdr:cNvSpPr/>
      </xdr:nvSpPr>
      <xdr:spPr>
        <a:xfrm rot="10800000">
          <a:off x="192786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93</xdr:row>
      <xdr:rowOff>0</xdr:rowOff>
    </xdr:from>
    <xdr:to>
      <xdr:col>24</xdr:col>
      <xdr:colOff>83820</xdr:colOff>
      <xdr:row>93</xdr:row>
      <xdr:rowOff>114300</xdr:rowOff>
    </xdr:to>
    <xdr:sp macro="" textlink="">
      <xdr:nvSpPr>
        <xdr:cNvPr id="640" name="Arrow: Down 639">
          <a:extLst>
            <a:ext uri="{FF2B5EF4-FFF2-40B4-BE49-F238E27FC236}">
              <a16:creationId xmlns:a16="http://schemas.microsoft.com/office/drawing/2014/main" id="{41EDA0A4-5574-4A8B-A136-050B540E81FD}"/>
            </a:ext>
          </a:extLst>
        </xdr:cNvPr>
        <xdr:cNvSpPr/>
      </xdr:nvSpPr>
      <xdr:spPr>
        <a:xfrm>
          <a:off x="544068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93</xdr:row>
      <xdr:rowOff>0</xdr:rowOff>
    </xdr:from>
    <xdr:to>
      <xdr:col>11</xdr:col>
      <xdr:colOff>83820</xdr:colOff>
      <xdr:row>93</xdr:row>
      <xdr:rowOff>114300</xdr:rowOff>
    </xdr:to>
    <xdr:sp macro="" textlink="">
      <xdr:nvSpPr>
        <xdr:cNvPr id="641" name="Arrow: Down 640">
          <a:extLst>
            <a:ext uri="{FF2B5EF4-FFF2-40B4-BE49-F238E27FC236}">
              <a16:creationId xmlns:a16="http://schemas.microsoft.com/office/drawing/2014/main" id="{5FFBE935-49E2-4DE7-81B9-D7F4921B89A5}"/>
            </a:ext>
          </a:extLst>
        </xdr:cNvPr>
        <xdr:cNvSpPr/>
      </xdr:nvSpPr>
      <xdr:spPr>
        <a:xfrm rot="10800000">
          <a:off x="36195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92</xdr:row>
      <xdr:rowOff>0</xdr:rowOff>
    </xdr:from>
    <xdr:to>
      <xdr:col>60</xdr:col>
      <xdr:colOff>83820</xdr:colOff>
      <xdr:row>92</xdr:row>
      <xdr:rowOff>114300</xdr:rowOff>
    </xdr:to>
    <xdr:sp macro="" textlink="">
      <xdr:nvSpPr>
        <xdr:cNvPr id="645" name="Arrow: Down 644">
          <a:extLst>
            <a:ext uri="{FF2B5EF4-FFF2-40B4-BE49-F238E27FC236}">
              <a16:creationId xmlns:a16="http://schemas.microsoft.com/office/drawing/2014/main" id="{B20EC97E-D93C-4C14-9E7A-5CCF5193EC9F}"/>
            </a:ext>
          </a:extLst>
        </xdr:cNvPr>
        <xdr:cNvSpPr/>
      </xdr:nvSpPr>
      <xdr:spPr>
        <a:xfrm rot="10800000">
          <a:off x="1475232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94</xdr:row>
      <xdr:rowOff>0</xdr:rowOff>
    </xdr:from>
    <xdr:to>
      <xdr:col>71</xdr:col>
      <xdr:colOff>83820</xdr:colOff>
      <xdr:row>94</xdr:row>
      <xdr:rowOff>114300</xdr:rowOff>
    </xdr:to>
    <xdr:sp macro="" textlink="">
      <xdr:nvSpPr>
        <xdr:cNvPr id="625" name="Arrow: Down 624">
          <a:extLst>
            <a:ext uri="{FF2B5EF4-FFF2-40B4-BE49-F238E27FC236}">
              <a16:creationId xmlns:a16="http://schemas.microsoft.com/office/drawing/2014/main" id="{1E7C5BAA-05E3-4CB1-BB0C-1D6A77243D25}"/>
            </a:ext>
          </a:extLst>
        </xdr:cNvPr>
        <xdr:cNvSpPr/>
      </xdr:nvSpPr>
      <xdr:spPr>
        <a:xfrm>
          <a:off x="170688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94</xdr:row>
      <xdr:rowOff>0</xdr:rowOff>
    </xdr:from>
    <xdr:to>
      <xdr:col>24</xdr:col>
      <xdr:colOff>83820</xdr:colOff>
      <xdr:row>94</xdr:row>
      <xdr:rowOff>114300</xdr:rowOff>
    </xdr:to>
    <xdr:sp macro="" textlink="">
      <xdr:nvSpPr>
        <xdr:cNvPr id="630" name="Arrow: Down 629">
          <a:extLst>
            <a:ext uri="{FF2B5EF4-FFF2-40B4-BE49-F238E27FC236}">
              <a16:creationId xmlns:a16="http://schemas.microsoft.com/office/drawing/2014/main" id="{071888A3-487A-4F27-A9BA-59DFA8109128}"/>
            </a:ext>
          </a:extLst>
        </xdr:cNvPr>
        <xdr:cNvSpPr/>
      </xdr:nvSpPr>
      <xdr:spPr>
        <a:xfrm>
          <a:off x="544068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94</xdr:row>
      <xdr:rowOff>0</xdr:rowOff>
    </xdr:from>
    <xdr:to>
      <xdr:col>39</xdr:col>
      <xdr:colOff>83820</xdr:colOff>
      <xdr:row>94</xdr:row>
      <xdr:rowOff>114300</xdr:rowOff>
    </xdr:to>
    <xdr:sp macro="" textlink="">
      <xdr:nvSpPr>
        <xdr:cNvPr id="631" name="Arrow: Down 630">
          <a:extLst>
            <a:ext uri="{FF2B5EF4-FFF2-40B4-BE49-F238E27FC236}">
              <a16:creationId xmlns:a16="http://schemas.microsoft.com/office/drawing/2014/main" id="{2268B0A0-A228-4712-85BD-33A942D4DAF5}"/>
            </a:ext>
          </a:extLst>
        </xdr:cNvPr>
        <xdr:cNvSpPr/>
      </xdr:nvSpPr>
      <xdr:spPr>
        <a:xfrm>
          <a:off x="8549640" y="1710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93</xdr:row>
      <xdr:rowOff>0</xdr:rowOff>
    </xdr:from>
    <xdr:to>
      <xdr:col>45</xdr:col>
      <xdr:colOff>83820</xdr:colOff>
      <xdr:row>93</xdr:row>
      <xdr:rowOff>114300</xdr:rowOff>
    </xdr:to>
    <xdr:sp macro="" textlink="">
      <xdr:nvSpPr>
        <xdr:cNvPr id="634" name="Arrow: Down 633">
          <a:extLst>
            <a:ext uri="{FF2B5EF4-FFF2-40B4-BE49-F238E27FC236}">
              <a16:creationId xmlns:a16="http://schemas.microsoft.com/office/drawing/2014/main" id="{698C5AE8-0A5B-4DAA-8338-59C2C2A63540}"/>
            </a:ext>
          </a:extLst>
        </xdr:cNvPr>
        <xdr:cNvSpPr/>
      </xdr:nvSpPr>
      <xdr:spPr>
        <a:xfrm rot="10800000">
          <a:off x="101346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93</xdr:row>
      <xdr:rowOff>0</xdr:rowOff>
    </xdr:from>
    <xdr:to>
      <xdr:col>39</xdr:col>
      <xdr:colOff>83820</xdr:colOff>
      <xdr:row>93</xdr:row>
      <xdr:rowOff>114300</xdr:rowOff>
    </xdr:to>
    <xdr:sp macro="" textlink="">
      <xdr:nvSpPr>
        <xdr:cNvPr id="635" name="Arrow: Down 634">
          <a:extLst>
            <a:ext uri="{FF2B5EF4-FFF2-40B4-BE49-F238E27FC236}">
              <a16:creationId xmlns:a16="http://schemas.microsoft.com/office/drawing/2014/main" id="{B111E1BC-D5EF-480A-ABE5-3F05DA66B5FB}"/>
            </a:ext>
          </a:extLst>
        </xdr:cNvPr>
        <xdr:cNvSpPr/>
      </xdr:nvSpPr>
      <xdr:spPr>
        <a:xfrm rot="10800000">
          <a:off x="854964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93</xdr:row>
      <xdr:rowOff>0</xdr:rowOff>
    </xdr:from>
    <xdr:to>
      <xdr:col>60</xdr:col>
      <xdr:colOff>83820</xdr:colOff>
      <xdr:row>93</xdr:row>
      <xdr:rowOff>114300</xdr:rowOff>
    </xdr:to>
    <xdr:sp macro="" textlink="">
      <xdr:nvSpPr>
        <xdr:cNvPr id="636" name="Arrow: Down 635">
          <a:extLst>
            <a:ext uri="{FF2B5EF4-FFF2-40B4-BE49-F238E27FC236}">
              <a16:creationId xmlns:a16="http://schemas.microsoft.com/office/drawing/2014/main" id="{5CF3350C-9FA2-4923-92B7-BB816CF42634}"/>
            </a:ext>
          </a:extLst>
        </xdr:cNvPr>
        <xdr:cNvSpPr/>
      </xdr:nvSpPr>
      <xdr:spPr>
        <a:xfrm>
          <a:off x="1475232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94</xdr:row>
      <xdr:rowOff>0</xdr:rowOff>
    </xdr:from>
    <xdr:to>
      <xdr:col>5</xdr:col>
      <xdr:colOff>83820</xdr:colOff>
      <xdr:row>94</xdr:row>
      <xdr:rowOff>114300</xdr:rowOff>
    </xdr:to>
    <xdr:sp macro="" textlink="">
      <xdr:nvSpPr>
        <xdr:cNvPr id="637" name="Arrow: Down 636">
          <a:extLst>
            <a:ext uri="{FF2B5EF4-FFF2-40B4-BE49-F238E27FC236}">
              <a16:creationId xmlns:a16="http://schemas.microsoft.com/office/drawing/2014/main" id="{9DFED798-20E6-4BDD-8300-7789B5A6544E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94</xdr:row>
      <xdr:rowOff>0</xdr:rowOff>
    </xdr:from>
    <xdr:to>
      <xdr:col>11</xdr:col>
      <xdr:colOff>83820</xdr:colOff>
      <xdr:row>94</xdr:row>
      <xdr:rowOff>114300</xdr:rowOff>
    </xdr:to>
    <xdr:sp macro="" textlink="">
      <xdr:nvSpPr>
        <xdr:cNvPr id="646" name="Arrow: Down 645">
          <a:extLst>
            <a:ext uri="{FF2B5EF4-FFF2-40B4-BE49-F238E27FC236}">
              <a16:creationId xmlns:a16="http://schemas.microsoft.com/office/drawing/2014/main" id="{51FCB514-7D07-48F1-B848-6867289C68A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94</xdr:row>
      <xdr:rowOff>0</xdr:rowOff>
    </xdr:from>
    <xdr:to>
      <xdr:col>45</xdr:col>
      <xdr:colOff>83820</xdr:colOff>
      <xdr:row>94</xdr:row>
      <xdr:rowOff>114300</xdr:rowOff>
    </xdr:to>
    <xdr:sp macro="" textlink="">
      <xdr:nvSpPr>
        <xdr:cNvPr id="647" name="Arrow: Down 646">
          <a:extLst>
            <a:ext uri="{FF2B5EF4-FFF2-40B4-BE49-F238E27FC236}">
              <a16:creationId xmlns:a16="http://schemas.microsoft.com/office/drawing/2014/main" id="{290DCA2A-1741-4EB6-A6F6-ACC01FED83C5}"/>
            </a:ext>
          </a:extLst>
        </xdr:cNvPr>
        <xdr:cNvSpPr/>
      </xdr:nvSpPr>
      <xdr:spPr>
        <a:xfrm rot="10800000">
          <a:off x="101346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94</xdr:row>
      <xdr:rowOff>0</xdr:rowOff>
    </xdr:from>
    <xdr:to>
      <xdr:col>60</xdr:col>
      <xdr:colOff>83820</xdr:colOff>
      <xdr:row>94</xdr:row>
      <xdr:rowOff>114300</xdr:rowOff>
    </xdr:to>
    <xdr:sp macro="" textlink="">
      <xdr:nvSpPr>
        <xdr:cNvPr id="648" name="Arrow: Down 647">
          <a:extLst>
            <a:ext uri="{FF2B5EF4-FFF2-40B4-BE49-F238E27FC236}">
              <a16:creationId xmlns:a16="http://schemas.microsoft.com/office/drawing/2014/main" id="{739541F8-F001-4E3A-8769-D095EDA8992F}"/>
            </a:ext>
          </a:extLst>
        </xdr:cNvPr>
        <xdr:cNvSpPr/>
      </xdr:nvSpPr>
      <xdr:spPr>
        <a:xfrm rot="10800000">
          <a:off x="1475232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95</xdr:row>
      <xdr:rowOff>0</xdr:rowOff>
    </xdr:from>
    <xdr:to>
      <xdr:col>71</xdr:col>
      <xdr:colOff>83820</xdr:colOff>
      <xdr:row>95</xdr:row>
      <xdr:rowOff>114300</xdr:rowOff>
    </xdr:to>
    <xdr:sp macro="" textlink="">
      <xdr:nvSpPr>
        <xdr:cNvPr id="656" name="Arrow: Down 655">
          <a:extLst>
            <a:ext uri="{FF2B5EF4-FFF2-40B4-BE49-F238E27FC236}">
              <a16:creationId xmlns:a16="http://schemas.microsoft.com/office/drawing/2014/main" id="{33DAF223-FB34-45E1-946C-F2CF963DA373}"/>
            </a:ext>
          </a:extLst>
        </xdr:cNvPr>
        <xdr:cNvSpPr/>
      </xdr:nvSpPr>
      <xdr:spPr>
        <a:xfrm>
          <a:off x="170688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95</xdr:row>
      <xdr:rowOff>0</xdr:rowOff>
    </xdr:from>
    <xdr:to>
      <xdr:col>24</xdr:col>
      <xdr:colOff>83820</xdr:colOff>
      <xdr:row>95</xdr:row>
      <xdr:rowOff>114300</xdr:rowOff>
    </xdr:to>
    <xdr:sp macro="" textlink="">
      <xdr:nvSpPr>
        <xdr:cNvPr id="657" name="Arrow: Down 656">
          <a:extLst>
            <a:ext uri="{FF2B5EF4-FFF2-40B4-BE49-F238E27FC236}">
              <a16:creationId xmlns:a16="http://schemas.microsoft.com/office/drawing/2014/main" id="{A7A0FD03-DDE1-4B69-BC69-E1942004F7F4}"/>
            </a:ext>
          </a:extLst>
        </xdr:cNvPr>
        <xdr:cNvSpPr/>
      </xdr:nvSpPr>
      <xdr:spPr>
        <a:xfrm>
          <a:off x="544068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95</xdr:row>
      <xdr:rowOff>0</xdr:rowOff>
    </xdr:from>
    <xdr:to>
      <xdr:col>39</xdr:col>
      <xdr:colOff>83820</xdr:colOff>
      <xdr:row>95</xdr:row>
      <xdr:rowOff>114300</xdr:rowOff>
    </xdr:to>
    <xdr:sp macro="" textlink="">
      <xdr:nvSpPr>
        <xdr:cNvPr id="658" name="Arrow: Down 657">
          <a:extLst>
            <a:ext uri="{FF2B5EF4-FFF2-40B4-BE49-F238E27FC236}">
              <a16:creationId xmlns:a16="http://schemas.microsoft.com/office/drawing/2014/main" id="{92251FB9-DF2E-4C05-B34F-9816938C9BA3}"/>
            </a:ext>
          </a:extLst>
        </xdr:cNvPr>
        <xdr:cNvSpPr/>
      </xdr:nvSpPr>
      <xdr:spPr>
        <a:xfrm>
          <a:off x="854964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95</xdr:row>
      <xdr:rowOff>0</xdr:rowOff>
    </xdr:from>
    <xdr:to>
      <xdr:col>5</xdr:col>
      <xdr:colOff>83820</xdr:colOff>
      <xdr:row>95</xdr:row>
      <xdr:rowOff>114300</xdr:rowOff>
    </xdr:to>
    <xdr:sp macro="" textlink="">
      <xdr:nvSpPr>
        <xdr:cNvPr id="659" name="Arrow: Down 658">
          <a:extLst>
            <a:ext uri="{FF2B5EF4-FFF2-40B4-BE49-F238E27FC236}">
              <a16:creationId xmlns:a16="http://schemas.microsoft.com/office/drawing/2014/main" id="{CCE89A10-5CA7-4276-AAF3-86A86D6A0308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95</xdr:row>
      <xdr:rowOff>0</xdr:rowOff>
    </xdr:from>
    <xdr:to>
      <xdr:col>11</xdr:col>
      <xdr:colOff>83820</xdr:colOff>
      <xdr:row>95</xdr:row>
      <xdr:rowOff>114300</xdr:rowOff>
    </xdr:to>
    <xdr:sp macro="" textlink="">
      <xdr:nvSpPr>
        <xdr:cNvPr id="660" name="Arrow: Down 659">
          <a:extLst>
            <a:ext uri="{FF2B5EF4-FFF2-40B4-BE49-F238E27FC236}">
              <a16:creationId xmlns:a16="http://schemas.microsoft.com/office/drawing/2014/main" id="{A64AA700-AB73-4232-9F4F-2018CC5A35E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95</xdr:row>
      <xdr:rowOff>0</xdr:rowOff>
    </xdr:from>
    <xdr:to>
      <xdr:col>60</xdr:col>
      <xdr:colOff>83820</xdr:colOff>
      <xdr:row>95</xdr:row>
      <xdr:rowOff>114300</xdr:rowOff>
    </xdr:to>
    <xdr:sp macro="" textlink="">
      <xdr:nvSpPr>
        <xdr:cNvPr id="664" name="Arrow: Down 663">
          <a:extLst>
            <a:ext uri="{FF2B5EF4-FFF2-40B4-BE49-F238E27FC236}">
              <a16:creationId xmlns:a16="http://schemas.microsoft.com/office/drawing/2014/main" id="{87597B27-B361-44F1-BE14-11DA3BB3CFBB}"/>
            </a:ext>
          </a:extLst>
        </xdr:cNvPr>
        <xdr:cNvSpPr/>
      </xdr:nvSpPr>
      <xdr:spPr>
        <a:xfrm>
          <a:off x="147523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95</xdr:row>
      <xdr:rowOff>0</xdr:rowOff>
    </xdr:from>
    <xdr:to>
      <xdr:col>46</xdr:col>
      <xdr:colOff>7620</xdr:colOff>
      <xdr:row>95</xdr:row>
      <xdr:rowOff>99060</xdr:rowOff>
    </xdr:to>
    <xdr:sp macro="" textlink="">
      <xdr:nvSpPr>
        <xdr:cNvPr id="665" name="Minus Sign 664">
          <a:extLst>
            <a:ext uri="{FF2B5EF4-FFF2-40B4-BE49-F238E27FC236}">
              <a16:creationId xmlns:a16="http://schemas.microsoft.com/office/drawing/2014/main" id="{8C9AE111-AC4F-43A3-80C6-1418EA81BE23}"/>
            </a:ext>
          </a:extLst>
        </xdr:cNvPr>
        <xdr:cNvSpPr/>
      </xdr:nvSpPr>
      <xdr:spPr>
        <a:xfrm>
          <a:off x="13106400" y="174726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71</xdr:col>
      <xdr:colOff>0</xdr:colOff>
      <xdr:row>96</xdr:row>
      <xdr:rowOff>0</xdr:rowOff>
    </xdr:from>
    <xdr:to>
      <xdr:col>71</xdr:col>
      <xdr:colOff>83820</xdr:colOff>
      <xdr:row>96</xdr:row>
      <xdr:rowOff>114300</xdr:rowOff>
    </xdr:to>
    <xdr:sp macro="" textlink="">
      <xdr:nvSpPr>
        <xdr:cNvPr id="649" name="Arrow: Down 648">
          <a:extLst>
            <a:ext uri="{FF2B5EF4-FFF2-40B4-BE49-F238E27FC236}">
              <a16:creationId xmlns:a16="http://schemas.microsoft.com/office/drawing/2014/main" id="{5847EBA7-5898-44CF-904F-6A6875B65818}"/>
            </a:ext>
          </a:extLst>
        </xdr:cNvPr>
        <xdr:cNvSpPr/>
      </xdr:nvSpPr>
      <xdr:spPr>
        <a:xfrm>
          <a:off x="213817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96</xdr:row>
      <xdr:rowOff>0</xdr:rowOff>
    </xdr:from>
    <xdr:to>
      <xdr:col>39</xdr:col>
      <xdr:colOff>83820</xdr:colOff>
      <xdr:row>96</xdr:row>
      <xdr:rowOff>114300</xdr:rowOff>
    </xdr:to>
    <xdr:sp macro="" textlink="">
      <xdr:nvSpPr>
        <xdr:cNvPr id="661" name="Arrow: Down 660">
          <a:extLst>
            <a:ext uri="{FF2B5EF4-FFF2-40B4-BE49-F238E27FC236}">
              <a16:creationId xmlns:a16="http://schemas.microsoft.com/office/drawing/2014/main" id="{E0E00F0C-D27C-4C33-B2CC-8AA0B58F8407}"/>
            </a:ext>
          </a:extLst>
        </xdr:cNvPr>
        <xdr:cNvSpPr/>
      </xdr:nvSpPr>
      <xdr:spPr>
        <a:xfrm rot="10800000">
          <a:off x="854964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96</xdr:row>
      <xdr:rowOff>0</xdr:rowOff>
    </xdr:from>
    <xdr:to>
      <xdr:col>45</xdr:col>
      <xdr:colOff>83820</xdr:colOff>
      <xdr:row>96</xdr:row>
      <xdr:rowOff>114300</xdr:rowOff>
    </xdr:to>
    <xdr:sp macro="" textlink="">
      <xdr:nvSpPr>
        <xdr:cNvPr id="662" name="Arrow: Down 661">
          <a:extLst>
            <a:ext uri="{FF2B5EF4-FFF2-40B4-BE49-F238E27FC236}">
              <a16:creationId xmlns:a16="http://schemas.microsoft.com/office/drawing/2014/main" id="{4841F28A-274D-4BB3-B2F2-FA3715044F92}"/>
            </a:ext>
          </a:extLst>
        </xdr:cNvPr>
        <xdr:cNvSpPr/>
      </xdr:nvSpPr>
      <xdr:spPr>
        <a:xfrm rot="10800000">
          <a:off x="101346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96</xdr:row>
      <xdr:rowOff>0</xdr:rowOff>
    </xdr:from>
    <xdr:to>
      <xdr:col>24</xdr:col>
      <xdr:colOff>83820</xdr:colOff>
      <xdr:row>96</xdr:row>
      <xdr:rowOff>114300</xdr:rowOff>
    </xdr:to>
    <xdr:sp macro="" textlink="">
      <xdr:nvSpPr>
        <xdr:cNvPr id="663" name="Arrow: Down 662">
          <a:extLst>
            <a:ext uri="{FF2B5EF4-FFF2-40B4-BE49-F238E27FC236}">
              <a16:creationId xmlns:a16="http://schemas.microsoft.com/office/drawing/2014/main" id="{70D5C9FA-74E1-4956-8D4C-20C1F36B9A85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96</xdr:row>
      <xdr:rowOff>0</xdr:rowOff>
    </xdr:from>
    <xdr:to>
      <xdr:col>60</xdr:col>
      <xdr:colOff>83820</xdr:colOff>
      <xdr:row>96</xdr:row>
      <xdr:rowOff>114300</xdr:rowOff>
    </xdr:to>
    <xdr:sp macro="" textlink="">
      <xdr:nvSpPr>
        <xdr:cNvPr id="667" name="Arrow: Down 666">
          <a:extLst>
            <a:ext uri="{FF2B5EF4-FFF2-40B4-BE49-F238E27FC236}">
              <a16:creationId xmlns:a16="http://schemas.microsoft.com/office/drawing/2014/main" id="{585AF03E-C8B1-428A-9B60-7F96258683E7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96</xdr:row>
      <xdr:rowOff>0</xdr:rowOff>
    </xdr:from>
    <xdr:to>
      <xdr:col>5</xdr:col>
      <xdr:colOff>83820</xdr:colOff>
      <xdr:row>96</xdr:row>
      <xdr:rowOff>114300</xdr:rowOff>
    </xdr:to>
    <xdr:sp macro="" textlink="">
      <xdr:nvSpPr>
        <xdr:cNvPr id="668" name="Arrow: Down 667">
          <a:extLst>
            <a:ext uri="{FF2B5EF4-FFF2-40B4-BE49-F238E27FC236}">
              <a16:creationId xmlns:a16="http://schemas.microsoft.com/office/drawing/2014/main" id="{DE196F47-8C55-41AE-88FB-B6333FB5613D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96</xdr:row>
      <xdr:rowOff>0</xdr:rowOff>
    </xdr:from>
    <xdr:to>
      <xdr:col>11</xdr:col>
      <xdr:colOff>83820</xdr:colOff>
      <xdr:row>96</xdr:row>
      <xdr:rowOff>114300</xdr:rowOff>
    </xdr:to>
    <xdr:sp macro="" textlink="">
      <xdr:nvSpPr>
        <xdr:cNvPr id="670" name="Arrow: Down 669">
          <a:extLst>
            <a:ext uri="{FF2B5EF4-FFF2-40B4-BE49-F238E27FC236}">
              <a16:creationId xmlns:a16="http://schemas.microsoft.com/office/drawing/2014/main" id="{4576BB70-5993-470B-A4F7-C4C186BDC8EA}"/>
            </a:ext>
          </a:extLst>
        </xdr:cNvPr>
        <xdr:cNvSpPr/>
      </xdr:nvSpPr>
      <xdr:spPr>
        <a:xfrm rot="10800000">
          <a:off x="361950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97</xdr:row>
      <xdr:rowOff>0</xdr:rowOff>
    </xdr:from>
    <xdr:to>
      <xdr:col>71</xdr:col>
      <xdr:colOff>83820</xdr:colOff>
      <xdr:row>97</xdr:row>
      <xdr:rowOff>114300</xdr:rowOff>
    </xdr:to>
    <xdr:sp macro="" textlink="">
      <xdr:nvSpPr>
        <xdr:cNvPr id="671" name="Arrow: Down 670">
          <a:extLst>
            <a:ext uri="{FF2B5EF4-FFF2-40B4-BE49-F238E27FC236}">
              <a16:creationId xmlns:a16="http://schemas.microsoft.com/office/drawing/2014/main" id="{7C2C378F-4C3C-44CC-AEB9-95F4F9A4D99A}"/>
            </a:ext>
          </a:extLst>
        </xdr:cNvPr>
        <xdr:cNvSpPr/>
      </xdr:nvSpPr>
      <xdr:spPr>
        <a:xfrm>
          <a:off x="170688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97</xdr:row>
      <xdr:rowOff>0</xdr:rowOff>
    </xdr:from>
    <xdr:to>
      <xdr:col>24</xdr:col>
      <xdr:colOff>83820</xdr:colOff>
      <xdr:row>97</xdr:row>
      <xdr:rowOff>114300</xdr:rowOff>
    </xdr:to>
    <xdr:sp macro="" textlink="">
      <xdr:nvSpPr>
        <xdr:cNvPr id="674" name="Arrow: Down 673">
          <a:extLst>
            <a:ext uri="{FF2B5EF4-FFF2-40B4-BE49-F238E27FC236}">
              <a16:creationId xmlns:a16="http://schemas.microsoft.com/office/drawing/2014/main" id="{CC65563C-069E-4F8E-AA16-E0DFEB33BD09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97</xdr:row>
      <xdr:rowOff>0</xdr:rowOff>
    </xdr:from>
    <xdr:to>
      <xdr:col>60</xdr:col>
      <xdr:colOff>83820</xdr:colOff>
      <xdr:row>97</xdr:row>
      <xdr:rowOff>114300</xdr:rowOff>
    </xdr:to>
    <xdr:sp macro="" textlink="">
      <xdr:nvSpPr>
        <xdr:cNvPr id="675" name="Arrow: Down 674">
          <a:extLst>
            <a:ext uri="{FF2B5EF4-FFF2-40B4-BE49-F238E27FC236}">
              <a16:creationId xmlns:a16="http://schemas.microsoft.com/office/drawing/2014/main" id="{41276574-AB95-4BE3-9088-BA00154FCC9E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97</xdr:row>
      <xdr:rowOff>0</xdr:rowOff>
    </xdr:from>
    <xdr:to>
      <xdr:col>5</xdr:col>
      <xdr:colOff>83820</xdr:colOff>
      <xdr:row>97</xdr:row>
      <xdr:rowOff>114300</xdr:rowOff>
    </xdr:to>
    <xdr:sp macro="" textlink="">
      <xdr:nvSpPr>
        <xdr:cNvPr id="676" name="Arrow: Down 675">
          <a:extLst>
            <a:ext uri="{FF2B5EF4-FFF2-40B4-BE49-F238E27FC236}">
              <a16:creationId xmlns:a16="http://schemas.microsoft.com/office/drawing/2014/main" id="{79F43E25-6A53-4E57-AB77-2AB02CE295AE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97</xdr:row>
      <xdr:rowOff>0</xdr:rowOff>
    </xdr:from>
    <xdr:to>
      <xdr:col>11</xdr:col>
      <xdr:colOff>83820</xdr:colOff>
      <xdr:row>97</xdr:row>
      <xdr:rowOff>114300</xdr:rowOff>
    </xdr:to>
    <xdr:sp macro="" textlink="">
      <xdr:nvSpPr>
        <xdr:cNvPr id="677" name="Arrow: Down 676">
          <a:extLst>
            <a:ext uri="{FF2B5EF4-FFF2-40B4-BE49-F238E27FC236}">
              <a16:creationId xmlns:a16="http://schemas.microsoft.com/office/drawing/2014/main" id="{8CA75072-EA36-43FF-80F9-30AA6DE29B3E}"/>
            </a:ext>
          </a:extLst>
        </xdr:cNvPr>
        <xdr:cNvSpPr/>
      </xdr:nvSpPr>
      <xdr:spPr>
        <a:xfrm rot="10800000">
          <a:off x="361950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97</xdr:row>
      <xdr:rowOff>0</xdr:rowOff>
    </xdr:from>
    <xdr:to>
      <xdr:col>39</xdr:col>
      <xdr:colOff>83820</xdr:colOff>
      <xdr:row>97</xdr:row>
      <xdr:rowOff>114300</xdr:rowOff>
    </xdr:to>
    <xdr:sp macro="" textlink="">
      <xdr:nvSpPr>
        <xdr:cNvPr id="678" name="Arrow: Down 677">
          <a:extLst>
            <a:ext uri="{FF2B5EF4-FFF2-40B4-BE49-F238E27FC236}">
              <a16:creationId xmlns:a16="http://schemas.microsoft.com/office/drawing/2014/main" id="{0C158885-72F6-473B-984A-15439C91C63F}"/>
            </a:ext>
          </a:extLst>
        </xdr:cNvPr>
        <xdr:cNvSpPr/>
      </xdr:nvSpPr>
      <xdr:spPr>
        <a:xfrm>
          <a:off x="854964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97</xdr:row>
      <xdr:rowOff>0</xdr:rowOff>
    </xdr:from>
    <xdr:to>
      <xdr:col>45</xdr:col>
      <xdr:colOff>83820</xdr:colOff>
      <xdr:row>97</xdr:row>
      <xdr:rowOff>114300</xdr:rowOff>
    </xdr:to>
    <xdr:sp macro="" textlink="">
      <xdr:nvSpPr>
        <xdr:cNvPr id="680" name="Arrow: Down 679">
          <a:extLst>
            <a:ext uri="{FF2B5EF4-FFF2-40B4-BE49-F238E27FC236}">
              <a16:creationId xmlns:a16="http://schemas.microsoft.com/office/drawing/2014/main" id="{510722F3-8780-4C3D-A016-D558CECDB44E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98</xdr:row>
      <xdr:rowOff>0</xdr:rowOff>
    </xdr:from>
    <xdr:to>
      <xdr:col>71</xdr:col>
      <xdr:colOff>83820</xdr:colOff>
      <xdr:row>98</xdr:row>
      <xdr:rowOff>114300</xdr:rowOff>
    </xdr:to>
    <xdr:sp macro="" textlink="">
      <xdr:nvSpPr>
        <xdr:cNvPr id="688" name="Arrow: Down 687">
          <a:extLst>
            <a:ext uri="{FF2B5EF4-FFF2-40B4-BE49-F238E27FC236}">
              <a16:creationId xmlns:a16="http://schemas.microsoft.com/office/drawing/2014/main" id="{0CFA89DB-5EC9-4639-AA8F-A43C7D735F17}"/>
            </a:ext>
          </a:extLst>
        </xdr:cNvPr>
        <xdr:cNvSpPr/>
      </xdr:nvSpPr>
      <xdr:spPr>
        <a:xfrm>
          <a:off x="170688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98</xdr:row>
      <xdr:rowOff>0</xdr:rowOff>
    </xdr:from>
    <xdr:to>
      <xdr:col>5</xdr:col>
      <xdr:colOff>83820</xdr:colOff>
      <xdr:row>98</xdr:row>
      <xdr:rowOff>114300</xdr:rowOff>
    </xdr:to>
    <xdr:sp macro="" textlink="">
      <xdr:nvSpPr>
        <xdr:cNvPr id="691" name="Arrow: Down 690">
          <a:extLst>
            <a:ext uri="{FF2B5EF4-FFF2-40B4-BE49-F238E27FC236}">
              <a16:creationId xmlns:a16="http://schemas.microsoft.com/office/drawing/2014/main" id="{1F904F8C-22AC-477A-BB86-D39A0F14C1C4}"/>
            </a:ext>
          </a:extLst>
        </xdr:cNvPr>
        <xdr:cNvSpPr/>
      </xdr:nvSpPr>
      <xdr:spPr>
        <a:xfrm rot="10800000">
          <a:off x="192786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98</xdr:row>
      <xdr:rowOff>0</xdr:rowOff>
    </xdr:from>
    <xdr:to>
      <xdr:col>45</xdr:col>
      <xdr:colOff>83820</xdr:colOff>
      <xdr:row>98</xdr:row>
      <xdr:rowOff>114300</xdr:rowOff>
    </xdr:to>
    <xdr:sp macro="" textlink="">
      <xdr:nvSpPr>
        <xdr:cNvPr id="694" name="Arrow: Down 693">
          <a:extLst>
            <a:ext uri="{FF2B5EF4-FFF2-40B4-BE49-F238E27FC236}">
              <a16:creationId xmlns:a16="http://schemas.microsoft.com/office/drawing/2014/main" id="{6662D75B-8C06-4220-9C4F-6FCBDC0B60AC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98</xdr:row>
      <xdr:rowOff>0</xdr:rowOff>
    </xdr:from>
    <xdr:to>
      <xdr:col>60</xdr:col>
      <xdr:colOff>83820</xdr:colOff>
      <xdr:row>98</xdr:row>
      <xdr:rowOff>114300</xdr:rowOff>
    </xdr:to>
    <xdr:sp macro="" textlink="">
      <xdr:nvSpPr>
        <xdr:cNvPr id="696" name="Arrow: Down 695">
          <a:extLst>
            <a:ext uri="{FF2B5EF4-FFF2-40B4-BE49-F238E27FC236}">
              <a16:creationId xmlns:a16="http://schemas.microsoft.com/office/drawing/2014/main" id="{DF4EC178-0A26-44DD-8193-DDCD2564A9E2}"/>
            </a:ext>
          </a:extLst>
        </xdr:cNvPr>
        <xdr:cNvSpPr/>
      </xdr:nvSpPr>
      <xdr:spPr>
        <a:xfrm>
          <a:off x="1475232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98</xdr:row>
      <xdr:rowOff>0</xdr:rowOff>
    </xdr:from>
    <xdr:to>
      <xdr:col>24</xdr:col>
      <xdr:colOff>83820</xdr:colOff>
      <xdr:row>98</xdr:row>
      <xdr:rowOff>114300</xdr:rowOff>
    </xdr:to>
    <xdr:sp macro="" textlink="">
      <xdr:nvSpPr>
        <xdr:cNvPr id="698" name="Arrow: Down 697">
          <a:extLst>
            <a:ext uri="{FF2B5EF4-FFF2-40B4-BE49-F238E27FC236}">
              <a16:creationId xmlns:a16="http://schemas.microsoft.com/office/drawing/2014/main" id="{D4085535-18A3-4042-BF14-C9FADAD2E69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98</xdr:row>
      <xdr:rowOff>0</xdr:rowOff>
    </xdr:from>
    <xdr:to>
      <xdr:col>39</xdr:col>
      <xdr:colOff>83820</xdr:colOff>
      <xdr:row>98</xdr:row>
      <xdr:rowOff>114300</xdr:rowOff>
    </xdr:to>
    <xdr:sp macro="" textlink="">
      <xdr:nvSpPr>
        <xdr:cNvPr id="701" name="Arrow: Down 700">
          <a:extLst>
            <a:ext uri="{FF2B5EF4-FFF2-40B4-BE49-F238E27FC236}">
              <a16:creationId xmlns:a16="http://schemas.microsoft.com/office/drawing/2014/main" id="{D9B0E07B-C28D-4696-800A-4429B065FA97}"/>
            </a:ext>
          </a:extLst>
        </xdr:cNvPr>
        <xdr:cNvSpPr/>
      </xdr:nvSpPr>
      <xdr:spPr>
        <a:xfrm rot="10800000">
          <a:off x="854964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98</xdr:row>
      <xdr:rowOff>0</xdr:rowOff>
    </xdr:from>
    <xdr:to>
      <xdr:col>11</xdr:col>
      <xdr:colOff>83820</xdr:colOff>
      <xdr:row>98</xdr:row>
      <xdr:rowOff>114300</xdr:rowOff>
    </xdr:to>
    <xdr:sp macro="" textlink="">
      <xdr:nvSpPr>
        <xdr:cNvPr id="703" name="Arrow: Down 702">
          <a:extLst>
            <a:ext uri="{FF2B5EF4-FFF2-40B4-BE49-F238E27FC236}">
              <a16:creationId xmlns:a16="http://schemas.microsoft.com/office/drawing/2014/main" id="{35852DCE-F526-4A02-9127-22365CAE0797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99</xdr:row>
      <xdr:rowOff>0</xdr:rowOff>
    </xdr:from>
    <xdr:to>
      <xdr:col>71</xdr:col>
      <xdr:colOff>83820</xdr:colOff>
      <xdr:row>99</xdr:row>
      <xdr:rowOff>114300</xdr:rowOff>
    </xdr:to>
    <xdr:sp macro="" textlink="">
      <xdr:nvSpPr>
        <xdr:cNvPr id="704" name="Arrow: Down 703">
          <a:extLst>
            <a:ext uri="{FF2B5EF4-FFF2-40B4-BE49-F238E27FC236}">
              <a16:creationId xmlns:a16="http://schemas.microsoft.com/office/drawing/2014/main" id="{C56B50BD-CAEE-407F-8DB7-9EABCC3571FF}"/>
            </a:ext>
          </a:extLst>
        </xdr:cNvPr>
        <xdr:cNvSpPr/>
      </xdr:nvSpPr>
      <xdr:spPr>
        <a:xfrm>
          <a:off x="170688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99</xdr:row>
      <xdr:rowOff>0</xdr:rowOff>
    </xdr:from>
    <xdr:to>
      <xdr:col>5</xdr:col>
      <xdr:colOff>83820</xdr:colOff>
      <xdr:row>99</xdr:row>
      <xdr:rowOff>114300</xdr:rowOff>
    </xdr:to>
    <xdr:sp macro="" textlink="">
      <xdr:nvSpPr>
        <xdr:cNvPr id="705" name="Arrow: Down 704">
          <a:extLst>
            <a:ext uri="{FF2B5EF4-FFF2-40B4-BE49-F238E27FC236}">
              <a16:creationId xmlns:a16="http://schemas.microsoft.com/office/drawing/2014/main" id="{42EE61F2-26B7-4BA0-A411-6CB755B53855}"/>
            </a:ext>
          </a:extLst>
        </xdr:cNvPr>
        <xdr:cNvSpPr/>
      </xdr:nvSpPr>
      <xdr:spPr>
        <a:xfrm rot="10800000">
          <a:off x="192786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99</xdr:row>
      <xdr:rowOff>0</xdr:rowOff>
    </xdr:from>
    <xdr:to>
      <xdr:col>45</xdr:col>
      <xdr:colOff>83820</xdr:colOff>
      <xdr:row>99</xdr:row>
      <xdr:rowOff>114300</xdr:rowOff>
    </xdr:to>
    <xdr:sp macro="" textlink="">
      <xdr:nvSpPr>
        <xdr:cNvPr id="706" name="Arrow: Down 705">
          <a:extLst>
            <a:ext uri="{FF2B5EF4-FFF2-40B4-BE49-F238E27FC236}">
              <a16:creationId xmlns:a16="http://schemas.microsoft.com/office/drawing/2014/main" id="{CD6440AC-B3D6-47ED-A0B8-EE53B1CE4E75}"/>
            </a:ext>
          </a:extLst>
        </xdr:cNvPr>
        <xdr:cNvSpPr/>
      </xdr:nvSpPr>
      <xdr:spPr>
        <a:xfrm rot="10800000">
          <a:off x="101346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99</xdr:row>
      <xdr:rowOff>0</xdr:rowOff>
    </xdr:from>
    <xdr:to>
      <xdr:col>24</xdr:col>
      <xdr:colOff>83820</xdr:colOff>
      <xdr:row>99</xdr:row>
      <xdr:rowOff>114300</xdr:rowOff>
    </xdr:to>
    <xdr:sp macro="" textlink="">
      <xdr:nvSpPr>
        <xdr:cNvPr id="708" name="Arrow: Down 707">
          <a:extLst>
            <a:ext uri="{FF2B5EF4-FFF2-40B4-BE49-F238E27FC236}">
              <a16:creationId xmlns:a16="http://schemas.microsoft.com/office/drawing/2014/main" id="{85B768C0-9182-473F-8B0D-B194CDA271E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99</xdr:row>
      <xdr:rowOff>0</xdr:rowOff>
    </xdr:from>
    <xdr:to>
      <xdr:col>11</xdr:col>
      <xdr:colOff>83820</xdr:colOff>
      <xdr:row>99</xdr:row>
      <xdr:rowOff>114300</xdr:rowOff>
    </xdr:to>
    <xdr:sp macro="" textlink="">
      <xdr:nvSpPr>
        <xdr:cNvPr id="710" name="Arrow: Down 709">
          <a:extLst>
            <a:ext uri="{FF2B5EF4-FFF2-40B4-BE49-F238E27FC236}">
              <a16:creationId xmlns:a16="http://schemas.microsoft.com/office/drawing/2014/main" id="{3A279C93-B3B3-4B19-A95C-54FD30AD5540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99</xdr:row>
      <xdr:rowOff>0</xdr:rowOff>
    </xdr:from>
    <xdr:to>
      <xdr:col>39</xdr:col>
      <xdr:colOff>83820</xdr:colOff>
      <xdr:row>99</xdr:row>
      <xdr:rowOff>114300</xdr:rowOff>
    </xdr:to>
    <xdr:sp macro="" textlink="">
      <xdr:nvSpPr>
        <xdr:cNvPr id="711" name="Arrow: Down 710">
          <a:extLst>
            <a:ext uri="{FF2B5EF4-FFF2-40B4-BE49-F238E27FC236}">
              <a16:creationId xmlns:a16="http://schemas.microsoft.com/office/drawing/2014/main" id="{9F7D5300-0BD1-42CB-8E4E-0B55FEE974BD}"/>
            </a:ext>
          </a:extLst>
        </xdr:cNvPr>
        <xdr:cNvSpPr/>
      </xdr:nvSpPr>
      <xdr:spPr>
        <a:xfrm>
          <a:off x="854964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99</xdr:row>
      <xdr:rowOff>0</xdr:rowOff>
    </xdr:from>
    <xdr:to>
      <xdr:col>60</xdr:col>
      <xdr:colOff>83820</xdr:colOff>
      <xdr:row>99</xdr:row>
      <xdr:rowOff>114300</xdr:rowOff>
    </xdr:to>
    <xdr:sp macro="" textlink="">
      <xdr:nvSpPr>
        <xdr:cNvPr id="713" name="Arrow: Down 712">
          <a:extLst>
            <a:ext uri="{FF2B5EF4-FFF2-40B4-BE49-F238E27FC236}">
              <a16:creationId xmlns:a16="http://schemas.microsoft.com/office/drawing/2014/main" id="{2568AB17-CF4C-48F5-9A2F-273F1D8532A2}"/>
            </a:ext>
          </a:extLst>
        </xdr:cNvPr>
        <xdr:cNvSpPr/>
      </xdr:nvSpPr>
      <xdr:spPr>
        <a:xfrm rot="10800000">
          <a:off x="1475232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100</xdr:row>
      <xdr:rowOff>0</xdr:rowOff>
    </xdr:from>
    <xdr:to>
      <xdr:col>71</xdr:col>
      <xdr:colOff>83820</xdr:colOff>
      <xdr:row>100</xdr:row>
      <xdr:rowOff>114300</xdr:rowOff>
    </xdr:to>
    <xdr:sp macro="" textlink="">
      <xdr:nvSpPr>
        <xdr:cNvPr id="650" name="Arrow: Down 649">
          <a:extLst>
            <a:ext uri="{FF2B5EF4-FFF2-40B4-BE49-F238E27FC236}">
              <a16:creationId xmlns:a16="http://schemas.microsoft.com/office/drawing/2014/main" id="{21C0FDF0-AD12-4483-BB38-01DD87A275C1}"/>
            </a:ext>
          </a:extLst>
        </xdr:cNvPr>
        <xdr:cNvSpPr/>
      </xdr:nvSpPr>
      <xdr:spPr>
        <a:xfrm>
          <a:off x="170688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100</xdr:row>
      <xdr:rowOff>0</xdr:rowOff>
    </xdr:from>
    <xdr:to>
      <xdr:col>5</xdr:col>
      <xdr:colOff>83820</xdr:colOff>
      <xdr:row>100</xdr:row>
      <xdr:rowOff>114300</xdr:rowOff>
    </xdr:to>
    <xdr:sp macro="" textlink="">
      <xdr:nvSpPr>
        <xdr:cNvPr id="651" name="Arrow: Down 650">
          <a:extLst>
            <a:ext uri="{FF2B5EF4-FFF2-40B4-BE49-F238E27FC236}">
              <a16:creationId xmlns:a16="http://schemas.microsoft.com/office/drawing/2014/main" id="{E1978D8D-A3D8-4459-9F4A-A7628A5DBD53}"/>
            </a:ext>
          </a:extLst>
        </xdr:cNvPr>
        <xdr:cNvSpPr/>
      </xdr:nvSpPr>
      <xdr:spPr>
        <a:xfrm rot="10800000">
          <a:off x="192786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100</xdr:row>
      <xdr:rowOff>0</xdr:rowOff>
    </xdr:from>
    <xdr:to>
      <xdr:col>45</xdr:col>
      <xdr:colOff>83820</xdr:colOff>
      <xdr:row>100</xdr:row>
      <xdr:rowOff>114300</xdr:rowOff>
    </xdr:to>
    <xdr:sp macro="" textlink="">
      <xdr:nvSpPr>
        <xdr:cNvPr id="652" name="Arrow: Down 651">
          <a:extLst>
            <a:ext uri="{FF2B5EF4-FFF2-40B4-BE49-F238E27FC236}">
              <a16:creationId xmlns:a16="http://schemas.microsoft.com/office/drawing/2014/main" id="{EBAE7C4F-91AE-408D-86AA-A1B8A669919B}"/>
            </a:ext>
          </a:extLst>
        </xdr:cNvPr>
        <xdr:cNvSpPr/>
      </xdr:nvSpPr>
      <xdr:spPr>
        <a:xfrm rot="10800000">
          <a:off x="101346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100</xdr:row>
      <xdr:rowOff>0</xdr:rowOff>
    </xdr:from>
    <xdr:to>
      <xdr:col>24</xdr:col>
      <xdr:colOff>83820</xdr:colOff>
      <xdr:row>100</xdr:row>
      <xdr:rowOff>114300</xdr:rowOff>
    </xdr:to>
    <xdr:sp macro="" textlink="">
      <xdr:nvSpPr>
        <xdr:cNvPr id="653" name="Arrow: Down 652">
          <a:extLst>
            <a:ext uri="{FF2B5EF4-FFF2-40B4-BE49-F238E27FC236}">
              <a16:creationId xmlns:a16="http://schemas.microsoft.com/office/drawing/2014/main" id="{50A3186A-B56A-443C-8A14-A27FA1442693}"/>
            </a:ext>
          </a:extLst>
        </xdr:cNvPr>
        <xdr:cNvSpPr/>
      </xdr:nvSpPr>
      <xdr:spPr>
        <a:xfrm>
          <a:off x="544068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100</xdr:row>
      <xdr:rowOff>0</xdr:rowOff>
    </xdr:from>
    <xdr:to>
      <xdr:col>11</xdr:col>
      <xdr:colOff>83820</xdr:colOff>
      <xdr:row>100</xdr:row>
      <xdr:rowOff>114300</xdr:rowOff>
    </xdr:to>
    <xdr:sp macro="" textlink="">
      <xdr:nvSpPr>
        <xdr:cNvPr id="654" name="Arrow: Down 653">
          <a:extLst>
            <a:ext uri="{FF2B5EF4-FFF2-40B4-BE49-F238E27FC236}">
              <a16:creationId xmlns:a16="http://schemas.microsoft.com/office/drawing/2014/main" id="{AEA4EA92-27E6-4F8D-A22D-0B4A52516C01}"/>
            </a:ext>
          </a:extLst>
        </xdr:cNvPr>
        <xdr:cNvSpPr/>
      </xdr:nvSpPr>
      <xdr:spPr>
        <a:xfrm rot="10800000">
          <a:off x="361950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100</xdr:row>
      <xdr:rowOff>0</xdr:rowOff>
    </xdr:from>
    <xdr:to>
      <xdr:col>60</xdr:col>
      <xdr:colOff>83820</xdr:colOff>
      <xdr:row>100</xdr:row>
      <xdr:rowOff>114300</xdr:rowOff>
    </xdr:to>
    <xdr:sp macro="" textlink="">
      <xdr:nvSpPr>
        <xdr:cNvPr id="672" name="Arrow: Down 671">
          <a:extLst>
            <a:ext uri="{FF2B5EF4-FFF2-40B4-BE49-F238E27FC236}">
              <a16:creationId xmlns:a16="http://schemas.microsoft.com/office/drawing/2014/main" id="{DC778E3D-51D6-4D61-A15E-98C5B28B94D7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100</xdr:row>
      <xdr:rowOff>0</xdr:rowOff>
    </xdr:from>
    <xdr:to>
      <xdr:col>39</xdr:col>
      <xdr:colOff>83820</xdr:colOff>
      <xdr:row>100</xdr:row>
      <xdr:rowOff>114300</xdr:rowOff>
    </xdr:to>
    <xdr:sp macro="" textlink="">
      <xdr:nvSpPr>
        <xdr:cNvPr id="673" name="Arrow: Down 672">
          <a:extLst>
            <a:ext uri="{FF2B5EF4-FFF2-40B4-BE49-F238E27FC236}">
              <a16:creationId xmlns:a16="http://schemas.microsoft.com/office/drawing/2014/main" id="{6FF93F08-F2F3-424C-8829-8D4A5A503D3C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101</xdr:row>
      <xdr:rowOff>0</xdr:rowOff>
    </xdr:from>
    <xdr:to>
      <xdr:col>71</xdr:col>
      <xdr:colOff>83820</xdr:colOff>
      <xdr:row>101</xdr:row>
      <xdr:rowOff>114300</xdr:rowOff>
    </xdr:to>
    <xdr:sp macro="" textlink="">
      <xdr:nvSpPr>
        <xdr:cNvPr id="679" name="Arrow: Down 678">
          <a:extLst>
            <a:ext uri="{FF2B5EF4-FFF2-40B4-BE49-F238E27FC236}">
              <a16:creationId xmlns:a16="http://schemas.microsoft.com/office/drawing/2014/main" id="{1596CB42-77FA-4348-8D9F-26093B7703F8}"/>
            </a:ext>
          </a:extLst>
        </xdr:cNvPr>
        <xdr:cNvSpPr/>
      </xdr:nvSpPr>
      <xdr:spPr>
        <a:xfrm>
          <a:off x="184099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101</xdr:row>
      <xdr:rowOff>0</xdr:rowOff>
    </xdr:from>
    <xdr:to>
      <xdr:col>45</xdr:col>
      <xdr:colOff>83820</xdr:colOff>
      <xdr:row>101</xdr:row>
      <xdr:rowOff>114300</xdr:rowOff>
    </xdr:to>
    <xdr:sp macro="" textlink="">
      <xdr:nvSpPr>
        <xdr:cNvPr id="682" name="Arrow: Down 681">
          <a:extLst>
            <a:ext uri="{FF2B5EF4-FFF2-40B4-BE49-F238E27FC236}">
              <a16:creationId xmlns:a16="http://schemas.microsoft.com/office/drawing/2014/main" id="{A30310C9-2078-4E34-8882-73F20B634052}"/>
            </a:ext>
          </a:extLst>
        </xdr:cNvPr>
        <xdr:cNvSpPr/>
      </xdr:nvSpPr>
      <xdr:spPr>
        <a:xfrm rot="10800000">
          <a:off x="1013460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101</xdr:row>
      <xdr:rowOff>0</xdr:rowOff>
    </xdr:from>
    <xdr:to>
      <xdr:col>24</xdr:col>
      <xdr:colOff>83820</xdr:colOff>
      <xdr:row>101</xdr:row>
      <xdr:rowOff>114300</xdr:rowOff>
    </xdr:to>
    <xdr:sp macro="" textlink="">
      <xdr:nvSpPr>
        <xdr:cNvPr id="683" name="Arrow: Down 682">
          <a:extLst>
            <a:ext uri="{FF2B5EF4-FFF2-40B4-BE49-F238E27FC236}">
              <a16:creationId xmlns:a16="http://schemas.microsoft.com/office/drawing/2014/main" id="{F21797FB-F16E-4259-A583-53D50D35219B}"/>
            </a:ext>
          </a:extLst>
        </xdr:cNvPr>
        <xdr:cNvSpPr/>
      </xdr:nvSpPr>
      <xdr:spPr>
        <a:xfrm>
          <a:off x="544068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101</xdr:row>
      <xdr:rowOff>0</xdr:rowOff>
    </xdr:from>
    <xdr:to>
      <xdr:col>60</xdr:col>
      <xdr:colOff>83820</xdr:colOff>
      <xdr:row>101</xdr:row>
      <xdr:rowOff>114300</xdr:rowOff>
    </xdr:to>
    <xdr:sp macro="" textlink="">
      <xdr:nvSpPr>
        <xdr:cNvPr id="685" name="Arrow: Down 684">
          <a:extLst>
            <a:ext uri="{FF2B5EF4-FFF2-40B4-BE49-F238E27FC236}">
              <a16:creationId xmlns:a16="http://schemas.microsoft.com/office/drawing/2014/main" id="{657D62C2-106A-4283-B6EC-73AAAE06AC53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101</xdr:row>
      <xdr:rowOff>0</xdr:rowOff>
    </xdr:from>
    <xdr:to>
      <xdr:col>39</xdr:col>
      <xdr:colOff>83820</xdr:colOff>
      <xdr:row>101</xdr:row>
      <xdr:rowOff>114300</xdr:rowOff>
    </xdr:to>
    <xdr:sp macro="" textlink="">
      <xdr:nvSpPr>
        <xdr:cNvPr id="686" name="Arrow: Down 685">
          <a:extLst>
            <a:ext uri="{FF2B5EF4-FFF2-40B4-BE49-F238E27FC236}">
              <a16:creationId xmlns:a16="http://schemas.microsoft.com/office/drawing/2014/main" id="{324CABF2-70BE-467F-BDBA-03E9A95B4E72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101</xdr:row>
      <xdr:rowOff>0</xdr:rowOff>
    </xdr:from>
    <xdr:to>
      <xdr:col>5</xdr:col>
      <xdr:colOff>83820</xdr:colOff>
      <xdr:row>101</xdr:row>
      <xdr:rowOff>114300</xdr:rowOff>
    </xdr:to>
    <xdr:sp macro="" textlink="">
      <xdr:nvSpPr>
        <xdr:cNvPr id="616" name="Arrow: Down 615">
          <a:extLst>
            <a:ext uri="{FF2B5EF4-FFF2-40B4-BE49-F238E27FC236}">
              <a16:creationId xmlns:a16="http://schemas.microsoft.com/office/drawing/2014/main" id="{4228C844-D9F4-413F-B565-2606A700E497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101</xdr:row>
      <xdr:rowOff>0</xdr:rowOff>
    </xdr:from>
    <xdr:to>
      <xdr:col>11</xdr:col>
      <xdr:colOff>83820</xdr:colOff>
      <xdr:row>101</xdr:row>
      <xdr:rowOff>114300</xdr:rowOff>
    </xdr:to>
    <xdr:sp macro="" textlink="">
      <xdr:nvSpPr>
        <xdr:cNvPr id="620" name="Arrow: Down 619">
          <a:extLst>
            <a:ext uri="{FF2B5EF4-FFF2-40B4-BE49-F238E27FC236}">
              <a16:creationId xmlns:a16="http://schemas.microsoft.com/office/drawing/2014/main" id="{D72D03B0-BF99-4BB8-8669-729136A6F11D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102</xdr:row>
      <xdr:rowOff>0</xdr:rowOff>
    </xdr:from>
    <xdr:to>
      <xdr:col>71</xdr:col>
      <xdr:colOff>83820</xdr:colOff>
      <xdr:row>102</xdr:row>
      <xdr:rowOff>114300</xdr:rowOff>
    </xdr:to>
    <xdr:sp macro="" textlink="">
      <xdr:nvSpPr>
        <xdr:cNvPr id="632" name="Arrow: Down 631">
          <a:extLst>
            <a:ext uri="{FF2B5EF4-FFF2-40B4-BE49-F238E27FC236}">
              <a16:creationId xmlns:a16="http://schemas.microsoft.com/office/drawing/2014/main" id="{DADEE258-4D72-4D81-96E2-11CB94D0C7C2}"/>
            </a:ext>
          </a:extLst>
        </xdr:cNvPr>
        <xdr:cNvSpPr/>
      </xdr:nvSpPr>
      <xdr:spPr>
        <a:xfrm>
          <a:off x="1706880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102</xdr:row>
      <xdr:rowOff>0</xdr:rowOff>
    </xdr:from>
    <xdr:to>
      <xdr:col>24</xdr:col>
      <xdr:colOff>83820</xdr:colOff>
      <xdr:row>102</xdr:row>
      <xdr:rowOff>114300</xdr:rowOff>
    </xdr:to>
    <xdr:sp macro="" textlink="">
      <xdr:nvSpPr>
        <xdr:cNvPr id="642" name="Arrow: Down 641">
          <a:extLst>
            <a:ext uri="{FF2B5EF4-FFF2-40B4-BE49-F238E27FC236}">
              <a16:creationId xmlns:a16="http://schemas.microsoft.com/office/drawing/2014/main" id="{11035576-FF6C-461A-8481-935D784F43B7}"/>
            </a:ext>
          </a:extLst>
        </xdr:cNvPr>
        <xdr:cNvSpPr/>
      </xdr:nvSpPr>
      <xdr:spPr>
        <a:xfrm>
          <a:off x="544068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102</xdr:row>
      <xdr:rowOff>0</xdr:rowOff>
    </xdr:from>
    <xdr:to>
      <xdr:col>60</xdr:col>
      <xdr:colOff>83820</xdr:colOff>
      <xdr:row>102</xdr:row>
      <xdr:rowOff>114300</xdr:rowOff>
    </xdr:to>
    <xdr:sp macro="" textlink="">
      <xdr:nvSpPr>
        <xdr:cNvPr id="643" name="Arrow: Down 642">
          <a:extLst>
            <a:ext uri="{FF2B5EF4-FFF2-40B4-BE49-F238E27FC236}">
              <a16:creationId xmlns:a16="http://schemas.microsoft.com/office/drawing/2014/main" id="{A283F9DB-5DBB-4DBA-9DFA-44710D0C731B}"/>
            </a:ext>
          </a:extLst>
        </xdr:cNvPr>
        <xdr:cNvSpPr/>
      </xdr:nvSpPr>
      <xdr:spPr>
        <a:xfrm>
          <a:off x="1475232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102</xdr:row>
      <xdr:rowOff>0</xdr:rowOff>
    </xdr:from>
    <xdr:to>
      <xdr:col>5</xdr:col>
      <xdr:colOff>83820</xdr:colOff>
      <xdr:row>102</xdr:row>
      <xdr:rowOff>114300</xdr:rowOff>
    </xdr:to>
    <xdr:sp macro="" textlink="">
      <xdr:nvSpPr>
        <xdr:cNvPr id="655" name="Arrow: Down 654">
          <a:extLst>
            <a:ext uri="{FF2B5EF4-FFF2-40B4-BE49-F238E27FC236}">
              <a16:creationId xmlns:a16="http://schemas.microsoft.com/office/drawing/2014/main" id="{7968D2D2-A993-4611-901E-2128A0B1185A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102</xdr:row>
      <xdr:rowOff>0</xdr:rowOff>
    </xdr:from>
    <xdr:to>
      <xdr:col>11</xdr:col>
      <xdr:colOff>83820</xdr:colOff>
      <xdr:row>102</xdr:row>
      <xdr:rowOff>114300</xdr:rowOff>
    </xdr:to>
    <xdr:sp macro="" textlink="">
      <xdr:nvSpPr>
        <xdr:cNvPr id="666" name="Arrow: Down 665">
          <a:extLst>
            <a:ext uri="{FF2B5EF4-FFF2-40B4-BE49-F238E27FC236}">
              <a16:creationId xmlns:a16="http://schemas.microsoft.com/office/drawing/2014/main" id="{E6C9C091-AB5F-4299-BB3B-8899E1E4F0A5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102</xdr:row>
      <xdr:rowOff>0</xdr:rowOff>
    </xdr:from>
    <xdr:to>
      <xdr:col>39</xdr:col>
      <xdr:colOff>83820</xdr:colOff>
      <xdr:row>102</xdr:row>
      <xdr:rowOff>114300</xdr:rowOff>
    </xdr:to>
    <xdr:sp macro="" textlink="">
      <xdr:nvSpPr>
        <xdr:cNvPr id="669" name="Arrow: Down 668">
          <a:extLst>
            <a:ext uri="{FF2B5EF4-FFF2-40B4-BE49-F238E27FC236}">
              <a16:creationId xmlns:a16="http://schemas.microsoft.com/office/drawing/2014/main" id="{BB89D0BC-3517-4128-BFCE-68D4AB547BB1}"/>
            </a:ext>
          </a:extLst>
        </xdr:cNvPr>
        <xdr:cNvSpPr/>
      </xdr:nvSpPr>
      <xdr:spPr>
        <a:xfrm>
          <a:off x="854964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102</xdr:row>
      <xdr:rowOff>0</xdr:rowOff>
    </xdr:from>
    <xdr:to>
      <xdr:col>45</xdr:col>
      <xdr:colOff>83820</xdr:colOff>
      <xdr:row>102</xdr:row>
      <xdr:rowOff>114300</xdr:rowOff>
    </xdr:to>
    <xdr:sp macro="" textlink="">
      <xdr:nvSpPr>
        <xdr:cNvPr id="689" name="Arrow: Down 688">
          <a:extLst>
            <a:ext uri="{FF2B5EF4-FFF2-40B4-BE49-F238E27FC236}">
              <a16:creationId xmlns:a16="http://schemas.microsoft.com/office/drawing/2014/main" id="{9B2F6A0F-BB45-454D-8B63-EDDA6A379325}"/>
            </a:ext>
          </a:extLst>
        </xdr:cNvPr>
        <xdr:cNvSpPr/>
      </xdr:nvSpPr>
      <xdr:spPr>
        <a:xfrm>
          <a:off x="1013460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103</xdr:row>
      <xdr:rowOff>0</xdr:rowOff>
    </xdr:from>
    <xdr:to>
      <xdr:col>71</xdr:col>
      <xdr:colOff>83820</xdr:colOff>
      <xdr:row>103</xdr:row>
      <xdr:rowOff>114300</xdr:rowOff>
    </xdr:to>
    <xdr:sp macro="" textlink="">
      <xdr:nvSpPr>
        <xdr:cNvPr id="690" name="Arrow: Down 689">
          <a:extLst>
            <a:ext uri="{FF2B5EF4-FFF2-40B4-BE49-F238E27FC236}">
              <a16:creationId xmlns:a16="http://schemas.microsoft.com/office/drawing/2014/main" id="{AC232909-9BDE-47EF-8AA7-475D5672810D}"/>
            </a:ext>
          </a:extLst>
        </xdr:cNvPr>
        <xdr:cNvSpPr/>
      </xdr:nvSpPr>
      <xdr:spPr>
        <a:xfrm>
          <a:off x="17068800" y="18752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103</xdr:row>
      <xdr:rowOff>0</xdr:rowOff>
    </xdr:from>
    <xdr:to>
      <xdr:col>24</xdr:col>
      <xdr:colOff>83820</xdr:colOff>
      <xdr:row>103</xdr:row>
      <xdr:rowOff>114300</xdr:rowOff>
    </xdr:to>
    <xdr:sp macro="" textlink="">
      <xdr:nvSpPr>
        <xdr:cNvPr id="702" name="Arrow: Down 701">
          <a:extLst>
            <a:ext uri="{FF2B5EF4-FFF2-40B4-BE49-F238E27FC236}">
              <a16:creationId xmlns:a16="http://schemas.microsoft.com/office/drawing/2014/main" id="{2FD6B09E-E273-409B-BB25-1324166EEAF3}"/>
            </a:ext>
          </a:extLst>
        </xdr:cNvPr>
        <xdr:cNvSpPr/>
      </xdr:nvSpPr>
      <xdr:spPr>
        <a:xfrm rot="10800000">
          <a:off x="544068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103</xdr:row>
      <xdr:rowOff>0</xdr:rowOff>
    </xdr:from>
    <xdr:to>
      <xdr:col>39</xdr:col>
      <xdr:colOff>83820</xdr:colOff>
      <xdr:row>103</xdr:row>
      <xdr:rowOff>114300</xdr:rowOff>
    </xdr:to>
    <xdr:sp macro="" textlink="">
      <xdr:nvSpPr>
        <xdr:cNvPr id="707" name="Arrow: Down 706">
          <a:extLst>
            <a:ext uri="{FF2B5EF4-FFF2-40B4-BE49-F238E27FC236}">
              <a16:creationId xmlns:a16="http://schemas.microsoft.com/office/drawing/2014/main" id="{54BA0260-7093-4670-8D49-F13D67BBDC1C}"/>
            </a:ext>
          </a:extLst>
        </xdr:cNvPr>
        <xdr:cNvSpPr/>
      </xdr:nvSpPr>
      <xdr:spPr>
        <a:xfrm rot="10800000">
          <a:off x="854964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103</xdr:row>
      <xdr:rowOff>0</xdr:rowOff>
    </xdr:from>
    <xdr:to>
      <xdr:col>5</xdr:col>
      <xdr:colOff>83820</xdr:colOff>
      <xdr:row>103</xdr:row>
      <xdr:rowOff>114300</xdr:rowOff>
    </xdr:to>
    <xdr:sp macro="" textlink="">
      <xdr:nvSpPr>
        <xdr:cNvPr id="709" name="Arrow: Down 708">
          <a:extLst>
            <a:ext uri="{FF2B5EF4-FFF2-40B4-BE49-F238E27FC236}">
              <a16:creationId xmlns:a16="http://schemas.microsoft.com/office/drawing/2014/main" id="{314E60FE-27C5-4AB0-B276-FB75C2E0FFB5}"/>
            </a:ext>
          </a:extLst>
        </xdr:cNvPr>
        <xdr:cNvSpPr/>
      </xdr:nvSpPr>
      <xdr:spPr>
        <a:xfrm rot="10800000">
          <a:off x="192786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83820</xdr:colOff>
      <xdr:row>103</xdr:row>
      <xdr:rowOff>114300</xdr:rowOff>
    </xdr:to>
    <xdr:sp macro="" textlink="">
      <xdr:nvSpPr>
        <xdr:cNvPr id="714" name="Arrow: Down 713">
          <a:extLst>
            <a:ext uri="{FF2B5EF4-FFF2-40B4-BE49-F238E27FC236}">
              <a16:creationId xmlns:a16="http://schemas.microsoft.com/office/drawing/2014/main" id="{9606D00F-BE50-4920-A9A7-561938AC90C7}"/>
            </a:ext>
          </a:extLst>
        </xdr:cNvPr>
        <xdr:cNvSpPr/>
      </xdr:nvSpPr>
      <xdr:spPr>
        <a:xfrm rot="10800000">
          <a:off x="361950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103</xdr:row>
      <xdr:rowOff>0</xdr:rowOff>
    </xdr:from>
    <xdr:to>
      <xdr:col>60</xdr:col>
      <xdr:colOff>83820</xdr:colOff>
      <xdr:row>103</xdr:row>
      <xdr:rowOff>114300</xdr:rowOff>
    </xdr:to>
    <xdr:sp macro="" textlink="">
      <xdr:nvSpPr>
        <xdr:cNvPr id="716" name="Arrow: Down 715">
          <a:extLst>
            <a:ext uri="{FF2B5EF4-FFF2-40B4-BE49-F238E27FC236}">
              <a16:creationId xmlns:a16="http://schemas.microsoft.com/office/drawing/2014/main" id="{5B8F6917-A1F5-4395-9959-F7E62DFEF8BA}"/>
            </a:ext>
          </a:extLst>
        </xdr:cNvPr>
        <xdr:cNvSpPr/>
      </xdr:nvSpPr>
      <xdr:spPr>
        <a:xfrm rot="10800000">
          <a:off x="1475232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103</xdr:row>
      <xdr:rowOff>0</xdr:rowOff>
    </xdr:from>
    <xdr:to>
      <xdr:col>45</xdr:col>
      <xdr:colOff>83820</xdr:colOff>
      <xdr:row>103</xdr:row>
      <xdr:rowOff>114300</xdr:rowOff>
    </xdr:to>
    <xdr:sp macro="" textlink="">
      <xdr:nvSpPr>
        <xdr:cNvPr id="717" name="Arrow: Down 716">
          <a:extLst>
            <a:ext uri="{FF2B5EF4-FFF2-40B4-BE49-F238E27FC236}">
              <a16:creationId xmlns:a16="http://schemas.microsoft.com/office/drawing/2014/main" id="{E8223D1A-DE3E-4921-B450-26BD1A30C557}"/>
            </a:ext>
          </a:extLst>
        </xdr:cNvPr>
        <xdr:cNvSpPr/>
      </xdr:nvSpPr>
      <xdr:spPr>
        <a:xfrm rot="10800000">
          <a:off x="101346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104</xdr:row>
      <xdr:rowOff>0</xdr:rowOff>
    </xdr:from>
    <xdr:to>
      <xdr:col>71</xdr:col>
      <xdr:colOff>83820</xdr:colOff>
      <xdr:row>104</xdr:row>
      <xdr:rowOff>114300</xdr:rowOff>
    </xdr:to>
    <xdr:sp macro="" textlink="">
      <xdr:nvSpPr>
        <xdr:cNvPr id="718" name="Arrow: Down 717">
          <a:extLst>
            <a:ext uri="{FF2B5EF4-FFF2-40B4-BE49-F238E27FC236}">
              <a16:creationId xmlns:a16="http://schemas.microsoft.com/office/drawing/2014/main" id="{C89556FE-EC72-4E0E-96D1-F74C7EB33F07}"/>
            </a:ext>
          </a:extLst>
        </xdr:cNvPr>
        <xdr:cNvSpPr/>
      </xdr:nvSpPr>
      <xdr:spPr>
        <a:xfrm>
          <a:off x="170688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104</xdr:row>
      <xdr:rowOff>0</xdr:rowOff>
    </xdr:from>
    <xdr:to>
      <xdr:col>24</xdr:col>
      <xdr:colOff>83820</xdr:colOff>
      <xdr:row>104</xdr:row>
      <xdr:rowOff>114300</xdr:rowOff>
    </xdr:to>
    <xdr:sp macro="" textlink="">
      <xdr:nvSpPr>
        <xdr:cNvPr id="719" name="Arrow: Down 718">
          <a:extLst>
            <a:ext uri="{FF2B5EF4-FFF2-40B4-BE49-F238E27FC236}">
              <a16:creationId xmlns:a16="http://schemas.microsoft.com/office/drawing/2014/main" id="{F762D964-A5FF-468D-BE81-6D1FDADFEDC1}"/>
            </a:ext>
          </a:extLst>
        </xdr:cNvPr>
        <xdr:cNvSpPr/>
      </xdr:nvSpPr>
      <xdr:spPr>
        <a:xfrm rot="10800000">
          <a:off x="544068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104</xdr:row>
      <xdr:rowOff>0</xdr:rowOff>
    </xdr:from>
    <xdr:to>
      <xdr:col>5</xdr:col>
      <xdr:colOff>83820</xdr:colOff>
      <xdr:row>104</xdr:row>
      <xdr:rowOff>114300</xdr:rowOff>
    </xdr:to>
    <xdr:sp macro="" textlink="">
      <xdr:nvSpPr>
        <xdr:cNvPr id="721" name="Arrow: Down 720">
          <a:extLst>
            <a:ext uri="{FF2B5EF4-FFF2-40B4-BE49-F238E27FC236}">
              <a16:creationId xmlns:a16="http://schemas.microsoft.com/office/drawing/2014/main" id="{8376A525-BF86-41FC-9FE4-EE33834EC660}"/>
            </a:ext>
          </a:extLst>
        </xdr:cNvPr>
        <xdr:cNvSpPr/>
      </xdr:nvSpPr>
      <xdr:spPr>
        <a:xfrm rot="10800000">
          <a:off x="192786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104</xdr:row>
      <xdr:rowOff>0</xdr:rowOff>
    </xdr:from>
    <xdr:to>
      <xdr:col>11</xdr:col>
      <xdr:colOff>83820</xdr:colOff>
      <xdr:row>104</xdr:row>
      <xdr:rowOff>114300</xdr:rowOff>
    </xdr:to>
    <xdr:sp macro="" textlink="">
      <xdr:nvSpPr>
        <xdr:cNvPr id="722" name="Arrow: Down 721">
          <a:extLst>
            <a:ext uri="{FF2B5EF4-FFF2-40B4-BE49-F238E27FC236}">
              <a16:creationId xmlns:a16="http://schemas.microsoft.com/office/drawing/2014/main" id="{3C78DFAD-E752-4153-92D1-996D7D966E7C}"/>
            </a:ext>
          </a:extLst>
        </xdr:cNvPr>
        <xdr:cNvSpPr/>
      </xdr:nvSpPr>
      <xdr:spPr>
        <a:xfrm rot="10800000">
          <a:off x="361950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104</xdr:row>
      <xdr:rowOff>0</xdr:rowOff>
    </xdr:from>
    <xdr:to>
      <xdr:col>60</xdr:col>
      <xdr:colOff>83820</xdr:colOff>
      <xdr:row>104</xdr:row>
      <xdr:rowOff>114300</xdr:rowOff>
    </xdr:to>
    <xdr:sp macro="" textlink="">
      <xdr:nvSpPr>
        <xdr:cNvPr id="723" name="Arrow: Down 722">
          <a:extLst>
            <a:ext uri="{FF2B5EF4-FFF2-40B4-BE49-F238E27FC236}">
              <a16:creationId xmlns:a16="http://schemas.microsoft.com/office/drawing/2014/main" id="{3E43C398-337B-473A-B292-D4977DD9A523}"/>
            </a:ext>
          </a:extLst>
        </xdr:cNvPr>
        <xdr:cNvSpPr/>
      </xdr:nvSpPr>
      <xdr:spPr>
        <a:xfrm rot="10800000">
          <a:off x="1475232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104</xdr:row>
      <xdr:rowOff>0</xdr:rowOff>
    </xdr:from>
    <xdr:to>
      <xdr:col>45</xdr:col>
      <xdr:colOff>83820</xdr:colOff>
      <xdr:row>104</xdr:row>
      <xdr:rowOff>114300</xdr:rowOff>
    </xdr:to>
    <xdr:sp macro="" textlink="">
      <xdr:nvSpPr>
        <xdr:cNvPr id="724" name="Arrow: Down 723">
          <a:extLst>
            <a:ext uri="{FF2B5EF4-FFF2-40B4-BE49-F238E27FC236}">
              <a16:creationId xmlns:a16="http://schemas.microsoft.com/office/drawing/2014/main" id="{83668B6D-7637-40B2-83F7-39F2E5BA28AA}"/>
            </a:ext>
          </a:extLst>
        </xdr:cNvPr>
        <xdr:cNvSpPr/>
      </xdr:nvSpPr>
      <xdr:spPr>
        <a:xfrm rot="10800000">
          <a:off x="101346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104</xdr:row>
      <xdr:rowOff>0</xdr:rowOff>
    </xdr:from>
    <xdr:to>
      <xdr:col>39</xdr:col>
      <xdr:colOff>83820</xdr:colOff>
      <xdr:row>104</xdr:row>
      <xdr:rowOff>114300</xdr:rowOff>
    </xdr:to>
    <xdr:sp macro="" textlink="">
      <xdr:nvSpPr>
        <xdr:cNvPr id="725" name="Arrow: Down 724">
          <a:extLst>
            <a:ext uri="{FF2B5EF4-FFF2-40B4-BE49-F238E27FC236}">
              <a16:creationId xmlns:a16="http://schemas.microsoft.com/office/drawing/2014/main" id="{78A0AC11-6352-448F-9711-DB84770F4355}"/>
            </a:ext>
          </a:extLst>
        </xdr:cNvPr>
        <xdr:cNvSpPr/>
      </xdr:nvSpPr>
      <xdr:spPr>
        <a:xfrm>
          <a:off x="854964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105</xdr:row>
      <xdr:rowOff>0</xdr:rowOff>
    </xdr:from>
    <xdr:to>
      <xdr:col>5</xdr:col>
      <xdr:colOff>83820</xdr:colOff>
      <xdr:row>105</xdr:row>
      <xdr:rowOff>114300</xdr:rowOff>
    </xdr:to>
    <xdr:sp macro="" textlink="">
      <xdr:nvSpPr>
        <xdr:cNvPr id="728" name="Arrow: Down 727">
          <a:extLst>
            <a:ext uri="{FF2B5EF4-FFF2-40B4-BE49-F238E27FC236}">
              <a16:creationId xmlns:a16="http://schemas.microsoft.com/office/drawing/2014/main" id="{B5814E62-707B-42CA-B129-D7898C9BEE3B}"/>
            </a:ext>
          </a:extLst>
        </xdr:cNvPr>
        <xdr:cNvSpPr/>
      </xdr:nvSpPr>
      <xdr:spPr>
        <a:xfrm rot="10800000">
          <a:off x="192786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105</xdr:row>
      <xdr:rowOff>0</xdr:rowOff>
    </xdr:from>
    <xdr:to>
      <xdr:col>11</xdr:col>
      <xdr:colOff>83820</xdr:colOff>
      <xdr:row>105</xdr:row>
      <xdr:rowOff>114300</xdr:rowOff>
    </xdr:to>
    <xdr:sp macro="" textlink="">
      <xdr:nvSpPr>
        <xdr:cNvPr id="729" name="Arrow: Down 728">
          <a:extLst>
            <a:ext uri="{FF2B5EF4-FFF2-40B4-BE49-F238E27FC236}">
              <a16:creationId xmlns:a16="http://schemas.microsoft.com/office/drawing/2014/main" id="{264AEA41-F46F-4E4D-A2F9-A165B95931B5}"/>
            </a:ext>
          </a:extLst>
        </xdr:cNvPr>
        <xdr:cNvSpPr/>
      </xdr:nvSpPr>
      <xdr:spPr>
        <a:xfrm rot="10800000">
          <a:off x="361950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105</xdr:row>
      <xdr:rowOff>0</xdr:rowOff>
    </xdr:from>
    <xdr:to>
      <xdr:col>60</xdr:col>
      <xdr:colOff>83820</xdr:colOff>
      <xdr:row>105</xdr:row>
      <xdr:rowOff>114300</xdr:rowOff>
    </xdr:to>
    <xdr:sp macro="" textlink="">
      <xdr:nvSpPr>
        <xdr:cNvPr id="730" name="Arrow: Down 729">
          <a:extLst>
            <a:ext uri="{FF2B5EF4-FFF2-40B4-BE49-F238E27FC236}">
              <a16:creationId xmlns:a16="http://schemas.microsoft.com/office/drawing/2014/main" id="{04FD3C15-9728-42AE-ABDA-A5813080D293}"/>
            </a:ext>
          </a:extLst>
        </xdr:cNvPr>
        <xdr:cNvSpPr/>
      </xdr:nvSpPr>
      <xdr:spPr>
        <a:xfrm rot="10800000">
          <a:off x="1475232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105</xdr:row>
      <xdr:rowOff>0</xdr:rowOff>
    </xdr:from>
    <xdr:to>
      <xdr:col>45</xdr:col>
      <xdr:colOff>83820</xdr:colOff>
      <xdr:row>105</xdr:row>
      <xdr:rowOff>114300</xdr:rowOff>
    </xdr:to>
    <xdr:sp macro="" textlink="">
      <xdr:nvSpPr>
        <xdr:cNvPr id="731" name="Arrow: Down 730">
          <a:extLst>
            <a:ext uri="{FF2B5EF4-FFF2-40B4-BE49-F238E27FC236}">
              <a16:creationId xmlns:a16="http://schemas.microsoft.com/office/drawing/2014/main" id="{003F155B-7D41-468D-A9F6-D87F3937DA15}"/>
            </a:ext>
          </a:extLst>
        </xdr:cNvPr>
        <xdr:cNvSpPr/>
      </xdr:nvSpPr>
      <xdr:spPr>
        <a:xfrm rot="10800000">
          <a:off x="10134600" y="19118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105</xdr:row>
      <xdr:rowOff>0</xdr:rowOff>
    </xdr:from>
    <xdr:to>
      <xdr:col>24</xdr:col>
      <xdr:colOff>83820</xdr:colOff>
      <xdr:row>105</xdr:row>
      <xdr:rowOff>114300</xdr:rowOff>
    </xdr:to>
    <xdr:sp macro="" textlink="">
      <xdr:nvSpPr>
        <xdr:cNvPr id="733" name="Arrow: Down 732">
          <a:extLst>
            <a:ext uri="{FF2B5EF4-FFF2-40B4-BE49-F238E27FC236}">
              <a16:creationId xmlns:a16="http://schemas.microsoft.com/office/drawing/2014/main" id="{4772179F-EFD1-4DAB-9021-F899DA14B4FB}"/>
            </a:ext>
          </a:extLst>
        </xdr:cNvPr>
        <xdr:cNvSpPr/>
      </xdr:nvSpPr>
      <xdr:spPr>
        <a:xfrm>
          <a:off x="544068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105</xdr:row>
      <xdr:rowOff>0</xdr:rowOff>
    </xdr:from>
    <xdr:to>
      <xdr:col>39</xdr:col>
      <xdr:colOff>83820</xdr:colOff>
      <xdr:row>105</xdr:row>
      <xdr:rowOff>114300</xdr:rowOff>
    </xdr:to>
    <xdr:sp macro="" textlink="">
      <xdr:nvSpPr>
        <xdr:cNvPr id="734" name="Arrow: Down 733">
          <a:extLst>
            <a:ext uri="{FF2B5EF4-FFF2-40B4-BE49-F238E27FC236}">
              <a16:creationId xmlns:a16="http://schemas.microsoft.com/office/drawing/2014/main" id="{93B9A069-E962-454E-B250-3258F96FE66D}"/>
            </a:ext>
          </a:extLst>
        </xdr:cNvPr>
        <xdr:cNvSpPr/>
      </xdr:nvSpPr>
      <xdr:spPr>
        <a:xfrm rot="10800000">
          <a:off x="854964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105</xdr:row>
      <xdr:rowOff>0</xdr:rowOff>
    </xdr:from>
    <xdr:to>
      <xdr:col>71</xdr:col>
      <xdr:colOff>83820</xdr:colOff>
      <xdr:row>105</xdr:row>
      <xdr:rowOff>114300</xdr:rowOff>
    </xdr:to>
    <xdr:sp macro="" textlink="">
      <xdr:nvSpPr>
        <xdr:cNvPr id="736" name="Arrow: Down 735">
          <a:extLst>
            <a:ext uri="{FF2B5EF4-FFF2-40B4-BE49-F238E27FC236}">
              <a16:creationId xmlns:a16="http://schemas.microsoft.com/office/drawing/2014/main" id="{81C02E15-4497-435E-BABE-5352B55BB27E}"/>
            </a:ext>
          </a:extLst>
        </xdr:cNvPr>
        <xdr:cNvSpPr/>
      </xdr:nvSpPr>
      <xdr:spPr>
        <a:xfrm rot="10800000">
          <a:off x="1706880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106</xdr:row>
      <xdr:rowOff>0</xdr:rowOff>
    </xdr:from>
    <xdr:to>
      <xdr:col>5</xdr:col>
      <xdr:colOff>83820</xdr:colOff>
      <xdr:row>106</xdr:row>
      <xdr:rowOff>114300</xdr:rowOff>
    </xdr:to>
    <xdr:sp macro="" textlink="">
      <xdr:nvSpPr>
        <xdr:cNvPr id="744" name="Arrow: Down 743">
          <a:extLst>
            <a:ext uri="{FF2B5EF4-FFF2-40B4-BE49-F238E27FC236}">
              <a16:creationId xmlns:a16="http://schemas.microsoft.com/office/drawing/2014/main" id="{200E3500-E13A-438F-8D4C-EB599018F4AC}"/>
            </a:ext>
          </a:extLst>
        </xdr:cNvPr>
        <xdr:cNvSpPr/>
      </xdr:nvSpPr>
      <xdr:spPr>
        <a:xfrm rot="10800000">
          <a:off x="192786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106</xdr:row>
      <xdr:rowOff>0</xdr:rowOff>
    </xdr:from>
    <xdr:to>
      <xdr:col>11</xdr:col>
      <xdr:colOff>83820</xdr:colOff>
      <xdr:row>106</xdr:row>
      <xdr:rowOff>114300</xdr:rowOff>
    </xdr:to>
    <xdr:sp macro="" textlink="">
      <xdr:nvSpPr>
        <xdr:cNvPr id="745" name="Arrow: Down 744">
          <a:extLst>
            <a:ext uri="{FF2B5EF4-FFF2-40B4-BE49-F238E27FC236}">
              <a16:creationId xmlns:a16="http://schemas.microsoft.com/office/drawing/2014/main" id="{7BD6008A-5672-4366-A5A9-0744691A9E10}"/>
            </a:ext>
          </a:extLst>
        </xdr:cNvPr>
        <xdr:cNvSpPr/>
      </xdr:nvSpPr>
      <xdr:spPr>
        <a:xfrm rot="10800000">
          <a:off x="361950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106</xdr:row>
      <xdr:rowOff>0</xdr:rowOff>
    </xdr:from>
    <xdr:to>
      <xdr:col>24</xdr:col>
      <xdr:colOff>83820</xdr:colOff>
      <xdr:row>106</xdr:row>
      <xdr:rowOff>114300</xdr:rowOff>
    </xdr:to>
    <xdr:sp macro="" textlink="">
      <xdr:nvSpPr>
        <xdr:cNvPr id="748" name="Arrow: Down 747">
          <a:extLst>
            <a:ext uri="{FF2B5EF4-FFF2-40B4-BE49-F238E27FC236}">
              <a16:creationId xmlns:a16="http://schemas.microsoft.com/office/drawing/2014/main" id="{37D1D4A8-E127-48B8-8420-EB3B50A620F6}"/>
            </a:ext>
          </a:extLst>
        </xdr:cNvPr>
        <xdr:cNvSpPr/>
      </xdr:nvSpPr>
      <xdr:spPr>
        <a:xfrm>
          <a:off x="544068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106</xdr:row>
      <xdr:rowOff>0</xdr:rowOff>
    </xdr:from>
    <xdr:to>
      <xdr:col>71</xdr:col>
      <xdr:colOff>83820</xdr:colOff>
      <xdr:row>106</xdr:row>
      <xdr:rowOff>114300</xdr:rowOff>
    </xdr:to>
    <xdr:sp macro="" textlink="">
      <xdr:nvSpPr>
        <xdr:cNvPr id="751" name="Arrow: Down 750">
          <a:extLst>
            <a:ext uri="{FF2B5EF4-FFF2-40B4-BE49-F238E27FC236}">
              <a16:creationId xmlns:a16="http://schemas.microsoft.com/office/drawing/2014/main" id="{5B4519AD-AE40-4B89-92EF-98B52FD8A4FD}"/>
            </a:ext>
          </a:extLst>
        </xdr:cNvPr>
        <xdr:cNvSpPr/>
      </xdr:nvSpPr>
      <xdr:spPr>
        <a:xfrm>
          <a:off x="17068800" y="19484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106</xdr:row>
      <xdr:rowOff>0</xdr:rowOff>
    </xdr:from>
    <xdr:to>
      <xdr:col>60</xdr:col>
      <xdr:colOff>83820</xdr:colOff>
      <xdr:row>106</xdr:row>
      <xdr:rowOff>114300</xdr:rowOff>
    </xdr:to>
    <xdr:sp macro="" textlink="">
      <xdr:nvSpPr>
        <xdr:cNvPr id="752" name="Arrow: Down 751">
          <a:extLst>
            <a:ext uri="{FF2B5EF4-FFF2-40B4-BE49-F238E27FC236}">
              <a16:creationId xmlns:a16="http://schemas.microsoft.com/office/drawing/2014/main" id="{70381BF0-C654-4764-9EBC-42445E15E618}"/>
            </a:ext>
          </a:extLst>
        </xdr:cNvPr>
        <xdr:cNvSpPr/>
      </xdr:nvSpPr>
      <xdr:spPr>
        <a:xfrm>
          <a:off x="14752320" y="19484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106</xdr:row>
      <xdr:rowOff>0</xdr:rowOff>
    </xdr:from>
    <xdr:to>
      <xdr:col>39</xdr:col>
      <xdr:colOff>83820</xdr:colOff>
      <xdr:row>106</xdr:row>
      <xdr:rowOff>114300</xdr:rowOff>
    </xdr:to>
    <xdr:sp macro="" textlink="">
      <xdr:nvSpPr>
        <xdr:cNvPr id="754" name="Arrow: Down 753">
          <a:extLst>
            <a:ext uri="{FF2B5EF4-FFF2-40B4-BE49-F238E27FC236}">
              <a16:creationId xmlns:a16="http://schemas.microsoft.com/office/drawing/2014/main" id="{79DB80CF-E171-49AD-85D2-DA4F5227F33B}"/>
            </a:ext>
          </a:extLst>
        </xdr:cNvPr>
        <xdr:cNvSpPr/>
      </xdr:nvSpPr>
      <xdr:spPr>
        <a:xfrm>
          <a:off x="854964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106</xdr:row>
      <xdr:rowOff>0</xdr:rowOff>
    </xdr:from>
    <xdr:to>
      <xdr:col>45</xdr:col>
      <xdr:colOff>83820</xdr:colOff>
      <xdr:row>106</xdr:row>
      <xdr:rowOff>114300</xdr:rowOff>
    </xdr:to>
    <xdr:sp macro="" textlink="">
      <xdr:nvSpPr>
        <xdr:cNvPr id="756" name="Arrow: Down 755">
          <a:extLst>
            <a:ext uri="{FF2B5EF4-FFF2-40B4-BE49-F238E27FC236}">
              <a16:creationId xmlns:a16="http://schemas.microsoft.com/office/drawing/2014/main" id="{70DFDCFA-DF9C-4EEF-9D3B-C02C7E42B8A0}"/>
            </a:ext>
          </a:extLst>
        </xdr:cNvPr>
        <xdr:cNvSpPr/>
      </xdr:nvSpPr>
      <xdr:spPr>
        <a:xfrm>
          <a:off x="101346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107</xdr:row>
      <xdr:rowOff>0</xdr:rowOff>
    </xdr:from>
    <xdr:to>
      <xdr:col>5</xdr:col>
      <xdr:colOff>83820</xdr:colOff>
      <xdr:row>107</xdr:row>
      <xdr:rowOff>114300</xdr:rowOff>
    </xdr:to>
    <xdr:sp macro="" textlink="">
      <xdr:nvSpPr>
        <xdr:cNvPr id="681" name="Arrow: Down 680">
          <a:extLst>
            <a:ext uri="{FF2B5EF4-FFF2-40B4-BE49-F238E27FC236}">
              <a16:creationId xmlns:a16="http://schemas.microsoft.com/office/drawing/2014/main" id="{07E2EE87-64F7-448C-A441-2893689049AD}"/>
            </a:ext>
          </a:extLst>
        </xdr:cNvPr>
        <xdr:cNvSpPr/>
      </xdr:nvSpPr>
      <xdr:spPr>
        <a:xfrm rot="10800000">
          <a:off x="192786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107</xdr:row>
      <xdr:rowOff>0</xdr:rowOff>
    </xdr:from>
    <xdr:to>
      <xdr:col>11</xdr:col>
      <xdr:colOff>83820</xdr:colOff>
      <xdr:row>107</xdr:row>
      <xdr:rowOff>114300</xdr:rowOff>
    </xdr:to>
    <xdr:sp macro="" textlink="">
      <xdr:nvSpPr>
        <xdr:cNvPr id="684" name="Arrow: Down 683">
          <a:extLst>
            <a:ext uri="{FF2B5EF4-FFF2-40B4-BE49-F238E27FC236}">
              <a16:creationId xmlns:a16="http://schemas.microsoft.com/office/drawing/2014/main" id="{FBA310C7-B684-4B82-A7CF-A6A96BD839EB}"/>
            </a:ext>
          </a:extLst>
        </xdr:cNvPr>
        <xdr:cNvSpPr/>
      </xdr:nvSpPr>
      <xdr:spPr>
        <a:xfrm rot="10800000">
          <a:off x="36195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107</xdr:row>
      <xdr:rowOff>0</xdr:rowOff>
    </xdr:from>
    <xdr:to>
      <xdr:col>39</xdr:col>
      <xdr:colOff>83820</xdr:colOff>
      <xdr:row>107</xdr:row>
      <xdr:rowOff>114300</xdr:rowOff>
    </xdr:to>
    <xdr:sp macro="" textlink="">
      <xdr:nvSpPr>
        <xdr:cNvPr id="695" name="Arrow: Down 694">
          <a:extLst>
            <a:ext uri="{FF2B5EF4-FFF2-40B4-BE49-F238E27FC236}">
              <a16:creationId xmlns:a16="http://schemas.microsoft.com/office/drawing/2014/main" id="{1CEFFBA5-8F19-48FF-8F32-CE76AC445C63}"/>
            </a:ext>
          </a:extLst>
        </xdr:cNvPr>
        <xdr:cNvSpPr/>
      </xdr:nvSpPr>
      <xdr:spPr>
        <a:xfrm>
          <a:off x="854964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107</xdr:row>
      <xdr:rowOff>0</xdr:rowOff>
    </xdr:from>
    <xdr:to>
      <xdr:col>45</xdr:col>
      <xdr:colOff>83820</xdr:colOff>
      <xdr:row>107</xdr:row>
      <xdr:rowOff>114300</xdr:rowOff>
    </xdr:to>
    <xdr:sp macro="" textlink="">
      <xdr:nvSpPr>
        <xdr:cNvPr id="697" name="Arrow: Down 696">
          <a:extLst>
            <a:ext uri="{FF2B5EF4-FFF2-40B4-BE49-F238E27FC236}">
              <a16:creationId xmlns:a16="http://schemas.microsoft.com/office/drawing/2014/main" id="{C3891196-203F-4469-8959-0083D1A76668}"/>
            </a:ext>
          </a:extLst>
        </xdr:cNvPr>
        <xdr:cNvSpPr/>
      </xdr:nvSpPr>
      <xdr:spPr>
        <a:xfrm>
          <a:off x="101346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107</xdr:row>
      <xdr:rowOff>0</xdr:rowOff>
    </xdr:from>
    <xdr:to>
      <xdr:col>24</xdr:col>
      <xdr:colOff>83820</xdr:colOff>
      <xdr:row>107</xdr:row>
      <xdr:rowOff>114300</xdr:rowOff>
    </xdr:to>
    <xdr:sp macro="" textlink="">
      <xdr:nvSpPr>
        <xdr:cNvPr id="699" name="Arrow: Down 698">
          <a:extLst>
            <a:ext uri="{FF2B5EF4-FFF2-40B4-BE49-F238E27FC236}">
              <a16:creationId xmlns:a16="http://schemas.microsoft.com/office/drawing/2014/main" id="{74F8545B-D1E9-42F6-9B51-E9A4CDB56EB4}"/>
            </a:ext>
          </a:extLst>
        </xdr:cNvPr>
        <xdr:cNvSpPr/>
      </xdr:nvSpPr>
      <xdr:spPr>
        <a:xfrm rot="10800000">
          <a:off x="544068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107</xdr:row>
      <xdr:rowOff>0</xdr:rowOff>
    </xdr:from>
    <xdr:to>
      <xdr:col>60</xdr:col>
      <xdr:colOff>83820</xdr:colOff>
      <xdr:row>107</xdr:row>
      <xdr:rowOff>114300</xdr:rowOff>
    </xdr:to>
    <xdr:sp macro="" textlink="">
      <xdr:nvSpPr>
        <xdr:cNvPr id="712" name="Arrow: Down 711">
          <a:extLst>
            <a:ext uri="{FF2B5EF4-FFF2-40B4-BE49-F238E27FC236}">
              <a16:creationId xmlns:a16="http://schemas.microsoft.com/office/drawing/2014/main" id="{FF8F76A9-29EA-45AC-A948-3750963CE9C7}"/>
            </a:ext>
          </a:extLst>
        </xdr:cNvPr>
        <xdr:cNvSpPr/>
      </xdr:nvSpPr>
      <xdr:spPr>
        <a:xfrm rot="10800000">
          <a:off x="1475232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107</xdr:row>
      <xdr:rowOff>0</xdr:rowOff>
    </xdr:from>
    <xdr:to>
      <xdr:col>71</xdr:col>
      <xdr:colOff>83820</xdr:colOff>
      <xdr:row>107</xdr:row>
      <xdr:rowOff>114300</xdr:rowOff>
    </xdr:to>
    <xdr:sp macro="" textlink="">
      <xdr:nvSpPr>
        <xdr:cNvPr id="715" name="Arrow: Down 714">
          <a:extLst>
            <a:ext uri="{FF2B5EF4-FFF2-40B4-BE49-F238E27FC236}">
              <a16:creationId xmlns:a16="http://schemas.microsoft.com/office/drawing/2014/main" id="{4F1E5E70-ACE4-40C6-BC03-36F7CEC928C1}"/>
            </a:ext>
          </a:extLst>
        </xdr:cNvPr>
        <xdr:cNvSpPr/>
      </xdr:nvSpPr>
      <xdr:spPr>
        <a:xfrm rot="10800000">
          <a:off x="1706880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108</xdr:row>
      <xdr:rowOff>0</xdr:rowOff>
    </xdr:from>
    <xdr:to>
      <xdr:col>5</xdr:col>
      <xdr:colOff>83820</xdr:colOff>
      <xdr:row>108</xdr:row>
      <xdr:rowOff>114300</xdr:rowOff>
    </xdr:to>
    <xdr:sp macro="" textlink="">
      <xdr:nvSpPr>
        <xdr:cNvPr id="740" name="Arrow: Down 739">
          <a:extLst>
            <a:ext uri="{FF2B5EF4-FFF2-40B4-BE49-F238E27FC236}">
              <a16:creationId xmlns:a16="http://schemas.microsoft.com/office/drawing/2014/main" id="{F534A5CF-53EF-4287-ACB7-F401B65A06D8}"/>
            </a:ext>
          </a:extLst>
        </xdr:cNvPr>
        <xdr:cNvSpPr/>
      </xdr:nvSpPr>
      <xdr:spPr>
        <a:xfrm>
          <a:off x="192786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108</xdr:row>
      <xdr:rowOff>0</xdr:rowOff>
    </xdr:from>
    <xdr:to>
      <xdr:col>11</xdr:col>
      <xdr:colOff>83820</xdr:colOff>
      <xdr:row>108</xdr:row>
      <xdr:rowOff>114300</xdr:rowOff>
    </xdr:to>
    <xdr:sp macro="" textlink="">
      <xdr:nvSpPr>
        <xdr:cNvPr id="741" name="Arrow: Down 740">
          <a:extLst>
            <a:ext uri="{FF2B5EF4-FFF2-40B4-BE49-F238E27FC236}">
              <a16:creationId xmlns:a16="http://schemas.microsoft.com/office/drawing/2014/main" id="{F84D9B45-DB40-4CDD-920F-96123EE598F0}"/>
            </a:ext>
          </a:extLst>
        </xdr:cNvPr>
        <xdr:cNvSpPr/>
      </xdr:nvSpPr>
      <xdr:spPr>
        <a:xfrm>
          <a:off x="361950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108</xdr:row>
      <xdr:rowOff>0</xdr:rowOff>
    </xdr:from>
    <xdr:to>
      <xdr:col>24</xdr:col>
      <xdr:colOff>83820</xdr:colOff>
      <xdr:row>108</xdr:row>
      <xdr:rowOff>114300</xdr:rowOff>
    </xdr:to>
    <xdr:sp macro="" textlink="">
      <xdr:nvSpPr>
        <xdr:cNvPr id="742" name="Arrow: Down 741">
          <a:extLst>
            <a:ext uri="{FF2B5EF4-FFF2-40B4-BE49-F238E27FC236}">
              <a16:creationId xmlns:a16="http://schemas.microsoft.com/office/drawing/2014/main" id="{BA492D6C-ADEE-4C84-BA77-73C2F1B1B3B6}"/>
            </a:ext>
          </a:extLst>
        </xdr:cNvPr>
        <xdr:cNvSpPr/>
      </xdr:nvSpPr>
      <xdr:spPr>
        <a:xfrm>
          <a:off x="544068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108</xdr:row>
      <xdr:rowOff>0</xdr:rowOff>
    </xdr:from>
    <xdr:to>
      <xdr:col>45</xdr:col>
      <xdr:colOff>83820</xdr:colOff>
      <xdr:row>108</xdr:row>
      <xdr:rowOff>114300</xdr:rowOff>
    </xdr:to>
    <xdr:sp macro="" textlink="">
      <xdr:nvSpPr>
        <xdr:cNvPr id="746" name="Arrow: Down 745">
          <a:extLst>
            <a:ext uri="{FF2B5EF4-FFF2-40B4-BE49-F238E27FC236}">
              <a16:creationId xmlns:a16="http://schemas.microsoft.com/office/drawing/2014/main" id="{9187E80B-4CC6-486F-8DFF-8DD969BE2E77}"/>
            </a:ext>
          </a:extLst>
        </xdr:cNvPr>
        <xdr:cNvSpPr/>
      </xdr:nvSpPr>
      <xdr:spPr>
        <a:xfrm rot="10800000">
          <a:off x="101346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108</xdr:row>
      <xdr:rowOff>0</xdr:rowOff>
    </xdr:from>
    <xdr:to>
      <xdr:col>39</xdr:col>
      <xdr:colOff>83820</xdr:colOff>
      <xdr:row>108</xdr:row>
      <xdr:rowOff>114300</xdr:rowOff>
    </xdr:to>
    <xdr:sp macro="" textlink="">
      <xdr:nvSpPr>
        <xdr:cNvPr id="747" name="Arrow: Down 746">
          <a:extLst>
            <a:ext uri="{FF2B5EF4-FFF2-40B4-BE49-F238E27FC236}">
              <a16:creationId xmlns:a16="http://schemas.microsoft.com/office/drawing/2014/main" id="{55A91A82-1744-4D70-B351-14C89C5228A4}"/>
            </a:ext>
          </a:extLst>
        </xdr:cNvPr>
        <xdr:cNvSpPr/>
      </xdr:nvSpPr>
      <xdr:spPr>
        <a:xfrm>
          <a:off x="8549640" y="19850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108</xdr:row>
      <xdr:rowOff>0</xdr:rowOff>
    </xdr:from>
    <xdr:to>
      <xdr:col>60</xdr:col>
      <xdr:colOff>83820</xdr:colOff>
      <xdr:row>108</xdr:row>
      <xdr:rowOff>114300</xdr:rowOff>
    </xdr:to>
    <xdr:sp macro="" textlink="">
      <xdr:nvSpPr>
        <xdr:cNvPr id="750" name="Arrow: Down 749">
          <a:extLst>
            <a:ext uri="{FF2B5EF4-FFF2-40B4-BE49-F238E27FC236}">
              <a16:creationId xmlns:a16="http://schemas.microsoft.com/office/drawing/2014/main" id="{413885C1-CD87-4F3A-8344-F13A61837296}"/>
            </a:ext>
          </a:extLst>
        </xdr:cNvPr>
        <xdr:cNvSpPr/>
      </xdr:nvSpPr>
      <xdr:spPr>
        <a:xfrm>
          <a:off x="1475232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108</xdr:row>
      <xdr:rowOff>0</xdr:rowOff>
    </xdr:from>
    <xdr:to>
      <xdr:col>71</xdr:col>
      <xdr:colOff>83820</xdr:colOff>
      <xdr:row>108</xdr:row>
      <xdr:rowOff>114300</xdr:rowOff>
    </xdr:to>
    <xdr:sp macro="" textlink="">
      <xdr:nvSpPr>
        <xdr:cNvPr id="755" name="Arrow: Down 754">
          <a:extLst>
            <a:ext uri="{FF2B5EF4-FFF2-40B4-BE49-F238E27FC236}">
              <a16:creationId xmlns:a16="http://schemas.microsoft.com/office/drawing/2014/main" id="{646D31EB-450C-4985-BF33-3FBF78DA0067}"/>
            </a:ext>
          </a:extLst>
        </xdr:cNvPr>
        <xdr:cNvSpPr/>
      </xdr:nvSpPr>
      <xdr:spPr>
        <a:xfrm>
          <a:off x="170688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109</xdr:row>
      <xdr:rowOff>0</xdr:rowOff>
    </xdr:from>
    <xdr:to>
      <xdr:col>5</xdr:col>
      <xdr:colOff>83820</xdr:colOff>
      <xdr:row>109</xdr:row>
      <xdr:rowOff>114300</xdr:rowOff>
    </xdr:to>
    <xdr:sp macro="" textlink="">
      <xdr:nvSpPr>
        <xdr:cNvPr id="757" name="Arrow: Down 756">
          <a:extLst>
            <a:ext uri="{FF2B5EF4-FFF2-40B4-BE49-F238E27FC236}">
              <a16:creationId xmlns:a16="http://schemas.microsoft.com/office/drawing/2014/main" id="{E0DE74F5-D035-4762-820F-E9D827E2A977}"/>
            </a:ext>
          </a:extLst>
        </xdr:cNvPr>
        <xdr:cNvSpPr/>
      </xdr:nvSpPr>
      <xdr:spPr>
        <a:xfrm>
          <a:off x="192786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109</xdr:row>
      <xdr:rowOff>0</xdr:rowOff>
    </xdr:from>
    <xdr:to>
      <xdr:col>11</xdr:col>
      <xdr:colOff>83820</xdr:colOff>
      <xdr:row>109</xdr:row>
      <xdr:rowOff>114300</xdr:rowOff>
    </xdr:to>
    <xdr:sp macro="" textlink="">
      <xdr:nvSpPr>
        <xdr:cNvPr id="758" name="Arrow: Down 757">
          <a:extLst>
            <a:ext uri="{FF2B5EF4-FFF2-40B4-BE49-F238E27FC236}">
              <a16:creationId xmlns:a16="http://schemas.microsoft.com/office/drawing/2014/main" id="{B32E33AE-E523-49E4-AFB5-6CB36D3A613E}"/>
            </a:ext>
          </a:extLst>
        </xdr:cNvPr>
        <xdr:cNvSpPr/>
      </xdr:nvSpPr>
      <xdr:spPr>
        <a:xfrm>
          <a:off x="361950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109</xdr:row>
      <xdr:rowOff>0</xdr:rowOff>
    </xdr:from>
    <xdr:to>
      <xdr:col>24</xdr:col>
      <xdr:colOff>83820</xdr:colOff>
      <xdr:row>109</xdr:row>
      <xdr:rowOff>114300</xdr:rowOff>
    </xdr:to>
    <xdr:sp macro="" textlink="">
      <xdr:nvSpPr>
        <xdr:cNvPr id="759" name="Arrow: Down 758">
          <a:extLst>
            <a:ext uri="{FF2B5EF4-FFF2-40B4-BE49-F238E27FC236}">
              <a16:creationId xmlns:a16="http://schemas.microsoft.com/office/drawing/2014/main" id="{61C57F89-773E-469E-8A25-F506E9BB92B9}"/>
            </a:ext>
          </a:extLst>
        </xdr:cNvPr>
        <xdr:cNvSpPr/>
      </xdr:nvSpPr>
      <xdr:spPr>
        <a:xfrm>
          <a:off x="544068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109</xdr:row>
      <xdr:rowOff>0</xdr:rowOff>
    </xdr:from>
    <xdr:to>
      <xdr:col>71</xdr:col>
      <xdr:colOff>83820</xdr:colOff>
      <xdr:row>109</xdr:row>
      <xdr:rowOff>114300</xdr:rowOff>
    </xdr:to>
    <xdr:sp macro="" textlink="">
      <xdr:nvSpPr>
        <xdr:cNvPr id="763" name="Arrow: Down 762">
          <a:extLst>
            <a:ext uri="{FF2B5EF4-FFF2-40B4-BE49-F238E27FC236}">
              <a16:creationId xmlns:a16="http://schemas.microsoft.com/office/drawing/2014/main" id="{6142D0DE-8D5C-4CC9-A3B3-04119C9E99C5}"/>
            </a:ext>
          </a:extLst>
        </xdr:cNvPr>
        <xdr:cNvSpPr/>
      </xdr:nvSpPr>
      <xdr:spPr>
        <a:xfrm>
          <a:off x="170688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109</xdr:row>
      <xdr:rowOff>0</xdr:rowOff>
    </xdr:from>
    <xdr:to>
      <xdr:col>60</xdr:col>
      <xdr:colOff>160020</xdr:colOff>
      <xdr:row>109</xdr:row>
      <xdr:rowOff>99060</xdr:rowOff>
    </xdr:to>
    <xdr:sp macro="" textlink="">
      <xdr:nvSpPr>
        <xdr:cNvPr id="770" name="Minus Sign 769">
          <a:extLst>
            <a:ext uri="{FF2B5EF4-FFF2-40B4-BE49-F238E27FC236}">
              <a16:creationId xmlns:a16="http://schemas.microsoft.com/office/drawing/2014/main" id="{70EB6C36-971A-41FC-B812-8AA187F73046}"/>
            </a:ext>
          </a:extLst>
        </xdr:cNvPr>
        <xdr:cNvSpPr/>
      </xdr:nvSpPr>
      <xdr:spPr>
        <a:xfrm>
          <a:off x="17724120" y="200329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39</xdr:col>
      <xdr:colOff>0</xdr:colOff>
      <xdr:row>109</xdr:row>
      <xdr:rowOff>0</xdr:rowOff>
    </xdr:from>
    <xdr:to>
      <xdr:col>39</xdr:col>
      <xdr:colOff>83820</xdr:colOff>
      <xdr:row>109</xdr:row>
      <xdr:rowOff>114300</xdr:rowOff>
    </xdr:to>
    <xdr:sp macro="" textlink="">
      <xdr:nvSpPr>
        <xdr:cNvPr id="771" name="Arrow: Down 770">
          <a:extLst>
            <a:ext uri="{FF2B5EF4-FFF2-40B4-BE49-F238E27FC236}">
              <a16:creationId xmlns:a16="http://schemas.microsoft.com/office/drawing/2014/main" id="{0EF9F8BC-6D6A-4118-BDA1-CB681024D265}"/>
            </a:ext>
          </a:extLst>
        </xdr:cNvPr>
        <xdr:cNvSpPr/>
      </xdr:nvSpPr>
      <xdr:spPr>
        <a:xfrm>
          <a:off x="11521440" y="20032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109</xdr:row>
      <xdr:rowOff>0</xdr:rowOff>
    </xdr:from>
    <xdr:to>
      <xdr:col>45</xdr:col>
      <xdr:colOff>83820</xdr:colOff>
      <xdr:row>109</xdr:row>
      <xdr:rowOff>114300</xdr:rowOff>
    </xdr:to>
    <xdr:sp macro="" textlink="">
      <xdr:nvSpPr>
        <xdr:cNvPr id="775" name="Arrow: Down 774">
          <a:extLst>
            <a:ext uri="{FF2B5EF4-FFF2-40B4-BE49-F238E27FC236}">
              <a16:creationId xmlns:a16="http://schemas.microsoft.com/office/drawing/2014/main" id="{9A5BDF1A-0985-4E67-AE3E-5AD941ABB478}"/>
            </a:ext>
          </a:extLst>
        </xdr:cNvPr>
        <xdr:cNvSpPr/>
      </xdr:nvSpPr>
      <xdr:spPr>
        <a:xfrm>
          <a:off x="13106400" y="20032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110</xdr:row>
      <xdr:rowOff>0</xdr:rowOff>
    </xdr:from>
    <xdr:to>
      <xdr:col>24</xdr:col>
      <xdr:colOff>83820</xdr:colOff>
      <xdr:row>110</xdr:row>
      <xdr:rowOff>114300</xdr:rowOff>
    </xdr:to>
    <xdr:sp macro="" textlink="">
      <xdr:nvSpPr>
        <xdr:cNvPr id="735" name="Arrow: Down 734">
          <a:extLst>
            <a:ext uri="{FF2B5EF4-FFF2-40B4-BE49-F238E27FC236}">
              <a16:creationId xmlns:a16="http://schemas.microsoft.com/office/drawing/2014/main" id="{D408C349-D81F-482D-8DBA-695D5F847D0E}"/>
            </a:ext>
          </a:extLst>
        </xdr:cNvPr>
        <xdr:cNvSpPr/>
      </xdr:nvSpPr>
      <xdr:spPr>
        <a:xfrm rot="10800000">
          <a:off x="544068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110</xdr:row>
      <xdr:rowOff>0</xdr:rowOff>
    </xdr:from>
    <xdr:to>
      <xdr:col>5</xdr:col>
      <xdr:colOff>83820</xdr:colOff>
      <xdr:row>110</xdr:row>
      <xdr:rowOff>114300</xdr:rowOff>
    </xdr:to>
    <xdr:sp macro="" textlink="">
      <xdr:nvSpPr>
        <xdr:cNvPr id="738" name="Arrow: Down 737">
          <a:extLst>
            <a:ext uri="{FF2B5EF4-FFF2-40B4-BE49-F238E27FC236}">
              <a16:creationId xmlns:a16="http://schemas.microsoft.com/office/drawing/2014/main" id="{A8F2E3E5-32D1-4D14-89C3-577A124A1FEA}"/>
            </a:ext>
          </a:extLst>
        </xdr:cNvPr>
        <xdr:cNvSpPr/>
      </xdr:nvSpPr>
      <xdr:spPr>
        <a:xfrm rot="10800000">
          <a:off x="192786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110</xdr:row>
      <xdr:rowOff>0</xdr:rowOff>
    </xdr:from>
    <xdr:to>
      <xdr:col>39</xdr:col>
      <xdr:colOff>83820</xdr:colOff>
      <xdr:row>110</xdr:row>
      <xdr:rowOff>114300</xdr:rowOff>
    </xdr:to>
    <xdr:sp macro="" textlink="">
      <xdr:nvSpPr>
        <xdr:cNvPr id="739" name="Arrow: Down 738">
          <a:extLst>
            <a:ext uri="{FF2B5EF4-FFF2-40B4-BE49-F238E27FC236}">
              <a16:creationId xmlns:a16="http://schemas.microsoft.com/office/drawing/2014/main" id="{9BE97AC5-0527-4B63-8D52-D9D25C1C31E7}"/>
            </a:ext>
          </a:extLst>
        </xdr:cNvPr>
        <xdr:cNvSpPr/>
      </xdr:nvSpPr>
      <xdr:spPr>
        <a:xfrm rot="10800000">
          <a:off x="854964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110</xdr:row>
      <xdr:rowOff>0</xdr:rowOff>
    </xdr:from>
    <xdr:to>
      <xdr:col>45</xdr:col>
      <xdr:colOff>83820</xdr:colOff>
      <xdr:row>110</xdr:row>
      <xdr:rowOff>114300</xdr:rowOff>
    </xdr:to>
    <xdr:sp macro="" textlink="">
      <xdr:nvSpPr>
        <xdr:cNvPr id="749" name="Arrow: Down 748">
          <a:extLst>
            <a:ext uri="{FF2B5EF4-FFF2-40B4-BE49-F238E27FC236}">
              <a16:creationId xmlns:a16="http://schemas.microsoft.com/office/drawing/2014/main" id="{2A638162-0BF2-4CEC-BA8E-287F4FE1E4A5}"/>
            </a:ext>
          </a:extLst>
        </xdr:cNvPr>
        <xdr:cNvSpPr/>
      </xdr:nvSpPr>
      <xdr:spPr>
        <a:xfrm rot="10800000">
          <a:off x="1013460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110</xdr:row>
      <xdr:rowOff>0</xdr:rowOff>
    </xdr:from>
    <xdr:to>
      <xdr:col>11</xdr:col>
      <xdr:colOff>83820</xdr:colOff>
      <xdr:row>110</xdr:row>
      <xdr:rowOff>114300</xdr:rowOff>
    </xdr:to>
    <xdr:sp macro="" textlink="">
      <xdr:nvSpPr>
        <xdr:cNvPr id="753" name="Arrow: Down 752">
          <a:extLst>
            <a:ext uri="{FF2B5EF4-FFF2-40B4-BE49-F238E27FC236}">
              <a16:creationId xmlns:a16="http://schemas.microsoft.com/office/drawing/2014/main" id="{499B4929-1A03-442F-8D16-1B2BDECC545A}"/>
            </a:ext>
          </a:extLst>
        </xdr:cNvPr>
        <xdr:cNvSpPr/>
      </xdr:nvSpPr>
      <xdr:spPr>
        <a:xfrm rot="10800000">
          <a:off x="36195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110</xdr:row>
      <xdr:rowOff>0</xdr:rowOff>
    </xdr:from>
    <xdr:to>
      <xdr:col>60</xdr:col>
      <xdr:colOff>83820</xdr:colOff>
      <xdr:row>110</xdr:row>
      <xdr:rowOff>114300</xdr:rowOff>
    </xdr:to>
    <xdr:sp macro="" textlink="">
      <xdr:nvSpPr>
        <xdr:cNvPr id="687" name="Arrow: Down 686">
          <a:extLst>
            <a:ext uri="{FF2B5EF4-FFF2-40B4-BE49-F238E27FC236}">
              <a16:creationId xmlns:a16="http://schemas.microsoft.com/office/drawing/2014/main" id="{BA38C92B-D6F2-45D4-99F7-5DA764983D75}"/>
            </a:ext>
          </a:extLst>
        </xdr:cNvPr>
        <xdr:cNvSpPr/>
      </xdr:nvSpPr>
      <xdr:spPr>
        <a:xfrm rot="10800000">
          <a:off x="1475232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110</xdr:row>
      <xdr:rowOff>0</xdr:rowOff>
    </xdr:from>
    <xdr:to>
      <xdr:col>71</xdr:col>
      <xdr:colOff>83820</xdr:colOff>
      <xdr:row>110</xdr:row>
      <xdr:rowOff>114300</xdr:rowOff>
    </xdr:to>
    <xdr:sp macro="" textlink="">
      <xdr:nvSpPr>
        <xdr:cNvPr id="692" name="Arrow: Down 691">
          <a:extLst>
            <a:ext uri="{FF2B5EF4-FFF2-40B4-BE49-F238E27FC236}">
              <a16:creationId xmlns:a16="http://schemas.microsoft.com/office/drawing/2014/main" id="{9BBD72C4-9006-4374-9F00-7722AFD21F53}"/>
            </a:ext>
          </a:extLst>
        </xdr:cNvPr>
        <xdr:cNvSpPr/>
      </xdr:nvSpPr>
      <xdr:spPr>
        <a:xfrm rot="10800000">
          <a:off x="170688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111</xdr:row>
      <xdr:rowOff>0</xdr:rowOff>
    </xdr:from>
    <xdr:to>
      <xdr:col>24</xdr:col>
      <xdr:colOff>83820</xdr:colOff>
      <xdr:row>111</xdr:row>
      <xdr:rowOff>114300</xdr:rowOff>
    </xdr:to>
    <xdr:sp macro="" textlink="">
      <xdr:nvSpPr>
        <xdr:cNvPr id="693" name="Arrow: Down 692">
          <a:extLst>
            <a:ext uri="{FF2B5EF4-FFF2-40B4-BE49-F238E27FC236}">
              <a16:creationId xmlns:a16="http://schemas.microsoft.com/office/drawing/2014/main" id="{32E00BAC-72BB-4822-B8EE-1A22F24B5D0F}"/>
            </a:ext>
          </a:extLst>
        </xdr:cNvPr>
        <xdr:cNvSpPr/>
      </xdr:nvSpPr>
      <xdr:spPr>
        <a:xfrm rot="10800000">
          <a:off x="544068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111</xdr:row>
      <xdr:rowOff>0</xdr:rowOff>
    </xdr:from>
    <xdr:to>
      <xdr:col>5</xdr:col>
      <xdr:colOff>83820</xdr:colOff>
      <xdr:row>111</xdr:row>
      <xdr:rowOff>114300</xdr:rowOff>
    </xdr:to>
    <xdr:sp macro="" textlink="">
      <xdr:nvSpPr>
        <xdr:cNvPr id="700" name="Arrow: Down 699">
          <a:extLst>
            <a:ext uri="{FF2B5EF4-FFF2-40B4-BE49-F238E27FC236}">
              <a16:creationId xmlns:a16="http://schemas.microsoft.com/office/drawing/2014/main" id="{2F23EF97-87D4-4AAF-A1C3-AF30CD74C6AA}"/>
            </a:ext>
          </a:extLst>
        </xdr:cNvPr>
        <xdr:cNvSpPr/>
      </xdr:nvSpPr>
      <xdr:spPr>
        <a:xfrm rot="10800000">
          <a:off x="192786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111</xdr:row>
      <xdr:rowOff>0</xdr:rowOff>
    </xdr:from>
    <xdr:to>
      <xdr:col>39</xdr:col>
      <xdr:colOff>83820</xdr:colOff>
      <xdr:row>111</xdr:row>
      <xdr:rowOff>114300</xdr:rowOff>
    </xdr:to>
    <xdr:sp macro="" textlink="">
      <xdr:nvSpPr>
        <xdr:cNvPr id="720" name="Arrow: Down 719">
          <a:extLst>
            <a:ext uri="{FF2B5EF4-FFF2-40B4-BE49-F238E27FC236}">
              <a16:creationId xmlns:a16="http://schemas.microsoft.com/office/drawing/2014/main" id="{7205720B-19A7-4E7D-A9F6-570F11439F61}"/>
            </a:ext>
          </a:extLst>
        </xdr:cNvPr>
        <xdr:cNvSpPr/>
      </xdr:nvSpPr>
      <xdr:spPr>
        <a:xfrm rot="10800000">
          <a:off x="854964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111</xdr:row>
      <xdr:rowOff>0</xdr:rowOff>
    </xdr:from>
    <xdr:to>
      <xdr:col>45</xdr:col>
      <xdr:colOff>83820</xdr:colOff>
      <xdr:row>111</xdr:row>
      <xdr:rowOff>114300</xdr:rowOff>
    </xdr:to>
    <xdr:sp macro="" textlink="">
      <xdr:nvSpPr>
        <xdr:cNvPr id="726" name="Arrow: Down 725">
          <a:extLst>
            <a:ext uri="{FF2B5EF4-FFF2-40B4-BE49-F238E27FC236}">
              <a16:creationId xmlns:a16="http://schemas.microsoft.com/office/drawing/2014/main" id="{72E9C2B8-7940-469A-8329-AA311F50E6D6}"/>
            </a:ext>
          </a:extLst>
        </xdr:cNvPr>
        <xdr:cNvSpPr/>
      </xdr:nvSpPr>
      <xdr:spPr>
        <a:xfrm rot="10800000">
          <a:off x="1013460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111</xdr:row>
      <xdr:rowOff>0</xdr:rowOff>
    </xdr:from>
    <xdr:to>
      <xdr:col>11</xdr:col>
      <xdr:colOff>83820</xdr:colOff>
      <xdr:row>111</xdr:row>
      <xdr:rowOff>114300</xdr:rowOff>
    </xdr:to>
    <xdr:sp macro="" textlink="">
      <xdr:nvSpPr>
        <xdr:cNvPr id="727" name="Arrow: Down 726">
          <a:extLst>
            <a:ext uri="{FF2B5EF4-FFF2-40B4-BE49-F238E27FC236}">
              <a16:creationId xmlns:a16="http://schemas.microsoft.com/office/drawing/2014/main" id="{A165C0A3-96BD-4A61-BE82-1BC02716DE04}"/>
            </a:ext>
          </a:extLst>
        </xdr:cNvPr>
        <xdr:cNvSpPr/>
      </xdr:nvSpPr>
      <xdr:spPr>
        <a:xfrm rot="10800000">
          <a:off x="36195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111</xdr:row>
      <xdr:rowOff>0</xdr:rowOff>
    </xdr:from>
    <xdr:to>
      <xdr:col>60</xdr:col>
      <xdr:colOff>83820</xdr:colOff>
      <xdr:row>111</xdr:row>
      <xdr:rowOff>114300</xdr:rowOff>
    </xdr:to>
    <xdr:sp macro="" textlink="">
      <xdr:nvSpPr>
        <xdr:cNvPr id="743" name="Arrow: Down 742">
          <a:extLst>
            <a:ext uri="{FF2B5EF4-FFF2-40B4-BE49-F238E27FC236}">
              <a16:creationId xmlns:a16="http://schemas.microsoft.com/office/drawing/2014/main" id="{504C92D6-C0A1-4D22-8356-82BDA1430204}"/>
            </a:ext>
          </a:extLst>
        </xdr:cNvPr>
        <xdr:cNvSpPr/>
      </xdr:nvSpPr>
      <xdr:spPr>
        <a:xfrm>
          <a:off x="1475232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111</xdr:row>
      <xdr:rowOff>0</xdr:rowOff>
    </xdr:from>
    <xdr:to>
      <xdr:col>71</xdr:col>
      <xdr:colOff>83820</xdr:colOff>
      <xdr:row>111</xdr:row>
      <xdr:rowOff>114300</xdr:rowOff>
    </xdr:to>
    <xdr:sp macro="" textlink="">
      <xdr:nvSpPr>
        <xdr:cNvPr id="761" name="Arrow: Down 760">
          <a:extLst>
            <a:ext uri="{FF2B5EF4-FFF2-40B4-BE49-F238E27FC236}">
              <a16:creationId xmlns:a16="http://schemas.microsoft.com/office/drawing/2014/main" id="{65B1DCC6-1D6D-4085-82F4-F609503A082E}"/>
            </a:ext>
          </a:extLst>
        </xdr:cNvPr>
        <xdr:cNvSpPr/>
      </xdr:nvSpPr>
      <xdr:spPr>
        <a:xfrm>
          <a:off x="1706880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112</xdr:row>
      <xdr:rowOff>0</xdr:rowOff>
    </xdr:from>
    <xdr:to>
      <xdr:col>5</xdr:col>
      <xdr:colOff>83820</xdr:colOff>
      <xdr:row>112</xdr:row>
      <xdr:rowOff>114300</xdr:rowOff>
    </xdr:to>
    <xdr:sp macro="" textlink="">
      <xdr:nvSpPr>
        <xdr:cNvPr id="764" name="Arrow: Down 763">
          <a:extLst>
            <a:ext uri="{FF2B5EF4-FFF2-40B4-BE49-F238E27FC236}">
              <a16:creationId xmlns:a16="http://schemas.microsoft.com/office/drawing/2014/main" id="{BFAF3E4C-E1B2-484B-8237-853F2082F034}"/>
            </a:ext>
          </a:extLst>
        </xdr:cNvPr>
        <xdr:cNvSpPr/>
      </xdr:nvSpPr>
      <xdr:spPr>
        <a:xfrm rot="10800000">
          <a:off x="1927860" y="20398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112</xdr:row>
      <xdr:rowOff>0</xdr:rowOff>
    </xdr:from>
    <xdr:to>
      <xdr:col>45</xdr:col>
      <xdr:colOff>83820</xdr:colOff>
      <xdr:row>112</xdr:row>
      <xdr:rowOff>114300</xdr:rowOff>
    </xdr:to>
    <xdr:sp macro="" textlink="">
      <xdr:nvSpPr>
        <xdr:cNvPr id="766" name="Arrow: Down 765">
          <a:extLst>
            <a:ext uri="{FF2B5EF4-FFF2-40B4-BE49-F238E27FC236}">
              <a16:creationId xmlns:a16="http://schemas.microsoft.com/office/drawing/2014/main" id="{D82C32EC-ED33-4B15-83C1-9EC5E3B2ECD6}"/>
            </a:ext>
          </a:extLst>
        </xdr:cNvPr>
        <xdr:cNvSpPr/>
      </xdr:nvSpPr>
      <xdr:spPr>
        <a:xfrm rot="10800000">
          <a:off x="1013460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112</xdr:row>
      <xdr:rowOff>0</xdr:rowOff>
    </xdr:from>
    <xdr:to>
      <xdr:col>11</xdr:col>
      <xdr:colOff>83820</xdr:colOff>
      <xdr:row>112</xdr:row>
      <xdr:rowOff>114300</xdr:rowOff>
    </xdr:to>
    <xdr:sp macro="" textlink="">
      <xdr:nvSpPr>
        <xdr:cNvPr id="767" name="Arrow: Down 766">
          <a:extLst>
            <a:ext uri="{FF2B5EF4-FFF2-40B4-BE49-F238E27FC236}">
              <a16:creationId xmlns:a16="http://schemas.microsoft.com/office/drawing/2014/main" id="{FC4463F0-39DB-4A94-AD5A-C375E27DA7A6}"/>
            </a:ext>
          </a:extLst>
        </xdr:cNvPr>
        <xdr:cNvSpPr/>
      </xdr:nvSpPr>
      <xdr:spPr>
        <a:xfrm rot="10800000">
          <a:off x="3619500" y="20398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113</xdr:row>
      <xdr:rowOff>0</xdr:rowOff>
    </xdr:from>
    <xdr:to>
      <xdr:col>5</xdr:col>
      <xdr:colOff>83820</xdr:colOff>
      <xdr:row>113</xdr:row>
      <xdr:rowOff>114300</xdr:rowOff>
    </xdr:to>
    <xdr:sp macro="" textlink="">
      <xdr:nvSpPr>
        <xdr:cNvPr id="773" name="Arrow: Down 772">
          <a:extLst>
            <a:ext uri="{FF2B5EF4-FFF2-40B4-BE49-F238E27FC236}">
              <a16:creationId xmlns:a16="http://schemas.microsoft.com/office/drawing/2014/main" id="{95BCFE93-843B-4B04-B735-214D63DC7C99}"/>
            </a:ext>
          </a:extLst>
        </xdr:cNvPr>
        <xdr:cNvSpPr/>
      </xdr:nvSpPr>
      <xdr:spPr>
        <a:xfrm rot="10800000">
          <a:off x="192786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113</xdr:row>
      <xdr:rowOff>0</xdr:rowOff>
    </xdr:from>
    <xdr:to>
      <xdr:col>45</xdr:col>
      <xdr:colOff>83820</xdr:colOff>
      <xdr:row>113</xdr:row>
      <xdr:rowOff>114300</xdr:rowOff>
    </xdr:to>
    <xdr:sp macro="" textlink="">
      <xdr:nvSpPr>
        <xdr:cNvPr id="776" name="Arrow: Down 775">
          <a:extLst>
            <a:ext uri="{FF2B5EF4-FFF2-40B4-BE49-F238E27FC236}">
              <a16:creationId xmlns:a16="http://schemas.microsoft.com/office/drawing/2014/main" id="{54D49D89-BF04-4B76-9E82-3797F6F6A0E5}"/>
            </a:ext>
          </a:extLst>
        </xdr:cNvPr>
        <xdr:cNvSpPr/>
      </xdr:nvSpPr>
      <xdr:spPr>
        <a:xfrm rot="10800000">
          <a:off x="10134600" y="20581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113</xdr:row>
      <xdr:rowOff>0</xdr:rowOff>
    </xdr:from>
    <xdr:to>
      <xdr:col>11</xdr:col>
      <xdr:colOff>83820</xdr:colOff>
      <xdr:row>113</xdr:row>
      <xdr:rowOff>114300</xdr:rowOff>
    </xdr:to>
    <xdr:sp macro="" textlink="">
      <xdr:nvSpPr>
        <xdr:cNvPr id="777" name="Arrow: Down 776">
          <a:extLst>
            <a:ext uri="{FF2B5EF4-FFF2-40B4-BE49-F238E27FC236}">
              <a16:creationId xmlns:a16="http://schemas.microsoft.com/office/drawing/2014/main" id="{83AFB0A1-74F1-4667-BADE-7E12784C654C}"/>
            </a:ext>
          </a:extLst>
        </xdr:cNvPr>
        <xdr:cNvSpPr/>
      </xdr:nvSpPr>
      <xdr:spPr>
        <a:xfrm rot="10800000">
          <a:off x="361950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112</xdr:row>
      <xdr:rowOff>0</xdr:rowOff>
    </xdr:from>
    <xdr:to>
      <xdr:col>24</xdr:col>
      <xdr:colOff>83820</xdr:colOff>
      <xdr:row>112</xdr:row>
      <xdr:rowOff>114300</xdr:rowOff>
    </xdr:to>
    <xdr:sp macro="" textlink="">
      <xdr:nvSpPr>
        <xdr:cNvPr id="780" name="Arrow: Down 779">
          <a:extLst>
            <a:ext uri="{FF2B5EF4-FFF2-40B4-BE49-F238E27FC236}">
              <a16:creationId xmlns:a16="http://schemas.microsoft.com/office/drawing/2014/main" id="{ABC2F574-42B4-4EA8-90DF-D36AF2970FAD}"/>
            </a:ext>
          </a:extLst>
        </xdr:cNvPr>
        <xdr:cNvSpPr/>
      </xdr:nvSpPr>
      <xdr:spPr>
        <a:xfrm>
          <a:off x="5440680" y="20581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112</xdr:row>
      <xdr:rowOff>0</xdr:rowOff>
    </xdr:from>
    <xdr:to>
      <xdr:col>39</xdr:col>
      <xdr:colOff>83820</xdr:colOff>
      <xdr:row>112</xdr:row>
      <xdr:rowOff>114300</xdr:rowOff>
    </xdr:to>
    <xdr:sp macro="" textlink="">
      <xdr:nvSpPr>
        <xdr:cNvPr id="781" name="Arrow: Down 780">
          <a:extLst>
            <a:ext uri="{FF2B5EF4-FFF2-40B4-BE49-F238E27FC236}">
              <a16:creationId xmlns:a16="http://schemas.microsoft.com/office/drawing/2014/main" id="{FB53A926-3C6F-4C27-A761-D06A12A6DC7A}"/>
            </a:ext>
          </a:extLst>
        </xdr:cNvPr>
        <xdr:cNvSpPr/>
      </xdr:nvSpPr>
      <xdr:spPr>
        <a:xfrm>
          <a:off x="854964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112</xdr:row>
      <xdr:rowOff>0</xdr:rowOff>
    </xdr:from>
    <xdr:to>
      <xdr:col>60</xdr:col>
      <xdr:colOff>83820</xdr:colOff>
      <xdr:row>112</xdr:row>
      <xdr:rowOff>114300</xdr:rowOff>
    </xdr:to>
    <xdr:sp macro="" textlink="">
      <xdr:nvSpPr>
        <xdr:cNvPr id="782" name="Arrow: Down 781">
          <a:extLst>
            <a:ext uri="{FF2B5EF4-FFF2-40B4-BE49-F238E27FC236}">
              <a16:creationId xmlns:a16="http://schemas.microsoft.com/office/drawing/2014/main" id="{592C225C-8872-4B29-9112-461B8CD12DCD}"/>
            </a:ext>
          </a:extLst>
        </xdr:cNvPr>
        <xdr:cNvSpPr/>
      </xdr:nvSpPr>
      <xdr:spPr>
        <a:xfrm rot="10800000">
          <a:off x="1475232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112</xdr:row>
      <xdr:rowOff>0</xdr:rowOff>
    </xdr:from>
    <xdr:to>
      <xdr:col>71</xdr:col>
      <xdr:colOff>83820</xdr:colOff>
      <xdr:row>112</xdr:row>
      <xdr:rowOff>114300</xdr:rowOff>
    </xdr:to>
    <xdr:sp macro="" textlink="">
      <xdr:nvSpPr>
        <xdr:cNvPr id="785" name="Arrow: Down 784">
          <a:extLst>
            <a:ext uri="{FF2B5EF4-FFF2-40B4-BE49-F238E27FC236}">
              <a16:creationId xmlns:a16="http://schemas.microsoft.com/office/drawing/2014/main" id="{D560FD01-565C-4567-A27E-7701FB47A931}"/>
            </a:ext>
          </a:extLst>
        </xdr:cNvPr>
        <xdr:cNvSpPr/>
      </xdr:nvSpPr>
      <xdr:spPr>
        <a:xfrm rot="10800000">
          <a:off x="1706880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114</xdr:row>
      <xdr:rowOff>0</xdr:rowOff>
    </xdr:from>
    <xdr:to>
      <xdr:col>24</xdr:col>
      <xdr:colOff>83820</xdr:colOff>
      <xdr:row>114</xdr:row>
      <xdr:rowOff>114300</xdr:rowOff>
    </xdr:to>
    <xdr:sp macro="" textlink="">
      <xdr:nvSpPr>
        <xdr:cNvPr id="786" name="Arrow: Down 785">
          <a:extLst>
            <a:ext uri="{FF2B5EF4-FFF2-40B4-BE49-F238E27FC236}">
              <a16:creationId xmlns:a16="http://schemas.microsoft.com/office/drawing/2014/main" id="{0CEF9245-4110-4CCA-A8A6-F4E6EE25FE07}"/>
            </a:ext>
          </a:extLst>
        </xdr:cNvPr>
        <xdr:cNvSpPr/>
      </xdr:nvSpPr>
      <xdr:spPr>
        <a:xfrm rot="10800000">
          <a:off x="544068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114</xdr:row>
      <xdr:rowOff>0</xdr:rowOff>
    </xdr:from>
    <xdr:to>
      <xdr:col>39</xdr:col>
      <xdr:colOff>83820</xdr:colOff>
      <xdr:row>114</xdr:row>
      <xdr:rowOff>114300</xdr:rowOff>
    </xdr:to>
    <xdr:sp macro="" textlink="">
      <xdr:nvSpPr>
        <xdr:cNvPr id="788" name="Arrow: Down 787">
          <a:extLst>
            <a:ext uri="{FF2B5EF4-FFF2-40B4-BE49-F238E27FC236}">
              <a16:creationId xmlns:a16="http://schemas.microsoft.com/office/drawing/2014/main" id="{0FF6BB03-DDDF-487A-A4F4-1592774925D6}"/>
            </a:ext>
          </a:extLst>
        </xdr:cNvPr>
        <xdr:cNvSpPr/>
      </xdr:nvSpPr>
      <xdr:spPr>
        <a:xfrm rot="10800000">
          <a:off x="854964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114</xdr:row>
      <xdr:rowOff>0</xdr:rowOff>
    </xdr:from>
    <xdr:to>
      <xdr:col>45</xdr:col>
      <xdr:colOff>83820</xdr:colOff>
      <xdr:row>114</xdr:row>
      <xdr:rowOff>114300</xdr:rowOff>
    </xdr:to>
    <xdr:sp macro="" textlink="">
      <xdr:nvSpPr>
        <xdr:cNvPr id="789" name="Arrow: Down 788">
          <a:extLst>
            <a:ext uri="{FF2B5EF4-FFF2-40B4-BE49-F238E27FC236}">
              <a16:creationId xmlns:a16="http://schemas.microsoft.com/office/drawing/2014/main" id="{D3F8ABE8-F39B-4763-9BD0-57E78D66E48B}"/>
            </a:ext>
          </a:extLst>
        </xdr:cNvPr>
        <xdr:cNvSpPr/>
      </xdr:nvSpPr>
      <xdr:spPr>
        <a:xfrm rot="10800000">
          <a:off x="1013460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114</xdr:row>
      <xdr:rowOff>0</xdr:rowOff>
    </xdr:from>
    <xdr:to>
      <xdr:col>60</xdr:col>
      <xdr:colOff>83820</xdr:colOff>
      <xdr:row>114</xdr:row>
      <xdr:rowOff>114300</xdr:rowOff>
    </xdr:to>
    <xdr:sp macro="" textlink="">
      <xdr:nvSpPr>
        <xdr:cNvPr id="791" name="Arrow: Down 790">
          <a:extLst>
            <a:ext uri="{FF2B5EF4-FFF2-40B4-BE49-F238E27FC236}">
              <a16:creationId xmlns:a16="http://schemas.microsoft.com/office/drawing/2014/main" id="{C05B7871-C5EB-4267-A31F-B3D90079C353}"/>
            </a:ext>
          </a:extLst>
        </xdr:cNvPr>
        <xdr:cNvSpPr/>
      </xdr:nvSpPr>
      <xdr:spPr>
        <a:xfrm>
          <a:off x="1475232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113</xdr:row>
      <xdr:rowOff>0</xdr:rowOff>
    </xdr:from>
    <xdr:to>
      <xdr:col>24</xdr:col>
      <xdr:colOff>83820</xdr:colOff>
      <xdr:row>113</xdr:row>
      <xdr:rowOff>114300</xdr:rowOff>
    </xdr:to>
    <xdr:sp macro="" textlink="">
      <xdr:nvSpPr>
        <xdr:cNvPr id="793" name="Arrow: Down 792">
          <a:extLst>
            <a:ext uri="{FF2B5EF4-FFF2-40B4-BE49-F238E27FC236}">
              <a16:creationId xmlns:a16="http://schemas.microsoft.com/office/drawing/2014/main" id="{7E2EC415-34ED-4854-8E9D-0573F41E516B}"/>
            </a:ext>
          </a:extLst>
        </xdr:cNvPr>
        <xdr:cNvSpPr/>
      </xdr:nvSpPr>
      <xdr:spPr>
        <a:xfrm>
          <a:off x="5440680" y="20764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113</xdr:row>
      <xdr:rowOff>0</xdr:rowOff>
    </xdr:from>
    <xdr:to>
      <xdr:col>39</xdr:col>
      <xdr:colOff>83820</xdr:colOff>
      <xdr:row>113</xdr:row>
      <xdr:rowOff>114300</xdr:rowOff>
    </xdr:to>
    <xdr:sp macro="" textlink="">
      <xdr:nvSpPr>
        <xdr:cNvPr id="794" name="Arrow: Down 793">
          <a:extLst>
            <a:ext uri="{FF2B5EF4-FFF2-40B4-BE49-F238E27FC236}">
              <a16:creationId xmlns:a16="http://schemas.microsoft.com/office/drawing/2014/main" id="{EE58D913-524C-4229-9768-159C19E51546}"/>
            </a:ext>
          </a:extLst>
        </xdr:cNvPr>
        <xdr:cNvSpPr/>
      </xdr:nvSpPr>
      <xdr:spPr>
        <a:xfrm>
          <a:off x="854964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113</xdr:row>
      <xdr:rowOff>0</xdr:rowOff>
    </xdr:from>
    <xdr:to>
      <xdr:col>60</xdr:col>
      <xdr:colOff>83820</xdr:colOff>
      <xdr:row>113</xdr:row>
      <xdr:rowOff>114300</xdr:rowOff>
    </xdr:to>
    <xdr:sp macro="" textlink="">
      <xdr:nvSpPr>
        <xdr:cNvPr id="795" name="Arrow: Down 794">
          <a:extLst>
            <a:ext uri="{FF2B5EF4-FFF2-40B4-BE49-F238E27FC236}">
              <a16:creationId xmlns:a16="http://schemas.microsoft.com/office/drawing/2014/main" id="{18F41EB1-66FF-41D0-ACEB-DE4FAF62FB36}"/>
            </a:ext>
          </a:extLst>
        </xdr:cNvPr>
        <xdr:cNvSpPr/>
      </xdr:nvSpPr>
      <xdr:spPr>
        <a:xfrm rot="10800000">
          <a:off x="1475232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113</xdr:row>
      <xdr:rowOff>0</xdr:rowOff>
    </xdr:from>
    <xdr:to>
      <xdr:col>71</xdr:col>
      <xdr:colOff>83820</xdr:colOff>
      <xdr:row>113</xdr:row>
      <xdr:rowOff>114300</xdr:rowOff>
    </xdr:to>
    <xdr:sp macro="" textlink="">
      <xdr:nvSpPr>
        <xdr:cNvPr id="796" name="Arrow: Down 795">
          <a:extLst>
            <a:ext uri="{FF2B5EF4-FFF2-40B4-BE49-F238E27FC236}">
              <a16:creationId xmlns:a16="http://schemas.microsoft.com/office/drawing/2014/main" id="{FA62FEAB-F6CD-438A-AC00-DE18437BE824}"/>
            </a:ext>
          </a:extLst>
        </xdr:cNvPr>
        <xdr:cNvSpPr/>
      </xdr:nvSpPr>
      <xdr:spPr>
        <a:xfrm rot="10800000">
          <a:off x="1706880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114</xdr:row>
      <xdr:rowOff>0</xdr:rowOff>
    </xdr:from>
    <xdr:to>
      <xdr:col>45</xdr:col>
      <xdr:colOff>83820</xdr:colOff>
      <xdr:row>114</xdr:row>
      <xdr:rowOff>114300</xdr:rowOff>
    </xdr:to>
    <xdr:sp macro="" textlink="">
      <xdr:nvSpPr>
        <xdr:cNvPr id="797" name="Arrow: Down 796">
          <a:extLst>
            <a:ext uri="{FF2B5EF4-FFF2-40B4-BE49-F238E27FC236}">
              <a16:creationId xmlns:a16="http://schemas.microsoft.com/office/drawing/2014/main" id="{A1EA5953-4F1B-454A-9866-9693AA202256}"/>
            </a:ext>
          </a:extLst>
        </xdr:cNvPr>
        <xdr:cNvSpPr/>
      </xdr:nvSpPr>
      <xdr:spPr>
        <a:xfrm rot="10800000">
          <a:off x="1013460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114</xdr:row>
      <xdr:rowOff>0</xdr:rowOff>
    </xdr:from>
    <xdr:to>
      <xdr:col>5</xdr:col>
      <xdr:colOff>83820</xdr:colOff>
      <xdr:row>114</xdr:row>
      <xdr:rowOff>114300</xdr:rowOff>
    </xdr:to>
    <xdr:sp macro="" textlink="">
      <xdr:nvSpPr>
        <xdr:cNvPr id="803" name="Arrow: Down 802">
          <a:extLst>
            <a:ext uri="{FF2B5EF4-FFF2-40B4-BE49-F238E27FC236}">
              <a16:creationId xmlns:a16="http://schemas.microsoft.com/office/drawing/2014/main" id="{62C70FC9-E48D-459E-B8D0-07E5DE3D4D23}"/>
            </a:ext>
          </a:extLst>
        </xdr:cNvPr>
        <xdr:cNvSpPr/>
      </xdr:nvSpPr>
      <xdr:spPr>
        <a:xfrm>
          <a:off x="192786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114</xdr:row>
      <xdr:rowOff>0</xdr:rowOff>
    </xdr:from>
    <xdr:to>
      <xdr:col>11</xdr:col>
      <xdr:colOff>83820</xdr:colOff>
      <xdr:row>114</xdr:row>
      <xdr:rowOff>114300</xdr:rowOff>
    </xdr:to>
    <xdr:sp macro="" textlink="">
      <xdr:nvSpPr>
        <xdr:cNvPr id="804" name="Arrow: Down 803">
          <a:extLst>
            <a:ext uri="{FF2B5EF4-FFF2-40B4-BE49-F238E27FC236}">
              <a16:creationId xmlns:a16="http://schemas.microsoft.com/office/drawing/2014/main" id="{353D55E1-BF4F-4FED-98E9-7FC89D23C8A0}"/>
            </a:ext>
          </a:extLst>
        </xdr:cNvPr>
        <xdr:cNvSpPr/>
      </xdr:nvSpPr>
      <xdr:spPr>
        <a:xfrm>
          <a:off x="361950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114</xdr:row>
      <xdr:rowOff>0</xdr:rowOff>
    </xdr:from>
    <xdr:to>
      <xdr:col>71</xdr:col>
      <xdr:colOff>83820</xdr:colOff>
      <xdr:row>114</xdr:row>
      <xdr:rowOff>114300</xdr:rowOff>
    </xdr:to>
    <xdr:sp macro="" textlink="">
      <xdr:nvSpPr>
        <xdr:cNvPr id="806" name="Arrow: Down 805">
          <a:extLst>
            <a:ext uri="{FF2B5EF4-FFF2-40B4-BE49-F238E27FC236}">
              <a16:creationId xmlns:a16="http://schemas.microsoft.com/office/drawing/2014/main" id="{C8C86455-5859-4092-A1D9-F25970E97950}"/>
            </a:ext>
          </a:extLst>
        </xdr:cNvPr>
        <xdr:cNvSpPr/>
      </xdr:nvSpPr>
      <xdr:spPr>
        <a:xfrm rot="10800000">
          <a:off x="17068800" y="2094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115</xdr:row>
      <xdr:rowOff>0</xdr:rowOff>
    </xdr:from>
    <xdr:to>
      <xdr:col>45</xdr:col>
      <xdr:colOff>83820</xdr:colOff>
      <xdr:row>115</xdr:row>
      <xdr:rowOff>114300</xdr:rowOff>
    </xdr:to>
    <xdr:sp macro="" textlink="">
      <xdr:nvSpPr>
        <xdr:cNvPr id="809" name="Arrow: Down 808">
          <a:extLst>
            <a:ext uri="{FF2B5EF4-FFF2-40B4-BE49-F238E27FC236}">
              <a16:creationId xmlns:a16="http://schemas.microsoft.com/office/drawing/2014/main" id="{D76005C7-8ACA-429B-A134-401ACFEF3257}"/>
            </a:ext>
          </a:extLst>
        </xdr:cNvPr>
        <xdr:cNvSpPr/>
      </xdr:nvSpPr>
      <xdr:spPr>
        <a:xfrm rot="10800000">
          <a:off x="1013460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115</xdr:row>
      <xdr:rowOff>0</xdr:rowOff>
    </xdr:from>
    <xdr:to>
      <xdr:col>60</xdr:col>
      <xdr:colOff>83820</xdr:colOff>
      <xdr:row>115</xdr:row>
      <xdr:rowOff>114300</xdr:rowOff>
    </xdr:to>
    <xdr:sp macro="" textlink="">
      <xdr:nvSpPr>
        <xdr:cNvPr id="810" name="Arrow: Down 809">
          <a:extLst>
            <a:ext uri="{FF2B5EF4-FFF2-40B4-BE49-F238E27FC236}">
              <a16:creationId xmlns:a16="http://schemas.microsoft.com/office/drawing/2014/main" id="{367C926E-CB3E-4845-A38F-BAF4928B4FAA}"/>
            </a:ext>
          </a:extLst>
        </xdr:cNvPr>
        <xdr:cNvSpPr/>
      </xdr:nvSpPr>
      <xdr:spPr>
        <a:xfrm>
          <a:off x="1475232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115</xdr:row>
      <xdr:rowOff>0</xdr:rowOff>
    </xdr:from>
    <xdr:to>
      <xdr:col>45</xdr:col>
      <xdr:colOff>83820</xdr:colOff>
      <xdr:row>115</xdr:row>
      <xdr:rowOff>114300</xdr:rowOff>
    </xdr:to>
    <xdr:sp macro="" textlink="">
      <xdr:nvSpPr>
        <xdr:cNvPr id="811" name="Arrow: Down 810">
          <a:extLst>
            <a:ext uri="{FF2B5EF4-FFF2-40B4-BE49-F238E27FC236}">
              <a16:creationId xmlns:a16="http://schemas.microsoft.com/office/drawing/2014/main" id="{BBC45068-5C02-48C3-9D0F-F04D3DC03D10}"/>
            </a:ext>
          </a:extLst>
        </xdr:cNvPr>
        <xdr:cNvSpPr/>
      </xdr:nvSpPr>
      <xdr:spPr>
        <a:xfrm rot="10800000">
          <a:off x="1013460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115</xdr:row>
      <xdr:rowOff>0</xdr:rowOff>
    </xdr:from>
    <xdr:to>
      <xdr:col>5</xdr:col>
      <xdr:colOff>83820</xdr:colOff>
      <xdr:row>115</xdr:row>
      <xdr:rowOff>114300</xdr:rowOff>
    </xdr:to>
    <xdr:sp macro="" textlink="">
      <xdr:nvSpPr>
        <xdr:cNvPr id="812" name="Arrow: Down 811">
          <a:extLst>
            <a:ext uri="{FF2B5EF4-FFF2-40B4-BE49-F238E27FC236}">
              <a16:creationId xmlns:a16="http://schemas.microsoft.com/office/drawing/2014/main" id="{0D71CC93-D56D-4E9F-AF9C-EA14356A1276}"/>
            </a:ext>
          </a:extLst>
        </xdr:cNvPr>
        <xdr:cNvSpPr/>
      </xdr:nvSpPr>
      <xdr:spPr>
        <a:xfrm>
          <a:off x="192786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115</xdr:row>
      <xdr:rowOff>0</xdr:rowOff>
    </xdr:from>
    <xdr:to>
      <xdr:col>11</xdr:col>
      <xdr:colOff>83820</xdr:colOff>
      <xdr:row>115</xdr:row>
      <xdr:rowOff>114300</xdr:rowOff>
    </xdr:to>
    <xdr:sp macro="" textlink="">
      <xdr:nvSpPr>
        <xdr:cNvPr id="813" name="Arrow: Down 812">
          <a:extLst>
            <a:ext uri="{FF2B5EF4-FFF2-40B4-BE49-F238E27FC236}">
              <a16:creationId xmlns:a16="http://schemas.microsoft.com/office/drawing/2014/main" id="{37F8B3AF-E62B-4175-97C9-34EEAE30F0E3}"/>
            </a:ext>
          </a:extLst>
        </xdr:cNvPr>
        <xdr:cNvSpPr/>
      </xdr:nvSpPr>
      <xdr:spPr>
        <a:xfrm>
          <a:off x="361950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115</xdr:row>
      <xdr:rowOff>0</xdr:rowOff>
    </xdr:from>
    <xdr:to>
      <xdr:col>71</xdr:col>
      <xdr:colOff>83820</xdr:colOff>
      <xdr:row>115</xdr:row>
      <xdr:rowOff>114300</xdr:rowOff>
    </xdr:to>
    <xdr:sp macro="" textlink="">
      <xdr:nvSpPr>
        <xdr:cNvPr id="816" name="Arrow: Down 815">
          <a:extLst>
            <a:ext uri="{FF2B5EF4-FFF2-40B4-BE49-F238E27FC236}">
              <a16:creationId xmlns:a16="http://schemas.microsoft.com/office/drawing/2014/main" id="{90DB0C9F-2559-4C61-A256-8A097C373A8E}"/>
            </a:ext>
          </a:extLst>
        </xdr:cNvPr>
        <xdr:cNvSpPr/>
      </xdr:nvSpPr>
      <xdr:spPr>
        <a:xfrm>
          <a:off x="170688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115</xdr:row>
      <xdr:rowOff>0</xdr:rowOff>
    </xdr:from>
    <xdr:to>
      <xdr:col>24</xdr:col>
      <xdr:colOff>83820</xdr:colOff>
      <xdr:row>115</xdr:row>
      <xdr:rowOff>114300</xdr:rowOff>
    </xdr:to>
    <xdr:sp macro="" textlink="">
      <xdr:nvSpPr>
        <xdr:cNvPr id="817" name="Arrow: Down 816">
          <a:extLst>
            <a:ext uri="{FF2B5EF4-FFF2-40B4-BE49-F238E27FC236}">
              <a16:creationId xmlns:a16="http://schemas.microsoft.com/office/drawing/2014/main" id="{085A59B9-882A-4528-B5E1-BCF1348925A7}"/>
            </a:ext>
          </a:extLst>
        </xdr:cNvPr>
        <xdr:cNvSpPr/>
      </xdr:nvSpPr>
      <xdr:spPr>
        <a:xfrm>
          <a:off x="544068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115</xdr:row>
      <xdr:rowOff>0</xdr:rowOff>
    </xdr:from>
    <xdr:to>
      <xdr:col>39</xdr:col>
      <xdr:colOff>83820</xdr:colOff>
      <xdr:row>115</xdr:row>
      <xdr:rowOff>114300</xdr:rowOff>
    </xdr:to>
    <xdr:sp macro="" textlink="">
      <xdr:nvSpPr>
        <xdr:cNvPr id="819" name="Arrow: Down 818">
          <a:extLst>
            <a:ext uri="{FF2B5EF4-FFF2-40B4-BE49-F238E27FC236}">
              <a16:creationId xmlns:a16="http://schemas.microsoft.com/office/drawing/2014/main" id="{2D7C3DAD-4B24-4BDA-8B2B-8590882DADDE}"/>
            </a:ext>
          </a:extLst>
        </xdr:cNvPr>
        <xdr:cNvSpPr/>
      </xdr:nvSpPr>
      <xdr:spPr>
        <a:xfrm>
          <a:off x="8549640" y="21130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116</xdr:row>
      <xdr:rowOff>0</xdr:rowOff>
    </xdr:from>
    <xdr:to>
      <xdr:col>45</xdr:col>
      <xdr:colOff>83820</xdr:colOff>
      <xdr:row>116</xdr:row>
      <xdr:rowOff>114300</xdr:rowOff>
    </xdr:to>
    <xdr:sp macro="" textlink="">
      <xdr:nvSpPr>
        <xdr:cNvPr id="820" name="Arrow: Down 819">
          <a:extLst>
            <a:ext uri="{FF2B5EF4-FFF2-40B4-BE49-F238E27FC236}">
              <a16:creationId xmlns:a16="http://schemas.microsoft.com/office/drawing/2014/main" id="{B26C6D4B-CCD4-4FBD-B235-FB1495C9074C}"/>
            </a:ext>
          </a:extLst>
        </xdr:cNvPr>
        <xdr:cNvSpPr/>
      </xdr:nvSpPr>
      <xdr:spPr>
        <a:xfrm rot="10800000">
          <a:off x="101346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116</xdr:row>
      <xdr:rowOff>0</xdr:rowOff>
    </xdr:from>
    <xdr:to>
      <xdr:col>60</xdr:col>
      <xdr:colOff>83820</xdr:colOff>
      <xdr:row>116</xdr:row>
      <xdr:rowOff>114300</xdr:rowOff>
    </xdr:to>
    <xdr:sp macro="" textlink="">
      <xdr:nvSpPr>
        <xdr:cNvPr id="821" name="Arrow: Down 820">
          <a:extLst>
            <a:ext uri="{FF2B5EF4-FFF2-40B4-BE49-F238E27FC236}">
              <a16:creationId xmlns:a16="http://schemas.microsoft.com/office/drawing/2014/main" id="{4B97AFCD-D909-4716-A550-91AE07D82AD7}"/>
            </a:ext>
          </a:extLst>
        </xdr:cNvPr>
        <xdr:cNvSpPr/>
      </xdr:nvSpPr>
      <xdr:spPr>
        <a:xfrm>
          <a:off x="1475232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116</xdr:row>
      <xdr:rowOff>0</xdr:rowOff>
    </xdr:from>
    <xdr:to>
      <xdr:col>45</xdr:col>
      <xdr:colOff>83820</xdr:colOff>
      <xdr:row>116</xdr:row>
      <xdr:rowOff>114300</xdr:rowOff>
    </xdr:to>
    <xdr:sp macro="" textlink="">
      <xdr:nvSpPr>
        <xdr:cNvPr id="822" name="Arrow: Down 821">
          <a:extLst>
            <a:ext uri="{FF2B5EF4-FFF2-40B4-BE49-F238E27FC236}">
              <a16:creationId xmlns:a16="http://schemas.microsoft.com/office/drawing/2014/main" id="{0B3BB8D2-A2E0-41BF-B291-41212CD30299}"/>
            </a:ext>
          </a:extLst>
        </xdr:cNvPr>
        <xdr:cNvSpPr/>
      </xdr:nvSpPr>
      <xdr:spPr>
        <a:xfrm rot="10800000">
          <a:off x="101346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116</xdr:row>
      <xdr:rowOff>0</xdr:rowOff>
    </xdr:from>
    <xdr:to>
      <xdr:col>5</xdr:col>
      <xdr:colOff>83820</xdr:colOff>
      <xdr:row>116</xdr:row>
      <xdr:rowOff>114300</xdr:rowOff>
    </xdr:to>
    <xdr:sp macro="" textlink="">
      <xdr:nvSpPr>
        <xdr:cNvPr id="823" name="Arrow: Down 822">
          <a:extLst>
            <a:ext uri="{FF2B5EF4-FFF2-40B4-BE49-F238E27FC236}">
              <a16:creationId xmlns:a16="http://schemas.microsoft.com/office/drawing/2014/main" id="{FDF23AB8-F5DE-403A-8063-2F7022A58B71}"/>
            </a:ext>
          </a:extLst>
        </xdr:cNvPr>
        <xdr:cNvSpPr/>
      </xdr:nvSpPr>
      <xdr:spPr>
        <a:xfrm>
          <a:off x="1927860" y="211302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116</xdr:row>
      <xdr:rowOff>0</xdr:rowOff>
    </xdr:from>
    <xdr:to>
      <xdr:col>11</xdr:col>
      <xdr:colOff>83820</xdr:colOff>
      <xdr:row>116</xdr:row>
      <xdr:rowOff>114300</xdr:rowOff>
    </xdr:to>
    <xdr:sp macro="" textlink="">
      <xdr:nvSpPr>
        <xdr:cNvPr id="824" name="Arrow: Down 823">
          <a:extLst>
            <a:ext uri="{FF2B5EF4-FFF2-40B4-BE49-F238E27FC236}">
              <a16:creationId xmlns:a16="http://schemas.microsoft.com/office/drawing/2014/main" id="{0CA679FB-1FEB-4014-9552-67625EA04082}"/>
            </a:ext>
          </a:extLst>
        </xdr:cNvPr>
        <xdr:cNvSpPr/>
      </xdr:nvSpPr>
      <xdr:spPr>
        <a:xfrm>
          <a:off x="3619500" y="211302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116</xdr:row>
      <xdr:rowOff>0</xdr:rowOff>
    </xdr:from>
    <xdr:to>
      <xdr:col>71</xdr:col>
      <xdr:colOff>83820</xdr:colOff>
      <xdr:row>116</xdr:row>
      <xdr:rowOff>114300</xdr:rowOff>
    </xdr:to>
    <xdr:sp macro="" textlink="">
      <xdr:nvSpPr>
        <xdr:cNvPr id="825" name="Arrow: Down 824">
          <a:extLst>
            <a:ext uri="{FF2B5EF4-FFF2-40B4-BE49-F238E27FC236}">
              <a16:creationId xmlns:a16="http://schemas.microsoft.com/office/drawing/2014/main" id="{C50F7EC6-29A3-4BB5-AA2C-4FE19A59B899}"/>
            </a:ext>
          </a:extLst>
        </xdr:cNvPr>
        <xdr:cNvSpPr/>
      </xdr:nvSpPr>
      <xdr:spPr>
        <a:xfrm>
          <a:off x="170688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116</xdr:row>
      <xdr:rowOff>0</xdr:rowOff>
    </xdr:from>
    <xdr:to>
      <xdr:col>24</xdr:col>
      <xdr:colOff>83820</xdr:colOff>
      <xdr:row>116</xdr:row>
      <xdr:rowOff>114300</xdr:rowOff>
    </xdr:to>
    <xdr:sp macro="" textlink="">
      <xdr:nvSpPr>
        <xdr:cNvPr id="826" name="Arrow: Down 825">
          <a:extLst>
            <a:ext uri="{FF2B5EF4-FFF2-40B4-BE49-F238E27FC236}">
              <a16:creationId xmlns:a16="http://schemas.microsoft.com/office/drawing/2014/main" id="{51802596-8174-4091-A241-0AAD991870D6}"/>
            </a:ext>
          </a:extLst>
        </xdr:cNvPr>
        <xdr:cNvSpPr/>
      </xdr:nvSpPr>
      <xdr:spPr>
        <a:xfrm>
          <a:off x="544068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116</xdr:row>
      <xdr:rowOff>0</xdr:rowOff>
    </xdr:from>
    <xdr:to>
      <xdr:col>39</xdr:col>
      <xdr:colOff>83820</xdr:colOff>
      <xdr:row>116</xdr:row>
      <xdr:rowOff>114300</xdr:rowOff>
    </xdr:to>
    <xdr:sp macro="" textlink="">
      <xdr:nvSpPr>
        <xdr:cNvPr id="829" name="Arrow: Down 828">
          <a:extLst>
            <a:ext uri="{FF2B5EF4-FFF2-40B4-BE49-F238E27FC236}">
              <a16:creationId xmlns:a16="http://schemas.microsoft.com/office/drawing/2014/main" id="{256F2AD5-B003-40D4-87EA-6C1E8A0B4514}"/>
            </a:ext>
          </a:extLst>
        </xdr:cNvPr>
        <xdr:cNvSpPr/>
      </xdr:nvSpPr>
      <xdr:spPr>
        <a:xfrm rot="10800000">
          <a:off x="860298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117</xdr:row>
      <xdr:rowOff>0</xdr:rowOff>
    </xdr:from>
    <xdr:to>
      <xdr:col>45</xdr:col>
      <xdr:colOff>83820</xdr:colOff>
      <xdr:row>117</xdr:row>
      <xdr:rowOff>114300</xdr:rowOff>
    </xdr:to>
    <xdr:sp macro="" textlink="">
      <xdr:nvSpPr>
        <xdr:cNvPr id="830" name="Arrow: Down 829">
          <a:extLst>
            <a:ext uri="{FF2B5EF4-FFF2-40B4-BE49-F238E27FC236}">
              <a16:creationId xmlns:a16="http://schemas.microsoft.com/office/drawing/2014/main" id="{229AA5E5-E77D-4EF2-B22E-F34CE116C6B1}"/>
            </a:ext>
          </a:extLst>
        </xdr:cNvPr>
        <xdr:cNvSpPr/>
      </xdr:nvSpPr>
      <xdr:spPr>
        <a:xfrm rot="10800000">
          <a:off x="1018794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117</xdr:row>
      <xdr:rowOff>0</xdr:rowOff>
    </xdr:from>
    <xdr:to>
      <xdr:col>45</xdr:col>
      <xdr:colOff>83820</xdr:colOff>
      <xdr:row>117</xdr:row>
      <xdr:rowOff>114300</xdr:rowOff>
    </xdr:to>
    <xdr:sp macro="" textlink="">
      <xdr:nvSpPr>
        <xdr:cNvPr id="832" name="Arrow: Down 831">
          <a:extLst>
            <a:ext uri="{FF2B5EF4-FFF2-40B4-BE49-F238E27FC236}">
              <a16:creationId xmlns:a16="http://schemas.microsoft.com/office/drawing/2014/main" id="{81F41B72-CD5A-4C0D-A35D-8247F432B73E}"/>
            </a:ext>
          </a:extLst>
        </xdr:cNvPr>
        <xdr:cNvSpPr/>
      </xdr:nvSpPr>
      <xdr:spPr>
        <a:xfrm rot="10800000">
          <a:off x="1018794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117</xdr:row>
      <xdr:rowOff>0</xdr:rowOff>
    </xdr:from>
    <xdr:to>
      <xdr:col>39</xdr:col>
      <xdr:colOff>83820</xdr:colOff>
      <xdr:row>117</xdr:row>
      <xdr:rowOff>114300</xdr:rowOff>
    </xdr:to>
    <xdr:sp macro="" textlink="">
      <xdr:nvSpPr>
        <xdr:cNvPr id="837" name="Arrow: Down 836">
          <a:extLst>
            <a:ext uri="{FF2B5EF4-FFF2-40B4-BE49-F238E27FC236}">
              <a16:creationId xmlns:a16="http://schemas.microsoft.com/office/drawing/2014/main" id="{30220420-DF18-4624-AD4A-A76F36E459DE}"/>
            </a:ext>
          </a:extLst>
        </xdr:cNvPr>
        <xdr:cNvSpPr/>
      </xdr:nvSpPr>
      <xdr:spPr>
        <a:xfrm rot="10800000">
          <a:off x="860298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117</xdr:row>
      <xdr:rowOff>0</xdr:rowOff>
    </xdr:from>
    <xdr:to>
      <xdr:col>24</xdr:col>
      <xdr:colOff>83820</xdr:colOff>
      <xdr:row>117</xdr:row>
      <xdr:rowOff>114300</xdr:rowOff>
    </xdr:to>
    <xdr:sp macro="" textlink="">
      <xdr:nvSpPr>
        <xdr:cNvPr id="838" name="Arrow: Down 837">
          <a:extLst>
            <a:ext uri="{FF2B5EF4-FFF2-40B4-BE49-F238E27FC236}">
              <a16:creationId xmlns:a16="http://schemas.microsoft.com/office/drawing/2014/main" id="{275318ED-BD2C-4218-BD20-4779054850E9}"/>
            </a:ext>
          </a:extLst>
        </xdr:cNvPr>
        <xdr:cNvSpPr/>
      </xdr:nvSpPr>
      <xdr:spPr>
        <a:xfrm rot="10800000">
          <a:off x="544068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117</xdr:row>
      <xdr:rowOff>0</xdr:rowOff>
    </xdr:from>
    <xdr:to>
      <xdr:col>5</xdr:col>
      <xdr:colOff>83820</xdr:colOff>
      <xdr:row>117</xdr:row>
      <xdr:rowOff>114300</xdr:rowOff>
    </xdr:to>
    <xdr:sp macro="" textlink="">
      <xdr:nvSpPr>
        <xdr:cNvPr id="840" name="Arrow: Down 839">
          <a:extLst>
            <a:ext uri="{FF2B5EF4-FFF2-40B4-BE49-F238E27FC236}">
              <a16:creationId xmlns:a16="http://schemas.microsoft.com/office/drawing/2014/main" id="{64B90FA8-B124-4C8A-8F0E-F3C62D8764F8}"/>
            </a:ext>
          </a:extLst>
        </xdr:cNvPr>
        <xdr:cNvSpPr/>
      </xdr:nvSpPr>
      <xdr:spPr>
        <a:xfrm rot="10800000">
          <a:off x="1927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117</xdr:row>
      <xdr:rowOff>0</xdr:rowOff>
    </xdr:from>
    <xdr:to>
      <xdr:col>11</xdr:col>
      <xdr:colOff>83820</xdr:colOff>
      <xdr:row>117</xdr:row>
      <xdr:rowOff>114300</xdr:rowOff>
    </xdr:to>
    <xdr:sp macro="" textlink="">
      <xdr:nvSpPr>
        <xdr:cNvPr id="842" name="Arrow: Down 841">
          <a:extLst>
            <a:ext uri="{FF2B5EF4-FFF2-40B4-BE49-F238E27FC236}">
              <a16:creationId xmlns:a16="http://schemas.microsoft.com/office/drawing/2014/main" id="{03BA764C-25CC-4271-8309-E57F8CA6512B}"/>
            </a:ext>
          </a:extLst>
        </xdr:cNvPr>
        <xdr:cNvSpPr/>
      </xdr:nvSpPr>
      <xdr:spPr>
        <a:xfrm rot="10800000">
          <a:off x="361950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117</xdr:row>
      <xdr:rowOff>0</xdr:rowOff>
    </xdr:from>
    <xdr:to>
      <xdr:col>60</xdr:col>
      <xdr:colOff>83820</xdr:colOff>
      <xdr:row>117</xdr:row>
      <xdr:rowOff>114300</xdr:rowOff>
    </xdr:to>
    <xdr:sp macro="" textlink="">
      <xdr:nvSpPr>
        <xdr:cNvPr id="843" name="Arrow: Down 842">
          <a:extLst>
            <a:ext uri="{FF2B5EF4-FFF2-40B4-BE49-F238E27FC236}">
              <a16:creationId xmlns:a16="http://schemas.microsoft.com/office/drawing/2014/main" id="{1B7D1897-A507-499C-A24E-79F942674197}"/>
            </a:ext>
          </a:extLst>
        </xdr:cNvPr>
        <xdr:cNvSpPr/>
      </xdr:nvSpPr>
      <xdr:spPr>
        <a:xfrm rot="10800000">
          <a:off x="14881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117</xdr:row>
      <xdr:rowOff>0</xdr:rowOff>
    </xdr:from>
    <xdr:to>
      <xdr:col>71</xdr:col>
      <xdr:colOff>83820</xdr:colOff>
      <xdr:row>117</xdr:row>
      <xdr:rowOff>114300</xdr:rowOff>
    </xdr:to>
    <xdr:sp macro="" textlink="">
      <xdr:nvSpPr>
        <xdr:cNvPr id="845" name="Arrow: Down 844">
          <a:extLst>
            <a:ext uri="{FF2B5EF4-FFF2-40B4-BE49-F238E27FC236}">
              <a16:creationId xmlns:a16="http://schemas.microsoft.com/office/drawing/2014/main" id="{4A93AA67-0C46-4599-A9A6-E68896D4A9F1}"/>
            </a:ext>
          </a:extLst>
        </xdr:cNvPr>
        <xdr:cNvSpPr/>
      </xdr:nvSpPr>
      <xdr:spPr>
        <a:xfrm rot="10800000">
          <a:off x="1719834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118</xdr:row>
      <xdr:rowOff>0</xdr:rowOff>
    </xdr:from>
    <xdr:to>
      <xdr:col>45</xdr:col>
      <xdr:colOff>83820</xdr:colOff>
      <xdr:row>118</xdr:row>
      <xdr:rowOff>114300</xdr:rowOff>
    </xdr:to>
    <xdr:sp macro="" textlink="">
      <xdr:nvSpPr>
        <xdr:cNvPr id="732" name="Arrow: Down 731">
          <a:extLst>
            <a:ext uri="{FF2B5EF4-FFF2-40B4-BE49-F238E27FC236}">
              <a16:creationId xmlns:a16="http://schemas.microsoft.com/office/drawing/2014/main" id="{9F2C10FA-16A4-4623-85D0-C4501E80BEEA}"/>
            </a:ext>
          </a:extLst>
        </xdr:cNvPr>
        <xdr:cNvSpPr/>
      </xdr:nvSpPr>
      <xdr:spPr>
        <a:xfrm rot="10800000">
          <a:off x="10187940" y="2149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118</xdr:row>
      <xdr:rowOff>0</xdr:rowOff>
    </xdr:from>
    <xdr:to>
      <xdr:col>45</xdr:col>
      <xdr:colOff>83820</xdr:colOff>
      <xdr:row>118</xdr:row>
      <xdr:rowOff>114300</xdr:rowOff>
    </xdr:to>
    <xdr:sp macro="" textlink="">
      <xdr:nvSpPr>
        <xdr:cNvPr id="737" name="Arrow: Down 736">
          <a:extLst>
            <a:ext uri="{FF2B5EF4-FFF2-40B4-BE49-F238E27FC236}">
              <a16:creationId xmlns:a16="http://schemas.microsoft.com/office/drawing/2014/main" id="{5E58E4B6-079F-412D-8AA5-D626372C42DA}"/>
            </a:ext>
          </a:extLst>
        </xdr:cNvPr>
        <xdr:cNvSpPr/>
      </xdr:nvSpPr>
      <xdr:spPr>
        <a:xfrm rot="10800000">
          <a:off x="10187940" y="2149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118</xdr:row>
      <xdr:rowOff>0</xdr:rowOff>
    </xdr:from>
    <xdr:to>
      <xdr:col>24</xdr:col>
      <xdr:colOff>83820</xdr:colOff>
      <xdr:row>118</xdr:row>
      <xdr:rowOff>114300</xdr:rowOff>
    </xdr:to>
    <xdr:sp macro="" textlink="">
      <xdr:nvSpPr>
        <xdr:cNvPr id="762" name="Arrow: Down 761">
          <a:extLst>
            <a:ext uri="{FF2B5EF4-FFF2-40B4-BE49-F238E27FC236}">
              <a16:creationId xmlns:a16="http://schemas.microsoft.com/office/drawing/2014/main" id="{67323262-8DE0-4329-8F42-24A2720A8A60}"/>
            </a:ext>
          </a:extLst>
        </xdr:cNvPr>
        <xdr:cNvSpPr/>
      </xdr:nvSpPr>
      <xdr:spPr>
        <a:xfrm rot="10800000">
          <a:off x="544068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118</xdr:row>
      <xdr:rowOff>0</xdr:rowOff>
    </xdr:from>
    <xdr:to>
      <xdr:col>5</xdr:col>
      <xdr:colOff>83820</xdr:colOff>
      <xdr:row>118</xdr:row>
      <xdr:rowOff>114300</xdr:rowOff>
    </xdr:to>
    <xdr:sp macro="" textlink="">
      <xdr:nvSpPr>
        <xdr:cNvPr id="765" name="Arrow: Down 764">
          <a:extLst>
            <a:ext uri="{FF2B5EF4-FFF2-40B4-BE49-F238E27FC236}">
              <a16:creationId xmlns:a16="http://schemas.microsoft.com/office/drawing/2014/main" id="{CA51B5A0-CF85-44EC-928F-D9C5C6D6434F}"/>
            </a:ext>
          </a:extLst>
        </xdr:cNvPr>
        <xdr:cNvSpPr/>
      </xdr:nvSpPr>
      <xdr:spPr>
        <a:xfrm rot="10800000">
          <a:off x="1927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118</xdr:row>
      <xdr:rowOff>0</xdr:rowOff>
    </xdr:from>
    <xdr:to>
      <xdr:col>11</xdr:col>
      <xdr:colOff>83820</xdr:colOff>
      <xdr:row>118</xdr:row>
      <xdr:rowOff>114300</xdr:rowOff>
    </xdr:to>
    <xdr:sp macro="" textlink="">
      <xdr:nvSpPr>
        <xdr:cNvPr id="768" name="Arrow: Down 767">
          <a:extLst>
            <a:ext uri="{FF2B5EF4-FFF2-40B4-BE49-F238E27FC236}">
              <a16:creationId xmlns:a16="http://schemas.microsoft.com/office/drawing/2014/main" id="{F54FFDEC-E647-47CF-8CD7-88285E92992A}"/>
            </a:ext>
          </a:extLst>
        </xdr:cNvPr>
        <xdr:cNvSpPr/>
      </xdr:nvSpPr>
      <xdr:spPr>
        <a:xfrm rot="10800000">
          <a:off x="361950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118</xdr:row>
      <xdr:rowOff>0</xdr:rowOff>
    </xdr:from>
    <xdr:to>
      <xdr:col>60</xdr:col>
      <xdr:colOff>83820</xdr:colOff>
      <xdr:row>118</xdr:row>
      <xdr:rowOff>114300</xdr:rowOff>
    </xdr:to>
    <xdr:sp macro="" textlink="">
      <xdr:nvSpPr>
        <xdr:cNvPr id="769" name="Arrow: Down 768">
          <a:extLst>
            <a:ext uri="{FF2B5EF4-FFF2-40B4-BE49-F238E27FC236}">
              <a16:creationId xmlns:a16="http://schemas.microsoft.com/office/drawing/2014/main" id="{E7040FC3-3552-49FF-B1DE-CD0FDC497461}"/>
            </a:ext>
          </a:extLst>
        </xdr:cNvPr>
        <xdr:cNvSpPr/>
      </xdr:nvSpPr>
      <xdr:spPr>
        <a:xfrm rot="10800000">
          <a:off x="14881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118</xdr:row>
      <xdr:rowOff>0</xdr:rowOff>
    </xdr:from>
    <xdr:to>
      <xdr:col>71</xdr:col>
      <xdr:colOff>83820</xdr:colOff>
      <xdr:row>118</xdr:row>
      <xdr:rowOff>114300</xdr:rowOff>
    </xdr:to>
    <xdr:sp macro="" textlink="">
      <xdr:nvSpPr>
        <xdr:cNvPr id="772" name="Arrow: Down 771">
          <a:extLst>
            <a:ext uri="{FF2B5EF4-FFF2-40B4-BE49-F238E27FC236}">
              <a16:creationId xmlns:a16="http://schemas.microsoft.com/office/drawing/2014/main" id="{97C82496-5965-4DE9-BCC6-EB35C19321AE}"/>
            </a:ext>
          </a:extLst>
        </xdr:cNvPr>
        <xdr:cNvSpPr/>
      </xdr:nvSpPr>
      <xdr:spPr>
        <a:xfrm rot="10800000">
          <a:off x="1719834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118</xdr:row>
      <xdr:rowOff>0</xdr:rowOff>
    </xdr:from>
    <xdr:to>
      <xdr:col>39</xdr:col>
      <xdr:colOff>83820</xdr:colOff>
      <xdr:row>118</xdr:row>
      <xdr:rowOff>114300</xdr:rowOff>
    </xdr:to>
    <xdr:sp macro="" textlink="">
      <xdr:nvSpPr>
        <xdr:cNvPr id="774" name="Arrow: Down 773">
          <a:extLst>
            <a:ext uri="{FF2B5EF4-FFF2-40B4-BE49-F238E27FC236}">
              <a16:creationId xmlns:a16="http://schemas.microsoft.com/office/drawing/2014/main" id="{1BE3D21C-0B9E-4513-A161-9911E1F36B05}"/>
            </a:ext>
          </a:extLst>
        </xdr:cNvPr>
        <xdr:cNvSpPr/>
      </xdr:nvSpPr>
      <xdr:spPr>
        <a:xfrm>
          <a:off x="860298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119</xdr:row>
      <xdr:rowOff>0</xdr:rowOff>
    </xdr:from>
    <xdr:to>
      <xdr:col>45</xdr:col>
      <xdr:colOff>83820</xdr:colOff>
      <xdr:row>119</xdr:row>
      <xdr:rowOff>114300</xdr:rowOff>
    </xdr:to>
    <xdr:sp macro="" textlink="">
      <xdr:nvSpPr>
        <xdr:cNvPr id="778" name="Arrow: Down 777">
          <a:extLst>
            <a:ext uri="{FF2B5EF4-FFF2-40B4-BE49-F238E27FC236}">
              <a16:creationId xmlns:a16="http://schemas.microsoft.com/office/drawing/2014/main" id="{BE5E21BA-36FC-4D50-89E4-2A6CA5F35626}"/>
            </a:ext>
          </a:extLst>
        </xdr:cNvPr>
        <xdr:cNvSpPr/>
      </xdr:nvSpPr>
      <xdr:spPr>
        <a:xfrm rot="10800000">
          <a:off x="10187940" y="21678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119</xdr:row>
      <xdr:rowOff>0</xdr:rowOff>
    </xdr:from>
    <xdr:to>
      <xdr:col>45</xdr:col>
      <xdr:colOff>83820</xdr:colOff>
      <xdr:row>119</xdr:row>
      <xdr:rowOff>114300</xdr:rowOff>
    </xdr:to>
    <xdr:sp macro="" textlink="">
      <xdr:nvSpPr>
        <xdr:cNvPr id="779" name="Arrow: Down 778">
          <a:extLst>
            <a:ext uri="{FF2B5EF4-FFF2-40B4-BE49-F238E27FC236}">
              <a16:creationId xmlns:a16="http://schemas.microsoft.com/office/drawing/2014/main" id="{E4C203E5-CD0B-425D-830A-86825667D3CB}"/>
            </a:ext>
          </a:extLst>
        </xdr:cNvPr>
        <xdr:cNvSpPr/>
      </xdr:nvSpPr>
      <xdr:spPr>
        <a:xfrm rot="10800000">
          <a:off x="10187940" y="21678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119</xdr:row>
      <xdr:rowOff>0</xdr:rowOff>
    </xdr:from>
    <xdr:to>
      <xdr:col>5</xdr:col>
      <xdr:colOff>83820</xdr:colOff>
      <xdr:row>119</xdr:row>
      <xdr:rowOff>114300</xdr:rowOff>
    </xdr:to>
    <xdr:sp macro="" textlink="">
      <xdr:nvSpPr>
        <xdr:cNvPr id="784" name="Arrow: Down 783">
          <a:extLst>
            <a:ext uri="{FF2B5EF4-FFF2-40B4-BE49-F238E27FC236}">
              <a16:creationId xmlns:a16="http://schemas.microsoft.com/office/drawing/2014/main" id="{AAA0EBA9-39B5-42F8-8FD1-A975644DE591}"/>
            </a:ext>
          </a:extLst>
        </xdr:cNvPr>
        <xdr:cNvSpPr/>
      </xdr:nvSpPr>
      <xdr:spPr>
        <a:xfrm rot="10800000">
          <a:off x="192786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119</xdr:row>
      <xdr:rowOff>0</xdr:rowOff>
    </xdr:from>
    <xdr:to>
      <xdr:col>11</xdr:col>
      <xdr:colOff>83820</xdr:colOff>
      <xdr:row>119</xdr:row>
      <xdr:rowOff>114300</xdr:rowOff>
    </xdr:to>
    <xdr:sp macro="" textlink="">
      <xdr:nvSpPr>
        <xdr:cNvPr id="787" name="Arrow: Down 786">
          <a:extLst>
            <a:ext uri="{FF2B5EF4-FFF2-40B4-BE49-F238E27FC236}">
              <a16:creationId xmlns:a16="http://schemas.microsoft.com/office/drawing/2014/main" id="{47E9343B-01E2-419C-93F8-9D2DD5D98438}"/>
            </a:ext>
          </a:extLst>
        </xdr:cNvPr>
        <xdr:cNvSpPr/>
      </xdr:nvSpPr>
      <xdr:spPr>
        <a:xfrm rot="10800000">
          <a:off x="361950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119</xdr:row>
      <xdr:rowOff>0</xdr:rowOff>
    </xdr:from>
    <xdr:to>
      <xdr:col>71</xdr:col>
      <xdr:colOff>83820</xdr:colOff>
      <xdr:row>119</xdr:row>
      <xdr:rowOff>114300</xdr:rowOff>
    </xdr:to>
    <xdr:sp macro="" textlink="">
      <xdr:nvSpPr>
        <xdr:cNvPr id="792" name="Arrow: Down 791">
          <a:extLst>
            <a:ext uri="{FF2B5EF4-FFF2-40B4-BE49-F238E27FC236}">
              <a16:creationId xmlns:a16="http://schemas.microsoft.com/office/drawing/2014/main" id="{990B4D82-5213-409F-A7CF-3582EFDC3344}"/>
            </a:ext>
          </a:extLst>
        </xdr:cNvPr>
        <xdr:cNvSpPr/>
      </xdr:nvSpPr>
      <xdr:spPr>
        <a:xfrm rot="10800000">
          <a:off x="1719834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119</xdr:row>
      <xdr:rowOff>0</xdr:rowOff>
    </xdr:from>
    <xdr:to>
      <xdr:col>24</xdr:col>
      <xdr:colOff>83820</xdr:colOff>
      <xdr:row>119</xdr:row>
      <xdr:rowOff>114300</xdr:rowOff>
    </xdr:to>
    <xdr:sp macro="" textlink="">
      <xdr:nvSpPr>
        <xdr:cNvPr id="799" name="Arrow: Down 798">
          <a:extLst>
            <a:ext uri="{FF2B5EF4-FFF2-40B4-BE49-F238E27FC236}">
              <a16:creationId xmlns:a16="http://schemas.microsoft.com/office/drawing/2014/main" id="{0D6E49ED-319B-433F-82AE-E127057751B6}"/>
            </a:ext>
          </a:extLst>
        </xdr:cNvPr>
        <xdr:cNvSpPr/>
      </xdr:nvSpPr>
      <xdr:spPr>
        <a:xfrm>
          <a:off x="544068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119</xdr:row>
      <xdr:rowOff>0</xdr:rowOff>
    </xdr:from>
    <xdr:to>
      <xdr:col>39</xdr:col>
      <xdr:colOff>83820</xdr:colOff>
      <xdr:row>119</xdr:row>
      <xdr:rowOff>114300</xdr:rowOff>
    </xdr:to>
    <xdr:sp macro="" textlink="">
      <xdr:nvSpPr>
        <xdr:cNvPr id="801" name="Arrow: Down 800">
          <a:extLst>
            <a:ext uri="{FF2B5EF4-FFF2-40B4-BE49-F238E27FC236}">
              <a16:creationId xmlns:a16="http://schemas.microsoft.com/office/drawing/2014/main" id="{E42450FA-5DE1-4A7F-BBF3-7FE5A5653E37}"/>
            </a:ext>
          </a:extLst>
        </xdr:cNvPr>
        <xdr:cNvSpPr/>
      </xdr:nvSpPr>
      <xdr:spPr>
        <a:xfrm rot="10800000">
          <a:off x="860298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119</xdr:row>
      <xdr:rowOff>0</xdr:rowOff>
    </xdr:from>
    <xdr:to>
      <xdr:col>60</xdr:col>
      <xdr:colOff>83820</xdr:colOff>
      <xdr:row>119</xdr:row>
      <xdr:rowOff>114300</xdr:rowOff>
    </xdr:to>
    <xdr:sp macro="" textlink="">
      <xdr:nvSpPr>
        <xdr:cNvPr id="805" name="Arrow: Down 804">
          <a:extLst>
            <a:ext uri="{FF2B5EF4-FFF2-40B4-BE49-F238E27FC236}">
              <a16:creationId xmlns:a16="http://schemas.microsoft.com/office/drawing/2014/main" id="{FEE476DD-8208-4719-BD65-EECF357A7049}"/>
            </a:ext>
          </a:extLst>
        </xdr:cNvPr>
        <xdr:cNvSpPr/>
      </xdr:nvSpPr>
      <xdr:spPr>
        <a:xfrm>
          <a:off x="1488186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120</xdr:row>
      <xdr:rowOff>0</xdr:rowOff>
    </xdr:from>
    <xdr:to>
      <xdr:col>45</xdr:col>
      <xdr:colOff>83820</xdr:colOff>
      <xdr:row>120</xdr:row>
      <xdr:rowOff>114300</xdr:rowOff>
    </xdr:to>
    <xdr:sp macro="" textlink="">
      <xdr:nvSpPr>
        <xdr:cNvPr id="833" name="Arrow: Down 832">
          <a:extLst>
            <a:ext uri="{FF2B5EF4-FFF2-40B4-BE49-F238E27FC236}">
              <a16:creationId xmlns:a16="http://schemas.microsoft.com/office/drawing/2014/main" id="{CF0D4690-E4D9-4ED9-8D69-D40C1D3B5772}"/>
            </a:ext>
          </a:extLst>
        </xdr:cNvPr>
        <xdr:cNvSpPr/>
      </xdr:nvSpPr>
      <xdr:spPr>
        <a:xfrm rot="10800000">
          <a:off x="1018794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120</xdr:row>
      <xdr:rowOff>0</xdr:rowOff>
    </xdr:from>
    <xdr:to>
      <xdr:col>45</xdr:col>
      <xdr:colOff>83820</xdr:colOff>
      <xdr:row>120</xdr:row>
      <xdr:rowOff>114300</xdr:rowOff>
    </xdr:to>
    <xdr:sp macro="" textlink="">
      <xdr:nvSpPr>
        <xdr:cNvPr id="834" name="Arrow: Down 833">
          <a:extLst>
            <a:ext uri="{FF2B5EF4-FFF2-40B4-BE49-F238E27FC236}">
              <a16:creationId xmlns:a16="http://schemas.microsoft.com/office/drawing/2014/main" id="{0480EE4A-908F-4694-8B21-CB2126295612}"/>
            </a:ext>
          </a:extLst>
        </xdr:cNvPr>
        <xdr:cNvSpPr/>
      </xdr:nvSpPr>
      <xdr:spPr>
        <a:xfrm rot="10800000">
          <a:off x="1018794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120</xdr:row>
      <xdr:rowOff>0</xdr:rowOff>
    </xdr:from>
    <xdr:to>
      <xdr:col>60</xdr:col>
      <xdr:colOff>83820</xdr:colOff>
      <xdr:row>120</xdr:row>
      <xdr:rowOff>114300</xdr:rowOff>
    </xdr:to>
    <xdr:sp macro="" textlink="">
      <xdr:nvSpPr>
        <xdr:cNvPr id="846" name="Arrow: Down 845">
          <a:extLst>
            <a:ext uri="{FF2B5EF4-FFF2-40B4-BE49-F238E27FC236}">
              <a16:creationId xmlns:a16="http://schemas.microsoft.com/office/drawing/2014/main" id="{36335D53-EA0F-4C1A-9D64-070358E45572}"/>
            </a:ext>
          </a:extLst>
        </xdr:cNvPr>
        <xdr:cNvSpPr/>
      </xdr:nvSpPr>
      <xdr:spPr>
        <a:xfrm>
          <a:off x="1488186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120</xdr:row>
      <xdr:rowOff>0</xdr:rowOff>
    </xdr:from>
    <xdr:to>
      <xdr:col>24</xdr:col>
      <xdr:colOff>83820</xdr:colOff>
      <xdr:row>120</xdr:row>
      <xdr:rowOff>114300</xdr:rowOff>
    </xdr:to>
    <xdr:sp macro="" textlink="">
      <xdr:nvSpPr>
        <xdr:cNvPr id="847" name="Arrow: Down 846">
          <a:extLst>
            <a:ext uri="{FF2B5EF4-FFF2-40B4-BE49-F238E27FC236}">
              <a16:creationId xmlns:a16="http://schemas.microsoft.com/office/drawing/2014/main" id="{C416A4F4-3CFB-4049-822A-2A931856DCEE}"/>
            </a:ext>
          </a:extLst>
        </xdr:cNvPr>
        <xdr:cNvSpPr/>
      </xdr:nvSpPr>
      <xdr:spPr>
        <a:xfrm rot="10800000">
          <a:off x="544068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120</xdr:row>
      <xdr:rowOff>0</xdr:rowOff>
    </xdr:from>
    <xdr:to>
      <xdr:col>11</xdr:col>
      <xdr:colOff>83820</xdr:colOff>
      <xdr:row>120</xdr:row>
      <xdr:rowOff>114300</xdr:rowOff>
    </xdr:to>
    <xdr:sp macro="" textlink="">
      <xdr:nvSpPr>
        <xdr:cNvPr id="849" name="Arrow: Down 848">
          <a:extLst>
            <a:ext uri="{FF2B5EF4-FFF2-40B4-BE49-F238E27FC236}">
              <a16:creationId xmlns:a16="http://schemas.microsoft.com/office/drawing/2014/main" id="{1780E591-264D-4482-917F-3CEF3E97DACC}"/>
            </a:ext>
          </a:extLst>
        </xdr:cNvPr>
        <xdr:cNvSpPr/>
      </xdr:nvSpPr>
      <xdr:spPr>
        <a:xfrm>
          <a:off x="361950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</xdr:col>
      <xdr:colOff>0</xdr:colOff>
      <xdr:row>120</xdr:row>
      <xdr:rowOff>0</xdr:rowOff>
    </xdr:from>
    <xdr:to>
      <xdr:col>5</xdr:col>
      <xdr:colOff>83820</xdr:colOff>
      <xdr:row>120</xdr:row>
      <xdr:rowOff>114300</xdr:rowOff>
    </xdr:to>
    <xdr:sp macro="" textlink="">
      <xdr:nvSpPr>
        <xdr:cNvPr id="851" name="Arrow: Down 850">
          <a:extLst>
            <a:ext uri="{FF2B5EF4-FFF2-40B4-BE49-F238E27FC236}">
              <a16:creationId xmlns:a16="http://schemas.microsoft.com/office/drawing/2014/main" id="{9CF8524D-367F-49BA-9BC6-CDF0B8A5424B}"/>
            </a:ext>
          </a:extLst>
        </xdr:cNvPr>
        <xdr:cNvSpPr/>
      </xdr:nvSpPr>
      <xdr:spPr>
        <a:xfrm>
          <a:off x="192786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120</xdr:row>
      <xdr:rowOff>0</xdr:rowOff>
    </xdr:from>
    <xdr:to>
      <xdr:col>39</xdr:col>
      <xdr:colOff>83820</xdr:colOff>
      <xdr:row>120</xdr:row>
      <xdr:rowOff>114300</xdr:rowOff>
    </xdr:to>
    <xdr:sp macro="" textlink="">
      <xdr:nvSpPr>
        <xdr:cNvPr id="852" name="Arrow: Down 851">
          <a:extLst>
            <a:ext uri="{FF2B5EF4-FFF2-40B4-BE49-F238E27FC236}">
              <a16:creationId xmlns:a16="http://schemas.microsoft.com/office/drawing/2014/main" id="{0BA7C74E-BFEA-4333-A070-2042A4E1B5FB}"/>
            </a:ext>
          </a:extLst>
        </xdr:cNvPr>
        <xdr:cNvSpPr/>
      </xdr:nvSpPr>
      <xdr:spPr>
        <a:xfrm>
          <a:off x="860298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120</xdr:row>
      <xdr:rowOff>0</xdr:rowOff>
    </xdr:from>
    <xdr:to>
      <xdr:col>71</xdr:col>
      <xdr:colOff>83820</xdr:colOff>
      <xdr:row>120</xdr:row>
      <xdr:rowOff>114300</xdr:rowOff>
    </xdr:to>
    <xdr:sp macro="" textlink="">
      <xdr:nvSpPr>
        <xdr:cNvPr id="854" name="Arrow: Down 853">
          <a:extLst>
            <a:ext uri="{FF2B5EF4-FFF2-40B4-BE49-F238E27FC236}">
              <a16:creationId xmlns:a16="http://schemas.microsoft.com/office/drawing/2014/main" id="{F134E3CA-FFD6-4970-A314-9D8EFCCEC0F4}"/>
            </a:ext>
          </a:extLst>
        </xdr:cNvPr>
        <xdr:cNvSpPr/>
      </xdr:nvSpPr>
      <xdr:spPr>
        <a:xfrm rot="10800000">
          <a:off x="1719834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121</xdr:row>
      <xdr:rowOff>0</xdr:rowOff>
    </xdr:from>
    <xdr:to>
      <xdr:col>45</xdr:col>
      <xdr:colOff>83820</xdr:colOff>
      <xdr:row>121</xdr:row>
      <xdr:rowOff>114300</xdr:rowOff>
    </xdr:to>
    <xdr:sp macro="" textlink="">
      <xdr:nvSpPr>
        <xdr:cNvPr id="855" name="Arrow: Down 854">
          <a:extLst>
            <a:ext uri="{FF2B5EF4-FFF2-40B4-BE49-F238E27FC236}">
              <a16:creationId xmlns:a16="http://schemas.microsoft.com/office/drawing/2014/main" id="{D75E173B-E60E-4F07-B207-7080F02C7DA3}"/>
            </a:ext>
          </a:extLst>
        </xdr:cNvPr>
        <xdr:cNvSpPr/>
      </xdr:nvSpPr>
      <xdr:spPr>
        <a:xfrm rot="10800000">
          <a:off x="1018794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121</xdr:row>
      <xdr:rowOff>0</xdr:rowOff>
    </xdr:from>
    <xdr:to>
      <xdr:col>45</xdr:col>
      <xdr:colOff>83820</xdr:colOff>
      <xdr:row>121</xdr:row>
      <xdr:rowOff>114300</xdr:rowOff>
    </xdr:to>
    <xdr:sp macro="" textlink="">
      <xdr:nvSpPr>
        <xdr:cNvPr id="856" name="Arrow: Down 855">
          <a:extLst>
            <a:ext uri="{FF2B5EF4-FFF2-40B4-BE49-F238E27FC236}">
              <a16:creationId xmlns:a16="http://schemas.microsoft.com/office/drawing/2014/main" id="{554DC090-7306-433D-BA60-0BCEF04C5D5E}"/>
            </a:ext>
          </a:extLst>
        </xdr:cNvPr>
        <xdr:cNvSpPr/>
      </xdr:nvSpPr>
      <xdr:spPr>
        <a:xfrm rot="10800000">
          <a:off x="1018794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121</xdr:row>
      <xdr:rowOff>0</xdr:rowOff>
    </xdr:from>
    <xdr:to>
      <xdr:col>60</xdr:col>
      <xdr:colOff>83820</xdr:colOff>
      <xdr:row>121</xdr:row>
      <xdr:rowOff>114300</xdr:rowOff>
    </xdr:to>
    <xdr:sp macro="" textlink="">
      <xdr:nvSpPr>
        <xdr:cNvPr id="857" name="Arrow: Down 856">
          <a:extLst>
            <a:ext uri="{FF2B5EF4-FFF2-40B4-BE49-F238E27FC236}">
              <a16:creationId xmlns:a16="http://schemas.microsoft.com/office/drawing/2014/main" id="{003A2E0C-2157-43F9-90E7-AF9FED1E8328}"/>
            </a:ext>
          </a:extLst>
        </xdr:cNvPr>
        <xdr:cNvSpPr/>
      </xdr:nvSpPr>
      <xdr:spPr>
        <a:xfrm>
          <a:off x="1488186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121</xdr:row>
      <xdr:rowOff>0</xdr:rowOff>
    </xdr:from>
    <xdr:to>
      <xdr:col>11</xdr:col>
      <xdr:colOff>83820</xdr:colOff>
      <xdr:row>121</xdr:row>
      <xdr:rowOff>114300</xdr:rowOff>
    </xdr:to>
    <xdr:sp macro="" textlink="">
      <xdr:nvSpPr>
        <xdr:cNvPr id="859" name="Arrow: Down 858">
          <a:extLst>
            <a:ext uri="{FF2B5EF4-FFF2-40B4-BE49-F238E27FC236}">
              <a16:creationId xmlns:a16="http://schemas.microsoft.com/office/drawing/2014/main" id="{61850BDC-F44B-4823-A4F1-7DB7708B8D6C}"/>
            </a:ext>
          </a:extLst>
        </xdr:cNvPr>
        <xdr:cNvSpPr/>
      </xdr:nvSpPr>
      <xdr:spPr>
        <a:xfrm>
          <a:off x="361950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121</xdr:row>
      <xdr:rowOff>0</xdr:rowOff>
    </xdr:from>
    <xdr:to>
      <xdr:col>71</xdr:col>
      <xdr:colOff>83820</xdr:colOff>
      <xdr:row>121</xdr:row>
      <xdr:rowOff>114300</xdr:rowOff>
    </xdr:to>
    <xdr:sp macro="" textlink="">
      <xdr:nvSpPr>
        <xdr:cNvPr id="862" name="Arrow: Down 861">
          <a:extLst>
            <a:ext uri="{FF2B5EF4-FFF2-40B4-BE49-F238E27FC236}">
              <a16:creationId xmlns:a16="http://schemas.microsoft.com/office/drawing/2014/main" id="{0236028D-74CF-40BE-9486-031EB6C62270}"/>
            </a:ext>
          </a:extLst>
        </xdr:cNvPr>
        <xdr:cNvSpPr/>
      </xdr:nvSpPr>
      <xdr:spPr>
        <a:xfrm rot="10800000">
          <a:off x="1719834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121</xdr:row>
      <xdr:rowOff>0</xdr:rowOff>
    </xdr:from>
    <xdr:to>
      <xdr:col>5</xdr:col>
      <xdr:colOff>83820</xdr:colOff>
      <xdr:row>121</xdr:row>
      <xdr:rowOff>114300</xdr:rowOff>
    </xdr:to>
    <xdr:sp macro="" textlink="">
      <xdr:nvSpPr>
        <xdr:cNvPr id="783" name="Arrow: Down 782">
          <a:extLst>
            <a:ext uri="{FF2B5EF4-FFF2-40B4-BE49-F238E27FC236}">
              <a16:creationId xmlns:a16="http://schemas.microsoft.com/office/drawing/2014/main" id="{8C2FC4CC-C4F6-4234-9D9B-F1B4577E89F6}"/>
            </a:ext>
          </a:extLst>
        </xdr:cNvPr>
        <xdr:cNvSpPr/>
      </xdr:nvSpPr>
      <xdr:spPr>
        <a:xfrm rot="10800000">
          <a:off x="1927860" y="22227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121</xdr:row>
      <xdr:rowOff>0</xdr:rowOff>
    </xdr:from>
    <xdr:to>
      <xdr:col>24</xdr:col>
      <xdr:colOff>83820</xdr:colOff>
      <xdr:row>121</xdr:row>
      <xdr:rowOff>114300</xdr:rowOff>
    </xdr:to>
    <xdr:sp macro="" textlink="">
      <xdr:nvSpPr>
        <xdr:cNvPr id="790" name="Arrow: Down 789">
          <a:extLst>
            <a:ext uri="{FF2B5EF4-FFF2-40B4-BE49-F238E27FC236}">
              <a16:creationId xmlns:a16="http://schemas.microsoft.com/office/drawing/2014/main" id="{5E0A9C68-9728-4F60-8D1E-3477F7172CD5}"/>
            </a:ext>
          </a:extLst>
        </xdr:cNvPr>
        <xdr:cNvSpPr/>
      </xdr:nvSpPr>
      <xdr:spPr>
        <a:xfrm>
          <a:off x="54406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121</xdr:row>
      <xdr:rowOff>0</xdr:rowOff>
    </xdr:from>
    <xdr:to>
      <xdr:col>39</xdr:col>
      <xdr:colOff>83820</xdr:colOff>
      <xdr:row>121</xdr:row>
      <xdr:rowOff>114300</xdr:rowOff>
    </xdr:to>
    <xdr:sp macro="" textlink="">
      <xdr:nvSpPr>
        <xdr:cNvPr id="798" name="Arrow: Down 797">
          <a:extLst>
            <a:ext uri="{FF2B5EF4-FFF2-40B4-BE49-F238E27FC236}">
              <a16:creationId xmlns:a16="http://schemas.microsoft.com/office/drawing/2014/main" id="{CC8F35A6-C2FF-4A58-B9EC-C268C05A3735}"/>
            </a:ext>
          </a:extLst>
        </xdr:cNvPr>
        <xdr:cNvSpPr/>
      </xdr:nvSpPr>
      <xdr:spPr>
        <a:xfrm rot="10800000">
          <a:off x="86029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122</xdr:row>
      <xdr:rowOff>0</xdr:rowOff>
    </xdr:from>
    <xdr:to>
      <xdr:col>45</xdr:col>
      <xdr:colOff>83820</xdr:colOff>
      <xdr:row>122</xdr:row>
      <xdr:rowOff>114300</xdr:rowOff>
    </xdr:to>
    <xdr:sp macro="" textlink="">
      <xdr:nvSpPr>
        <xdr:cNvPr id="800" name="Arrow: Down 799">
          <a:extLst>
            <a:ext uri="{FF2B5EF4-FFF2-40B4-BE49-F238E27FC236}">
              <a16:creationId xmlns:a16="http://schemas.microsoft.com/office/drawing/2014/main" id="{75AD91A8-2FB5-4E89-B675-7CE0AEF5691C}"/>
            </a:ext>
          </a:extLst>
        </xdr:cNvPr>
        <xdr:cNvSpPr/>
      </xdr:nvSpPr>
      <xdr:spPr>
        <a:xfrm rot="10800000">
          <a:off x="1018794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122</xdr:row>
      <xdr:rowOff>0</xdr:rowOff>
    </xdr:from>
    <xdr:to>
      <xdr:col>45</xdr:col>
      <xdr:colOff>83820</xdr:colOff>
      <xdr:row>122</xdr:row>
      <xdr:rowOff>114300</xdr:rowOff>
    </xdr:to>
    <xdr:sp macro="" textlink="">
      <xdr:nvSpPr>
        <xdr:cNvPr id="802" name="Arrow: Down 801">
          <a:extLst>
            <a:ext uri="{FF2B5EF4-FFF2-40B4-BE49-F238E27FC236}">
              <a16:creationId xmlns:a16="http://schemas.microsoft.com/office/drawing/2014/main" id="{A0E53210-0BDD-42AF-BE96-6E4E50C1706D}"/>
            </a:ext>
          </a:extLst>
        </xdr:cNvPr>
        <xdr:cNvSpPr/>
      </xdr:nvSpPr>
      <xdr:spPr>
        <a:xfrm rot="10800000">
          <a:off x="1018794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122</xdr:row>
      <xdr:rowOff>0</xdr:rowOff>
    </xdr:from>
    <xdr:to>
      <xdr:col>60</xdr:col>
      <xdr:colOff>83820</xdr:colOff>
      <xdr:row>122</xdr:row>
      <xdr:rowOff>114300</xdr:rowOff>
    </xdr:to>
    <xdr:sp macro="" textlink="">
      <xdr:nvSpPr>
        <xdr:cNvPr id="807" name="Arrow: Down 806">
          <a:extLst>
            <a:ext uri="{FF2B5EF4-FFF2-40B4-BE49-F238E27FC236}">
              <a16:creationId xmlns:a16="http://schemas.microsoft.com/office/drawing/2014/main" id="{758ADDC5-730C-4D31-B435-7514432294DB}"/>
            </a:ext>
          </a:extLst>
        </xdr:cNvPr>
        <xdr:cNvSpPr/>
      </xdr:nvSpPr>
      <xdr:spPr>
        <a:xfrm>
          <a:off x="1488186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122</xdr:row>
      <xdr:rowOff>0</xdr:rowOff>
    </xdr:from>
    <xdr:to>
      <xdr:col>11</xdr:col>
      <xdr:colOff>83820</xdr:colOff>
      <xdr:row>122</xdr:row>
      <xdr:rowOff>114300</xdr:rowOff>
    </xdr:to>
    <xdr:sp macro="" textlink="">
      <xdr:nvSpPr>
        <xdr:cNvPr id="808" name="Arrow: Down 807">
          <a:extLst>
            <a:ext uri="{FF2B5EF4-FFF2-40B4-BE49-F238E27FC236}">
              <a16:creationId xmlns:a16="http://schemas.microsoft.com/office/drawing/2014/main" id="{02EFE700-0BA1-47C6-9714-19A4C69F50AE}"/>
            </a:ext>
          </a:extLst>
        </xdr:cNvPr>
        <xdr:cNvSpPr/>
      </xdr:nvSpPr>
      <xdr:spPr>
        <a:xfrm>
          <a:off x="3619500" y="222275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122</xdr:row>
      <xdr:rowOff>0</xdr:rowOff>
    </xdr:from>
    <xdr:to>
      <xdr:col>71</xdr:col>
      <xdr:colOff>83820</xdr:colOff>
      <xdr:row>122</xdr:row>
      <xdr:rowOff>114300</xdr:rowOff>
    </xdr:to>
    <xdr:sp macro="" textlink="">
      <xdr:nvSpPr>
        <xdr:cNvPr id="814" name="Arrow: Down 813">
          <a:extLst>
            <a:ext uri="{FF2B5EF4-FFF2-40B4-BE49-F238E27FC236}">
              <a16:creationId xmlns:a16="http://schemas.microsoft.com/office/drawing/2014/main" id="{5C5FEF79-3A13-48FB-9F6E-09005024E3F2}"/>
            </a:ext>
          </a:extLst>
        </xdr:cNvPr>
        <xdr:cNvSpPr/>
      </xdr:nvSpPr>
      <xdr:spPr>
        <a:xfrm rot="10800000">
          <a:off x="17198340" y="22227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122</xdr:row>
      <xdr:rowOff>0</xdr:rowOff>
    </xdr:from>
    <xdr:to>
      <xdr:col>24</xdr:col>
      <xdr:colOff>83820</xdr:colOff>
      <xdr:row>122</xdr:row>
      <xdr:rowOff>114300</xdr:rowOff>
    </xdr:to>
    <xdr:sp macro="" textlink="">
      <xdr:nvSpPr>
        <xdr:cNvPr id="818" name="Arrow: Down 817">
          <a:extLst>
            <a:ext uri="{FF2B5EF4-FFF2-40B4-BE49-F238E27FC236}">
              <a16:creationId xmlns:a16="http://schemas.microsoft.com/office/drawing/2014/main" id="{1B8FE5DE-4088-4056-8020-6805D07D92C5}"/>
            </a:ext>
          </a:extLst>
        </xdr:cNvPr>
        <xdr:cNvSpPr/>
      </xdr:nvSpPr>
      <xdr:spPr>
        <a:xfrm>
          <a:off x="54406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122</xdr:row>
      <xdr:rowOff>0</xdr:rowOff>
    </xdr:from>
    <xdr:to>
      <xdr:col>39</xdr:col>
      <xdr:colOff>83820</xdr:colOff>
      <xdr:row>122</xdr:row>
      <xdr:rowOff>114300</xdr:rowOff>
    </xdr:to>
    <xdr:sp macro="" textlink="">
      <xdr:nvSpPr>
        <xdr:cNvPr id="828" name="Arrow: Down 827">
          <a:extLst>
            <a:ext uri="{FF2B5EF4-FFF2-40B4-BE49-F238E27FC236}">
              <a16:creationId xmlns:a16="http://schemas.microsoft.com/office/drawing/2014/main" id="{161B2728-071F-48ED-95CE-33D253C5A42A}"/>
            </a:ext>
          </a:extLst>
        </xdr:cNvPr>
        <xdr:cNvSpPr/>
      </xdr:nvSpPr>
      <xdr:spPr>
        <a:xfrm>
          <a:off x="860298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122</xdr:row>
      <xdr:rowOff>0</xdr:rowOff>
    </xdr:from>
    <xdr:to>
      <xdr:col>5</xdr:col>
      <xdr:colOff>83820</xdr:colOff>
      <xdr:row>122</xdr:row>
      <xdr:rowOff>114300</xdr:rowOff>
    </xdr:to>
    <xdr:sp macro="" textlink="">
      <xdr:nvSpPr>
        <xdr:cNvPr id="836" name="Arrow: Down 835">
          <a:extLst>
            <a:ext uri="{FF2B5EF4-FFF2-40B4-BE49-F238E27FC236}">
              <a16:creationId xmlns:a16="http://schemas.microsoft.com/office/drawing/2014/main" id="{B795BDCA-3CA9-459C-A15D-E4FAF101D6E0}"/>
            </a:ext>
          </a:extLst>
        </xdr:cNvPr>
        <xdr:cNvSpPr/>
      </xdr:nvSpPr>
      <xdr:spPr>
        <a:xfrm>
          <a:off x="192786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123</xdr:row>
      <xdr:rowOff>0</xdr:rowOff>
    </xdr:from>
    <xdr:to>
      <xdr:col>45</xdr:col>
      <xdr:colOff>83820</xdr:colOff>
      <xdr:row>123</xdr:row>
      <xdr:rowOff>114300</xdr:rowOff>
    </xdr:to>
    <xdr:sp macro="" textlink="">
      <xdr:nvSpPr>
        <xdr:cNvPr id="839" name="Arrow: Down 838">
          <a:extLst>
            <a:ext uri="{FF2B5EF4-FFF2-40B4-BE49-F238E27FC236}">
              <a16:creationId xmlns:a16="http://schemas.microsoft.com/office/drawing/2014/main" id="{41F8F142-947A-471E-8325-328878AD7415}"/>
            </a:ext>
          </a:extLst>
        </xdr:cNvPr>
        <xdr:cNvSpPr/>
      </xdr:nvSpPr>
      <xdr:spPr>
        <a:xfrm rot="10800000">
          <a:off x="1018794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123</xdr:row>
      <xdr:rowOff>0</xdr:rowOff>
    </xdr:from>
    <xdr:to>
      <xdr:col>45</xdr:col>
      <xdr:colOff>83820</xdr:colOff>
      <xdr:row>123</xdr:row>
      <xdr:rowOff>114300</xdr:rowOff>
    </xdr:to>
    <xdr:sp macro="" textlink="">
      <xdr:nvSpPr>
        <xdr:cNvPr id="841" name="Arrow: Down 840">
          <a:extLst>
            <a:ext uri="{FF2B5EF4-FFF2-40B4-BE49-F238E27FC236}">
              <a16:creationId xmlns:a16="http://schemas.microsoft.com/office/drawing/2014/main" id="{8F272A7A-0C0E-475A-8B27-7E445E5BF905}"/>
            </a:ext>
          </a:extLst>
        </xdr:cNvPr>
        <xdr:cNvSpPr/>
      </xdr:nvSpPr>
      <xdr:spPr>
        <a:xfrm rot="10800000">
          <a:off x="1018794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123</xdr:row>
      <xdr:rowOff>0</xdr:rowOff>
    </xdr:from>
    <xdr:to>
      <xdr:col>11</xdr:col>
      <xdr:colOff>83820</xdr:colOff>
      <xdr:row>123</xdr:row>
      <xdr:rowOff>114300</xdr:rowOff>
    </xdr:to>
    <xdr:sp macro="" textlink="">
      <xdr:nvSpPr>
        <xdr:cNvPr id="848" name="Arrow: Down 847">
          <a:extLst>
            <a:ext uri="{FF2B5EF4-FFF2-40B4-BE49-F238E27FC236}">
              <a16:creationId xmlns:a16="http://schemas.microsoft.com/office/drawing/2014/main" id="{6EFD14F8-9CF5-49B6-8F48-1FBF5D25F7A1}"/>
            </a:ext>
          </a:extLst>
        </xdr:cNvPr>
        <xdr:cNvSpPr/>
      </xdr:nvSpPr>
      <xdr:spPr>
        <a:xfrm>
          <a:off x="361950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123</xdr:row>
      <xdr:rowOff>0</xdr:rowOff>
    </xdr:from>
    <xdr:to>
      <xdr:col>71</xdr:col>
      <xdr:colOff>83820</xdr:colOff>
      <xdr:row>123</xdr:row>
      <xdr:rowOff>114300</xdr:rowOff>
    </xdr:to>
    <xdr:sp macro="" textlink="">
      <xdr:nvSpPr>
        <xdr:cNvPr id="850" name="Arrow: Down 849">
          <a:extLst>
            <a:ext uri="{FF2B5EF4-FFF2-40B4-BE49-F238E27FC236}">
              <a16:creationId xmlns:a16="http://schemas.microsoft.com/office/drawing/2014/main" id="{78318B25-7A42-4302-A047-438F787C3206}"/>
            </a:ext>
          </a:extLst>
        </xdr:cNvPr>
        <xdr:cNvSpPr/>
      </xdr:nvSpPr>
      <xdr:spPr>
        <a:xfrm rot="10800000">
          <a:off x="1719834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123</xdr:row>
      <xdr:rowOff>0</xdr:rowOff>
    </xdr:from>
    <xdr:to>
      <xdr:col>24</xdr:col>
      <xdr:colOff>83820</xdr:colOff>
      <xdr:row>123</xdr:row>
      <xdr:rowOff>114300</xdr:rowOff>
    </xdr:to>
    <xdr:sp macro="" textlink="">
      <xdr:nvSpPr>
        <xdr:cNvPr id="853" name="Arrow: Down 852">
          <a:extLst>
            <a:ext uri="{FF2B5EF4-FFF2-40B4-BE49-F238E27FC236}">
              <a16:creationId xmlns:a16="http://schemas.microsoft.com/office/drawing/2014/main" id="{9A0CFFCA-32DA-40F3-9A2C-CC0BCF69B431}"/>
            </a:ext>
          </a:extLst>
        </xdr:cNvPr>
        <xdr:cNvSpPr/>
      </xdr:nvSpPr>
      <xdr:spPr>
        <a:xfrm>
          <a:off x="544068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123</xdr:row>
      <xdr:rowOff>0</xdr:rowOff>
    </xdr:from>
    <xdr:to>
      <xdr:col>39</xdr:col>
      <xdr:colOff>83820</xdr:colOff>
      <xdr:row>123</xdr:row>
      <xdr:rowOff>114300</xdr:rowOff>
    </xdr:to>
    <xdr:sp macro="" textlink="">
      <xdr:nvSpPr>
        <xdr:cNvPr id="858" name="Arrow: Down 857">
          <a:extLst>
            <a:ext uri="{FF2B5EF4-FFF2-40B4-BE49-F238E27FC236}">
              <a16:creationId xmlns:a16="http://schemas.microsoft.com/office/drawing/2014/main" id="{5F3669F4-E69A-4C5D-8E9B-1B015E8866AB}"/>
            </a:ext>
          </a:extLst>
        </xdr:cNvPr>
        <xdr:cNvSpPr/>
      </xdr:nvSpPr>
      <xdr:spPr>
        <a:xfrm>
          <a:off x="860298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123</xdr:row>
      <xdr:rowOff>0</xdr:rowOff>
    </xdr:from>
    <xdr:to>
      <xdr:col>5</xdr:col>
      <xdr:colOff>83820</xdr:colOff>
      <xdr:row>123</xdr:row>
      <xdr:rowOff>114300</xdr:rowOff>
    </xdr:to>
    <xdr:sp macro="" textlink="">
      <xdr:nvSpPr>
        <xdr:cNvPr id="860" name="Arrow: Down 859">
          <a:extLst>
            <a:ext uri="{FF2B5EF4-FFF2-40B4-BE49-F238E27FC236}">
              <a16:creationId xmlns:a16="http://schemas.microsoft.com/office/drawing/2014/main" id="{364F1EE7-6196-4660-A21E-9D9A1BFBEA71}"/>
            </a:ext>
          </a:extLst>
        </xdr:cNvPr>
        <xdr:cNvSpPr/>
      </xdr:nvSpPr>
      <xdr:spPr>
        <a:xfrm>
          <a:off x="192786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123</xdr:row>
      <xdr:rowOff>0</xdr:rowOff>
    </xdr:from>
    <xdr:to>
      <xdr:col>60</xdr:col>
      <xdr:colOff>83820</xdr:colOff>
      <xdr:row>123</xdr:row>
      <xdr:rowOff>114300</xdr:rowOff>
    </xdr:to>
    <xdr:sp macro="" textlink="">
      <xdr:nvSpPr>
        <xdr:cNvPr id="861" name="Arrow: Down 860">
          <a:extLst>
            <a:ext uri="{FF2B5EF4-FFF2-40B4-BE49-F238E27FC236}">
              <a16:creationId xmlns:a16="http://schemas.microsoft.com/office/drawing/2014/main" id="{55778B77-2583-42F8-8B4A-560FBABA0B7D}"/>
            </a:ext>
          </a:extLst>
        </xdr:cNvPr>
        <xdr:cNvSpPr/>
      </xdr:nvSpPr>
      <xdr:spPr>
        <a:xfrm rot="10800000">
          <a:off x="18920460" y="22593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124</xdr:row>
      <xdr:rowOff>0</xdr:rowOff>
    </xdr:from>
    <xdr:to>
      <xdr:col>45</xdr:col>
      <xdr:colOff>83820</xdr:colOff>
      <xdr:row>124</xdr:row>
      <xdr:rowOff>114300</xdr:rowOff>
    </xdr:to>
    <xdr:sp macro="" textlink="">
      <xdr:nvSpPr>
        <xdr:cNvPr id="863" name="Arrow: Down 862">
          <a:extLst>
            <a:ext uri="{FF2B5EF4-FFF2-40B4-BE49-F238E27FC236}">
              <a16:creationId xmlns:a16="http://schemas.microsoft.com/office/drawing/2014/main" id="{47B52EE5-133D-4932-859D-F1776E95F84D}"/>
            </a:ext>
          </a:extLst>
        </xdr:cNvPr>
        <xdr:cNvSpPr/>
      </xdr:nvSpPr>
      <xdr:spPr>
        <a:xfrm rot="10800000">
          <a:off x="10408920" y="22593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124</xdr:row>
      <xdr:rowOff>0</xdr:rowOff>
    </xdr:from>
    <xdr:to>
      <xdr:col>45</xdr:col>
      <xdr:colOff>83820</xdr:colOff>
      <xdr:row>124</xdr:row>
      <xdr:rowOff>114300</xdr:rowOff>
    </xdr:to>
    <xdr:sp macro="" textlink="">
      <xdr:nvSpPr>
        <xdr:cNvPr id="864" name="Arrow: Down 863">
          <a:extLst>
            <a:ext uri="{FF2B5EF4-FFF2-40B4-BE49-F238E27FC236}">
              <a16:creationId xmlns:a16="http://schemas.microsoft.com/office/drawing/2014/main" id="{4FDCC2AF-91E3-4D0B-8CD3-D2DD33D5AEDB}"/>
            </a:ext>
          </a:extLst>
        </xdr:cNvPr>
        <xdr:cNvSpPr/>
      </xdr:nvSpPr>
      <xdr:spPr>
        <a:xfrm rot="10800000">
          <a:off x="10408920" y="22593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124</xdr:row>
      <xdr:rowOff>0</xdr:rowOff>
    </xdr:from>
    <xdr:to>
      <xdr:col>71</xdr:col>
      <xdr:colOff>83820</xdr:colOff>
      <xdr:row>124</xdr:row>
      <xdr:rowOff>114300</xdr:rowOff>
    </xdr:to>
    <xdr:sp macro="" textlink="">
      <xdr:nvSpPr>
        <xdr:cNvPr id="866" name="Arrow: Down 865">
          <a:extLst>
            <a:ext uri="{FF2B5EF4-FFF2-40B4-BE49-F238E27FC236}">
              <a16:creationId xmlns:a16="http://schemas.microsoft.com/office/drawing/2014/main" id="{8364A17D-9F86-4DAE-87D3-00DB41B542D3}"/>
            </a:ext>
          </a:extLst>
        </xdr:cNvPr>
        <xdr:cNvSpPr/>
      </xdr:nvSpPr>
      <xdr:spPr>
        <a:xfrm rot="10800000">
          <a:off x="17487900" y="22593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124</xdr:row>
      <xdr:rowOff>0</xdr:rowOff>
    </xdr:from>
    <xdr:to>
      <xdr:col>24</xdr:col>
      <xdr:colOff>83820</xdr:colOff>
      <xdr:row>124</xdr:row>
      <xdr:rowOff>114300</xdr:rowOff>
    </xdr:to>
    <xdr:sp macro="" textlink="">
      <xdr:nvSpPr>
        <xdr:cNvPr id="871" name="Arrow: Down 870">
          <a:extLst>
            <a:ext uri="{FF2B5EF4-FFF2-40B4-BE49-F238E27FC236}">
              <a16:creationId xmlns:a16="http://schemas.microsoft.com/office/drawing/2014/main" id="{8D910730-15F8-4E0F-8796-87E6C9078CA8}"/>
            </a:ext>
          </a:extLst>
        </xdr:cNvPr>
        <xdr:cNvSpPr/>
      </xdr:nvSpPr>
      <xdr:spPr>
        <a:xfrm rot="10800000">
          <a:off x="544068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124</xdr:row>
      <xdr:rowOff>0</xdr:rowOff>
    </xdr:from>
    <xdr:to>
      <xdr:col>39</xdr:col>
      <xdr:colOff>83820</xdr:colOff>
      <xdr:row>124</xdr:row>
      <xdr:rowOff>114300</xdr:rowOff>
    </xdr:to>
    <xdr:sp macro="" textlink="">
      <xdr:nvSpPr>
        <xdr:cNvPr id="872" name="Arrow: Down 871">
          <a:extLst>
            <a:ext uri="{FF2B5EF4-FFF2-40B4-BE49-F238E27FC236}">
              <a16:creationId xmlns:a16="http://schemas.microsoft.com/office/drawing/2014/main" id="{B6A7C67A-B29D-405A-AB71-8422BD042C1E}"/>
            </a:ext>
          </a:extLst>
        </xdr:cNvPr>
        <xdr:cNvSpPr/>
      </xdr:nvSpPr>
      <xdr:spPr>
        <a:xfrm rot="10800000">
          <a:off x="860298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124</xdr:row>
      <xdr:rowOff>0</xdr:rowOff>
    </xdr:from>
    <xdr:to>
      <xdr:col>5</xdr:col>
      <xdr:colOff>83820</xdr:colOff>
      <xdr:row>124</xdr:row>
      <xdr:rowOff>114300</xdr:rowOff>
    </xdr:to>
    <xdr:sp macro="" textlink="">
      <xdr:nvSpPr>
        <xdr:cNvPr id="875" name="Arrow: Down 874">
          <a:extLst>
            <a:ext uri="{FF2B5EF4-FFF2-40B4-BE49-F238E27FC236}">
              <a16:creationId xmlns:a16="http://schemas.microsoft.com/office/drawing/2014/main" id="{4A91C311-35A9-44F3-B146-16D01D02D860}"/>
            </a:ext>
          </a:extLst>
        </xdr:cNvPr>
        <xdr:cNvSpPr/>
      </xdr:nvSpPr>
      <xdr:spPr>
        <a:xfrm rot="10800000">
          <a:off x="192786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124</xdr:row>
      <xdr:rowOff>0</xdr:rowOff>
    </xdr:from>
    <xdr:to>
      <xdr:col>11</xdr:col>
      <xdr:colOff>83820</xdr:colOff>
      <xdr:row>124</xdr:row>
      <xdr:rowOff>114300</xdr:rowOff>
    </xdr:to>
    <xdr:sp macro="" textlink="">
      <xdr:nvSpPr>
        <xdr:cNvPr id="876" name="Arrow: Down 875">
          <a:extLst>
            <a:ext uri="{FF2B5EF4-FFF2-40B4-BE49-F238E27FC236}">
              <a16:creationId xmlns:a16="http://schemas.microsoft.com/office/drawing/2014/main" id="{61DCD8D6-4641-455B-8301-625B33767709}"/>
            </a:ext>
          </a:extLst>
        </xdr:cNvPr>
        <xdr:cNvSpPr/>
      </xdr:nvSpPr>
      <xdr:spPr>
        <a:xfrm rot="10800000">
          <a:off x="361950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124</xdr:row>
      <xdr:rowOff>0</xdr:rowOff>
    </xdr:from>
    <xdr:to>
      <xdr:col>60</xdr:col>
      <xdr:colOff>83820</xdr:colOff>
      <xdr:row>124</xdr:row>
      <xdr:rowOff>114300</xdr:rowOff>
    </xdr:to>
    <xdr:sp macro="" textlink="">
      <xdr:nvSpPr>
        <xdr:cNvPr id="877" name="Arrow: Down 876">
          <a:extLst>
            <a:ext uri="{FF2B5EF4-FFF2-40B4-BE49-F238E27FC236}">
              <a16:creationId xmlns:a16="http://schemas.microsoft.com/office/drawing/2014/main" id="{958F5B18-C544-42D6-B0D2-D6461EC22950}"/>
            </a:ext>
          </a:extLst>
        </xdr:cNvPr>
        <xdr:cNvSpPr/>
      </xdr:nvSpPr>
      <xdr:spPr>
        <a:xfrm rot="10800000">
          <a:off x="1517142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125</xdr:row>
      <xdr:rowOff>0</xdr:rowOff>
    </xdr:from>
    <xdr:to>
      <xdr:col>45</xdr:col>
      <xdr:colOff>83820</xdr:colOff>
      <xdr:row>125</xdr:row>
      <xdr:rowOff>114300</xdr:rowOff>
    </xdr:to>
    <xdr:sp macro="" textlink="">
      <xdr:nvSpPr>
        <xdr:cNvPr id="887" name="Arrow: Down 886">
          <a:extLst>
            <a:ext uri="{FF2B5EF4-FFF2-40B4-BE49-F238E27FC236}">
              <a16:creationId xmlns:a16="http://schemas.microsoft.com/office/drawing/2014/main" id="{CAAC4B68-238D-49BB-ABB4-88BBB98AF743}"/>
            </a:ext>
          </a:extLst>
        </xdr:cNvPr>
        <xdr:cNvSpPr/>
      </xdr:nvSpPr>
      <xdr:spPr>
        <a:xfrm rot="10800000">
          <a:off x="1040892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125</xdr:row>
      <xdr:rowOff>0</xdr:rowOff>
    </xdr:from>
    <xdr:to>
      <xdr:col>45</xdr:col>
      <xdr:colOff>83820</xdr:colOff>
      <xdr:row>125</xdr:row>
      <xdr:rowOff>114300</xdr:rowOff>
    </xdr:to>
    <xdr:sp macro="" textlink="">
      <xdr:nvSpPr>
        <xdr:cNvPr id="888" name="Arrow: Down 887">
          <a:extLst>
            <a:ext uri="{FF2B5EF4-FFF2-40B4-BE49-F238E27FC236}">
              <a16:creationId xmlns:a16="http://schemas.microsoft.com/office/drawing/2014/main" id="{F310D83F-74E0-43CA-9D37-734CFE1E6176}"/>
            </a:ext>
          </a:extLst>
        </xdr:cNvPr>
        <xdr:cNvSpPr/>
      </xdr:nvSpPr>
      <xdr:spPr>
        <a:xfrm rot="10800000">
          <a:off x="1040892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125</xdr:row>
      <xdr:rowOff>0</xdr:rowOff>
    </xdr:from>
    <xdr:to>
      <xdr:col>71</xdr:col>
      <xdr:colOff>83820</xdr:colOff>
      <xdr:row>125</xdr:row>
      <xdr:rowOff>114300</xdr:rowOff>
    </xdr:to>
    <xdr:sp macro="" textlink="">
      <xdr:nvSpPr>
        <xdr:cNvPr id="889" name="Arrow: Down 888">
          <a:extLst>
            <a:ext uri="{FF2B5EF4-FFF2-40B4-BE49-F238E27FC236}">
              <a16:creationId xmlns:a16="http://schemas.microsoft.com/office/drawing/2014/main" id="{07B82FBA-1B4B-4731-BE86-C5AC3C60A39B}"/>
            </a:ext>
          </a:extLst>
        </xdr:cNvPr>
        <xdr:cNvSpPr/>
      </xdr:nvSpPr>
      <xdr:spPr>
        <a:xfrm rot="10800000">
          <a:off x="1748790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125</xdr:row>
      <xdr:rowOff>0</xdr:rowOff>
    </xdr:from>
    <xdr:to>
      <xdr:col>24</xdr:col>
      <xdr:colOff>83820</xdr:colOff>
      <xdr:row>125</xdr:row>
      <xdr:rowOff>114300</xdr:rowOff>
    </xdr:to>
    <xdr:sp macro="" textlink="">
      <xdr:nvSpPr>
        <xdr:cNvPr id="890" name="Arrow: Down 889">
          <a:extLst>
            <a:ext uri="{FF2B5EF4-FFF2-40B4-BE49-F238E27FC236}">
              <a16:creationId xmlns:a16="http://schemas.microsoft.com/office/drawing/2014/main" id="{ED9F5F0E-C5B6-4139-8819-83511A3D73CF}"/>
            </a:ext>
          </a:extLst>
        </xdr:cNvPr>
        <xdr:cNvSpPr/>
      </xdr:nvSpPr>
      <xdr:spPr>
        <a:xfrm rot="10800000">
          <a:off x="544068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125</xdr:row>
      <xdr:rowOff>0</xdr:rowOff>
    </xdr:from>
    <xdr:to>
      <xdr:col>39</xdr:col>
      <xdr:colOff>83820</xdr:colOff>
      <xdr:row>125</xdr:row>
      <xdr:rowOff>114300</xdr:rowOff>
    </xdr:to>
    <xdr:sp macro="" textlink="">
      <xdr:nvSpPr>
        <xdr:cNvPr id="891" name="Arrow: Down 890">
          <a:extLst>
            <a:ext uri="{FF2B5EF4-FFF2-40B4-BE49-F238E27FC236}">
              <a16:creationId xmlns:a16="http://schemas.microsoft.com/office/drawing/2014/main" id="{0E6AEA46-F7A2-440C-8448-615E562A3D1C}"/>
            </a:ext>
          </a:extLst>
        </xdr:cNvPr>
        <xdr:cNvSpPr/>
      </xdr:nvSpPr>
      <xdr:spPr>
        <a:xfrm rot="10800000">
          <a:off x="860298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125</xdr:row>
      <xdr:rowOff>0</xdr:rowOff>
    </xdr:from>
    <xdr:to>
      <xdr:col>5</xdr:col>
      <xdr:colOff>83820</xdr:colOff>
      <xdr:row>125</xdr:row>
      <xdr:rowOff>114300</xdr:rowOff>
    </xdr:to>
    <xdr:sp macro="" textlink="">
      <xdr:nvSpPr>
        <xdr:cNvPr id="892" name="Arrow: Down 891">
          <a:extLst>
            <a:ext uri="{FF2B5EF4-FFF2-40B4-BE49-F238E27FC236}">
              <a16:creationId xmlns:a16="http://schemas.microsoft.com/office/drawing/2014/main" id="{013DDF7B-882B-4ACB-8FE6-495678A4F8BB}"/>
            </a:ext>
          </a:extLst>
        </xdr:cNvPr>
        <xdr:cNvSpPr/>
      </xdr:nvSpPr>
      <xdr:spPr>
        <a:xfrm rot="10800000">
          <a:off x="192786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125</xdr:row>
      <xdr:rowOff>0</xdr:rowOff>
    </xdr:from>
    <xdr:to>
      <xdr:col>60</xdr:col>
      <xdr:colOff>83820</xdr:colOff>
      <xdr:row>125</xdr:row>
      <xdr:rowOff>114300</xdr:rowOff>
    </xdr:to>
    <xdr:sp macro="" textlink="">
      <xdr:nvSpPr>
        <xdr:cNvPr id="894" name="Arrow: Down 893">
          <a:extLst>
            <a:ext uri="{FF2B5EF4-FFF2-40B4-BE49-F238E27FC236}">
              <a16:creationId xmlns:a16="http://schemas.microsoft.com/office/drawing/2014/main" id="{57A48B4C-9B2D-4FED-A23C-0AD8B50E6806}"/>
            </a:ext>
          </a:extLst>
        </xdr:cNvPr>
        <xdr:cNvSpPr/>
      </xdr:nvSpPr>
      <xdr:spPr>
        <a:xfrm rot="10800000">
          <a:off x="1517142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125</xdr:row>
      <xdr:rowOff>0</xdr:rowOff>
    </xdr:from>
    <xdr:to>
      <xdr:col>11</xdr:col>
      <xdr:colOff>83820</xdr:colOff>
      <xdr:row>125</xdr:row>
      <xdr:rowOff>114300</xdr:rowOff>
    </xdr:to>
    <xdr:sp macro="" textlink="">
      <xdr:nvSpPr>
        <xdr:cNvPr id="827" name="Arrow: Down 826">
          <a:extLst>
            <a:ext uri="{FF2B5EF4-FFF2-40B4-BE49-F238E27FC236}">
              <a16:creationId xmlns:a16="http://schemas.microsoft.com/office/drawing/2014/main" id="{74C82D2E-FA7C-4940-8710-FC30F4ADA82C}"/>
            </a:ext>
          </a:extLst>
        </xdr:cNvPr>
        <xdr:cNvSpPr/>
      </xdr:nvSpPr>
      <xdr:spPr>
        <a:xfrm>
          <a:off x="3619500" y="229590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126</xdr:row>
      <xdr:rowOff>0</xdr:rowOff>
    </xdr:from>
    <xdr:to>
      <xdr:col>45</xdr:col>
      <xdr:colOff>83820</xdr:colOff>
      <xdr:row>126</xdr:row>
      <xdr:rowOff>114300</xdr:rowOff>
    </xdr:to>
    <xdr:sp macro="" textlink="">
      <xdr:nvSpPr>
        <xdr:cNvPr id="831" name="Arrow: Down 830">
          <a:extLst>
            <a:ext uri="{FF2B5EF4-FFF2-40B4-BE49-F238E27FC236}">
              <a16:creationId xmlns:a16="http://schemas.microsoft.com/office/drawing/2014/main" id="{47316559-D0A5-4FF9-B089-A7C90B95759A}"/>
            </a:ext>
          </a:extLst>
        </xdr:cNvPr>
        <xdr:cNvSpPr/>
      </xdr:nvSpPr>
      <xdr:spPr>
        <a:xfrm rot="10800000">
          <a:off x="10408920" y="2295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126</xdr:row>
      <xdr:rowOff>0</xdr:rowOff>
    </xdr:from>
    <xdr:to>
      <xdr:col>45</xdr:col>
      <xdr:colOff>83820</xdr:colOff>
      <xdr:row>126</xdr:row>
      <xdr:rowOff>114300</xdr:rowOff>
    </xdr:to>
    <xdr:sp macro="" textlink="">
      <xdr:nvSpPr>
        <xdr:cNvPr id="835" name="Arrow: Down 834">
          <a:extLst>
            <a:ext uri="{FF2B5EF4-FFF2-40B4-BE49-F238E27FC236}">
              <a16:creationId xmlns:a16="http://schemas.microsoft.com/office/drawing/2014/main" id="{29797059-F73F-4255-9CFF-A37832CF3359}"/>
            </a:ext>
          </a:extLst>
        </xdr:cNvPr>
        <xdr:cNvSpPr/>
      </xdr:nvSpPr>
      <xdr:spPr>
        <a:xfrm rot="10800000">
          <a:off x="10408920" y="2295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126</xdr:row>
      <xdr:rowOff>0</xdr:rowOff>
    </xdr:from>
    <xdr:to>
      <xdr:col>71</xdr:col>
      <xdr:colOff>83820</xdr:colOff>
      <xdr:row>126</xdr:row>
      <xdr:rowOff>114300</xdr:rowOff>
    </xdr:to>
    <xdr:sp macro="" textlink="">
      <xdr:nvSpPr>
        <xdr:cNvPr id="844" name="Arrow: Down 843">
          <a:extLst>
            <a:ext uri="{FF2B5EF4-FFF2-40B4-BE49-F238E27FC236}">
              <a16:creationId xmlns:a16="http://schemas.microsoft.com/office/drawing/2014/main" id="{2E94376D-40B4-420A-A3A5-6F157D44678E}"/>
            </a:ext>
          </a:extLst>
        </xdr:cNvPr>
        <xdr:cNvSpPr/>
      </xdr:nvSpPr>
      <xdr:spPr>
        <a:xfrm rot="10800000">
          <a:off x="1748790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126</xdr:row>
      <xdr:rowOff>0</xdr:rowOff>
    </xdr:from>
    <xdr:to>
      <xdr:col>24</xdr:col>
      <xdr:colOff>83820</xdr:colOff>
      <xdr:row>126</xdr:row>
      <xdr:rowOff>114300</xdr:rowOff>
    </xdr:to>
    <xdr:sp macro="" textlink="">
      <xdr:nvSpPr>
        <xdr:cNvPr id="865" name="Arrow: Down 864">
          <a:extLst>
            <a:ext uri="{FF2B5EF4-FFF2-40B4-BE49-F238E27FC236}">
              <a16:creationId xmlns:a16="http://schemas.microsoft.com/office/drawing/2014/main" id="{7A3C48D3-1453-47FC-B528-63F33CC370DC}"/>
            </a:ext>
          </a:extLst>
        </xdr:cNvPr>
        <xdr:cNvSpPr/>
      </xdr:nvSpPr>
      <xdr:spPr>
        <a:xfrm rot="10800000">
          <a:off x="544068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126</xdr:row>
      <xdr:rowOff>0</xdr:rowOff>
    </xdr:from>
    <xdr:to>
      <xdr:col>5</xdr:col>
      <xdr:colOff>83820</xdr:colOff>
      <xdr:row>126</xdr:row>
      <xdr:rowOff>114300</xdr:rowOff>
    </xdr:to>
    <xdr:sp macro="" textlink="">
      <xdr:nvSpPr>
        <xdr:cNvPr id="868" name="Arrow: Down 867">
          <a:extLst>
            <a:ext uri="{FF2B5EF4-FFF2-40B4-BE49-F238E27FC236}">
              <a16:creationId xmlns:a16="http://schemas.microsoft.com/office/drawing/2014/main" id="{84B08A26-3E68-4347-BB8B-1994191F0E43}"/>
            </a:ext>
          </a:extLst>
        </xdr:cNvPr>
        <xdr:cNvSpPr/>
      </xdr:nvSpPr>
      <xdr:spPr>
        <a:xfrm rot="10800000">
          <a:off x="192786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126</xdr:row>
      <xdr:rowOff>0</xdr:rowOff>
    </xdr:from>
    <xdr:to>
      <xdr:col>60</xdr:col>
      <xdr:colOff>83820</xdr:colOff>
      <xdr:row>126</xdr:row>
      <xdr:rowOff>114300</xdr:rowOff>
    </xdr:to>
    <xdr:sp macro="" textlink="">
      <xdr:nvSpPr>
        <xdr:cNvPr id="869" name="Arrow: Down 868">
          <a:extLst>
            <a:ext uri="{FF2B5EF4-FFF2-40B4-BE49-F238E27FC236}">
              <a16:creationId xmlns:a16="http://schemas.microsoft.com/office/drawing/2014/main" id="{BCB0B8A9-B3ED-4387-8E4D-181BAB4F5872}"/>
            </a:ext>
          </a:extLst>
        </xdr:cNvPr>
        <xdr:cNvSpPr/>
      </xdr:nvSpPr>
      <xdr:spPr>
        <a:xfrm rot="10800000">
          <a:off x="1517142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126</xdr:row>
      <xdr:rowOff>0</xdr:rowOff>
    </xdr:from>
    <xdr:to>
      <xdr:col>11</xdr:col>
      <xdr:colOff>83820</xdr:colOff>
      <xdr:row>126</xdr:row>
      <xdr:rowOff>114300</xdr:rowOff>
    </xdr:to>
    <xdr:sp macro="" textlink="">
      <xdr:nvSpPr>
        <xdr:cNvPr id="874" name="Arrow: Down 873">
          <a:extLst>
            <a:ext uri="{FF2B5EF4-FFF2-40B4-BE49-F238E27FC236}">
              <a16:creationId xmlns:a16="http://schemas.microsoft.com/office/drawing/2014/main" id="{4018E378-0F0C-44C6-BB02-A02A8BB6C814}"/>
            </a:ext>
          </a:extLst>
        </xdr:cNvPr>
        <xdr:cNvSpPr/>
      </xdr:nvSpPr>
      <xdr:spPr>
        <a:xfrm rot="10800000">
          <a:off x="36195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127</xdr:row>
      <xdr:rowOff>0</xdr:rowOff>
    </xdr:from>
    <xdr:to>
      <xdr:col>45</xdr:col>
      <xdr:colOff>83820</xdr:colOff>
      <xdr:row>127</xdr:row>
      <xdr:rowOff>114300</xdr:rowOff>
    </xdr:to>
    <xdr:sp macro="" textlink="">
      <xdr:nvSpPr>
        <xdr:cNvPr id="878" name="Arrow: Down 877">
          <a:extLst>
            <a:ext uri="{FF2B5EF4-FFF2-40B4-BE49-F238E27FC236}">
              <a16:creationId xmlns:a16="http://schemas.microsoft.com/office/drawing/2014/main" id="{FCB05646-8101-4101-824D-CC743135B053}"/>
            </a:ext>
          </a:extLst>
        </xdr:cNvPr>
        <xdr:cNvSpPr/>
      </xdr:nvSpPr>
      <xdr:spPr>
        <a:xfrm rot="10800000">
          <a:off x="10408920" y="23141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127</xdr:row>
      <xdr:rowOff>0</xdr:rowOff>
    </xdr:from>
    <xdr:to>
      <xdr:col>45</xdr:col>
      <xdr:colOff>83820</xdr:colOff>
      <xdr:row>127</xdr:row>
      <xdr:rowOff>114300</xdr:rowOff>
    </xdr:to>
    <xdr:sp macro="" textlink="">
      <xdr:nvSpPr>
        <xdr:cNvPr id="879" name="Arrow: Down 878">
          <a:extLst>
            <a:ext uri="{FF2B5EF4-FFF2-40B4-BE49-F238E27FC236}">
              <a16:creationId xmlns:a16="http://schemas.microsoft.com/office/drawing/2014/main" id="{5DDECF77-A7BF-4812-8A49-D678C8E2981B}"/>
            </a:ext>
          </a:extLst>
        </xdr:cNvPr>
        <xdr:cNvSpPr/>
      </xdr:nvSpPr>
      <xdr:spPr>
        <a:xfrm rot="10800000">
          <a:off x="10408920" y="23141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127</xdr:row>
      <xdr:rowOff>0</xdr:rowOff>
    </xdr:from>
    <xdr:to>
      <xdr:col>71</xdr:col>
      <xdr:colOff>83820</xdr:colOff>
      <xdr:row>127</xdr:row>
      <xdr:rowOff>114300</xdr:rowOff>
    </xdr:to>
    <xdr:sp macro="" textlink="">
      <xdr:nvSpPr>
        <xdr:cNvPr id="880" name="Arrow: Down 879">
          <a:extLst>
            <a:ext uri="{FF2B5EF4-FFF2-40B4-BE49-F238E27FC236}">
              <a16:creationId xmlns:a16="http://schemas.microsoft.com/office/drawing/2014/main" id="{5E2ACBEE-612B-4232-A604-EE26C1801F46}"/>
            </a:ext>
          </a:extLst>
        </xdr:cNvPr>
        <xdr:cNvSpPr/>
      </xdr:nvSpPr>
      <xdr:spPr>
        <a:xfrm rot="10800000">
          <a:off x="174879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127</xdr:row>
      <xdr:rowOff>0</xdr:rowOff>
    </xdr:from>
    <xdr:to>
      <xdr:col>5</xdr:col>
      <xdr:colOff>83820</xdr:colOff>
      <xdr:row>127</xdr:row>
      <xdr:rowOff>114300</xdr:rowOff>
    </xdr:to>
    <xdr:sp macro="" textlink="">
      <xdr:nvSpPr>
        <xdr:cNvPr id="883" name="Arrow: Down 882">
          <a:extLst>
            <a:ext uri="{FF2B5EF4-FFF2-40B4-BE49-F238E27FC236}">
              <a16:creationId xmlns:a16="http://schemas.microsoft.com/office/drawing/2014/main" id="{CF7FC5BF-E9AE-4F46-B3D5-2F63132240B1}"/>
            </a:ext>
          </a:extLst>
        </xdr:cNvPr>
        <xdr:cNvSpPr/>
      </xdr:nvSpPr>
      <xdr:spPr>
        <a:xfrm rot="10800000">
          <a:off x="192786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127</xdr:row>
      <xdr:rowOff>0</xdr:rowOff>
    </xdr:from>
    <xdr:to>
      <xdr:col>11</xdr:col>
      <xdr:colOff>83820</xdr:colOff>
      <xdr:row>127</xdr:row>
      <xdr:rowOff>114300</xdr:rowOff>
    </xdr:to>
    <xdr:sp macro="" textlink="">
      <xdr:nvSpPr>
        <xdr:cNvPr id="885" name="Arrow: Down 884">
          <a:extLst>
            <a:ext uri="{FF2B5EF4-FFF2-40B4-BE49-F238E27FC236}">
              <a16:creationId xmlns:a16="http://schemas.microsoft.com/office/drawing/2014/main" id="{8C129D90-6A20-44D4-8CAB-21B3C6F10DEB}"/>
            </a:ext>
          </a:extLst>
        </xdr:cNvPr>
        <xdr:cNvSpPr/>
      </xdr:nvSpPr>
      <xdr:spPr>
        <a:xfrm rot="10800000">
          <a:off x="36195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126</xdr:row>
      <xdr:rowOff>0</xdr:rowOff>
    </xdr:from>
    <xdr:to>
      <xdr:col>39</xdr:col>
      <xdr:colOff>83820</xdr:colOff>
      <xdr:row>126</xdr:row>
      <xdr:rowOff>114300</xdr:rowOff>
    </xdr:to>
    <xdr:sp macro="" textlink="">
      <xdr:nvSpPr>
        <xdr:cNvPr id="895" name="Arrow: Down 894">
          <a:extLst>
            <a:ext uri="{FF2B5EF4-FFF2-40B4-BE49-F238E27FC236}">
              <a16:creationId xmlns:a16="http://schemas.microsoft.com/office/drawing/2014/main" id="{2ADB66C5-6FE4-450D-A097-E8428BD3AE67}"/>
            </a:ext>
          </a:extLst>
        </xdr:cNvPr>
        <xdr:cNvSpPr/>
      </xdr:nvSpPr>
      <xdr:spPr>
        <a:xfrm>
          <a:off x="860298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127</xdr:row>
      <xdr:rowOff>0</xdr:rowOff>
    </xdr:from>
    <xdr:to>
      <xdr:col>24</xdr:col>
      <xdr:colOff>83820</xdr:colOff>
      <xdr:row>127</xdr:row>
      <xdr:rowOff>114300</xdr:rowOff>
    </xdr:to>
    <xdr:sp macro="" textlink="">
      <xdr:nvSpPr>
        <xdr:cNvPr id="898" name="Arrow: Down 897">
          <a:extLst>
            <a:ext uri="{FF2B5EF4-FFF2-40B4-BE49-F238E27FC236}">
              <a16:creationId xmlns:a16="http://schemas.microsoft.com/office/drawing/2014/main" id="{3D5B850D-6E22-407C-86A9-C435DBAF3493}"/>
            </a:ext>
          </a:extLst>
        </xdr:cNvPr>
        <xdr:cNvSpPr/>
      </xdr:nvSpPr>
      <xdr:spPr>
        <a:xfrm>
          <a:off x="544068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127</xdr:row>
      <xdr:rowOff>0</xdr:rowOff>
    </xdr:from>
    <xdr:to>
      <xdr:col>39</xdr:col>
      <xdr:colOff>83820</xdr:colOff>
      <xdr:row>127</xdr:row>
      <xdr:rowOff>114300</xdr:rowOff>
    </xdr:to>
    <xdr:sp macro="" textlink="">
      <xdr:nvSpPr>
        <xdr:cNvPr id="900" name="Arrow: Down 899">
          <a:extLst>
            <a:ext uri="{FF2B5EF4-FFF2-40B4-BE49-F238E27FC236}">
              <a16:creationId xmlns:a16="http://schemas.microsoft.com/office/drawing/2014/main" id="{4799EAC4-B159-4F73-AAA2-245B70F633B5}"/>
            </a:ext>
          </a:extLst>
        </xdr:cNvPr>
        <xdr:cNvSpPr/>
      </xdr:nvSpPr>
      <xdr:spPr>
        <a:xfrm>
          <a:off x="860298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127</xdr:row>
      <xdr:rowOff>0</xdr:rowOff>
    </xdr:from>
    <xdr:to>
      <xdr:col>60</xdr:col>
      <xdr:colOff>83820</xdr:colOff>
      <xdr:row>127</xdr:row>
      <xdr:rowOff>114300</xdr:rowOff>
    </xdr:to>
    <xdr:sp macro="" textlink="">
      <xdr:nvSpPr>
        <xdr:cNvPr id="902" name="Arrow: Down 901">
          <a:extLst>
            <a:ext uri="{FF2B5EF4-FFF2-40B4-BE49-F238E27FC236}">
              <a16:creationId xmlns:a16="http://schemas.microsoft.com/office/drawing/2014/main" id="{CD33F9AB-9B39-4DE5-8D2C-1F5B27C91C0D}"/>
            </a:ext>
          </a:extLst>
        </xdr:cNvPr>
        <xdr:cNvSpPr/>
      </xdr:nvSpPr>
      <xdr:spPr>
        <a:xfrm>
          <a:off x="151714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128</xdr:row>
      <xdr:rowOff>0</xdr:rowOff>
    </xdr:from>
    <xdr:to>
      <xdr:col>45</xdr:col>
      <xdr:colOff>83820</xdr:colOff>
      <xdr:row>128</xdr:row>
      <xdr:rowOff>114300</xdr:rowOff>
    </xdr:to>
    <xdr:sp macro="" textlink="">
      <xdr:nvSpPr>
        <xdr:cNvPr id="815" name="Arrow: Down 814">
          <a:extLst>
            <a:ext uri="{FF2B5EF4-FFF2-40B4-BE49-F238E27FC236}">
              <a16:creationId xmlns:a16="http://schemas.microsoft.com/office/drawing/2014/main" id="{3DEE3F07-E9AC-43B4-9F7A-443C8D224D44}"/>
            </a:ext>
          </a:extLst>
        </xdr:cNvPr>
        <xdr:cNvSpPr/>
      </xdr:nvSpPr>
      <xdr:spPr>
        <a:xfrm rot="10800000">
          <a:off x="104089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128</xdr:row>
      <xdr:rowOff>0</xdr:rowOff>
    </xdr:from>
    <xdr:to>
      <xdr:col>45</xdr:col>
      <xdr:colOff>83820</xdr:colOff>
      <xdr:row>128</xdr:row>
      <xdr:rowOff>114300</xdr:rowOff>
    </xdr:to>
    <xdr:sp macro="" textlink="">
      <xdr:nvSpPr>
        <xdr:cNvPr id="867" name="Arrow: Down 866">
          <a:extLst>
            <a:ext uri="{FF2B5EF4-FFF2-40B4-BE49-F238E27FC236}">
              <a16:creationId xmlns:a16="http://schemas.microsoft.com/office/drawing/2014/main" id="{7B408D63-61A5-46E1-9737-C24B7A0C4DC7}"/>
            </a:ext>
          </a:extLst>
        </xdr:cNvPr>
        <xdr:cNvSpPr/>
      </xdr:nvSpPr>
      <xdr:spPr>
        <a:xfrm rot="10800000">
          <a:off x="104089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128</xdr:row>
      <xdr:rowOff>0</xdr:rowOff>
    </xdr:from>
    <xdr:to>
      <xdr:col>71</xdr:col>
      <xdr:colOff>83820</xdr:colOff>
      <xdr:row>128</xdr:row>
      <xdr:rowOff>114300</xdr:rowOff>
    </xdr:to>
    <xdr:sp macro="" textlink="">
      <xdr:nvSpPr>
        <xdr:cNvPr id="870" name="Arrow: Down 869">
          <a:extLst>
            <a:ext uri="{FF2B5EF4-FFF2-40B4-BE49-F238E27FC236}">
              <a16:creationId xmlns:a16="http://schemas.microsoft.com/office/drawing/2014/main" id="{E413E567-1836-4990-9B2C-E7B88708AF6B}"/>
            </a:ext>
          </a:extLst>
        </xdr:cNvPr>
        <xdr:cNvSpPr/>
      </xdr:nvSpPr>
      <xdr:spPr>
        <a:xfrm rot="10800000">
          <a:off x="1748790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128</xdr:row>
      <xdr:rowOff>0</xdr:rowOff>
    </xdr:from>
    <xdr:to>
      <xdr:col>5</xdr:col>
      <xdr:colOff>83820</xdr:colOff>
      <xdr:row>128</xdr:row>
      <xdr:rowOff>114300</xdr:rowOff>
    </xdr:to>
    <xdr:sp macro="" textlink="">
      <xdr:nvSpPr>
        <xdr:cNvPr id="873" name="Arrow: Down 872">
          <a:extLst>
            <a:ext uri="{FF2B5EF4-FFF2-40B4-BE49-F238E27FC236}">
              <a16:creationId xmlns:a16="http://schemas.microsoft.com/office/drawing/2014/main" id="{16EBF00A-8B88-4F4D-8B0D-385518C57BCA}"/>
            </a:ext>
          </a:extLst>
        </xdr:cNvPr>
        <xdr:cNvSpPr/>
      </xdr:nvSpPr>
      <xdr:spPr>
        <a:xfrm rot="10800000">
          <a:off x="192786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128</xdr:row>
      <xdr:rowOff>0</xdr:rowOff>
    </xdr:from>
    <xdr:to>
      <xdr:col>11</xdr:col>
      <xdr:colOff>83820</xdr:colOff>
      <xdr:row>128</xdr:row>
      <xdr:rowOff>114300</xdr:rowOff>
    </xdr:to>
    <xdr:sp macro="" textlink="">
      <xdr:nvSpPr>
        <xdr:cNvPr id="881" name="Arrow: Down 880">
          <a:extLst>
            <a:ext uri="{FF2B5EF4-FFF2-40B4-BE49-F238E27FC236}">
              <a16:creationId xmlns:a16="http://schemas.microsoft.com/office/drawing/2014/main" id="{54384283-A011-4386-BD3D-64DD97ECAC00}"/>
            </a:ext>
          </a:extLst>
        </xdr:cNvPr>
        <xdr:cNvSpPr/>
      </xdr:nvSpPr>
      <xdr:spPr>
        <a:xfrm rot="10800000">
          <a:off x="361950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128</xdr:row>
      <xdr:rowOff>0</xdr:rowOff>
    </xdr:from>
    <xdr:to>
      <xdr:col>24</xdr:col>
      <xdr:colOff>83820</xdr:colOff>
      <xdr:row>128</xdr:row>
      <xdr:rowOff>114300</xdr:rowOff>
    </xdr:to>
    <xdr:sp macro="" textlink="">
      <xdr:nvSpPr>
        <xdr:cNvPr id="882" name="Arrow: Down 881">
          <a:extLst>
            <a:ext uri="{FF2B5EF4-FFF2-40B4-BE49-F238E27FC236}">
              <a16:creationId xmlns:a16="http://schemas.microsoft.com/office/drawing/2014/main" id="{67DA10ED-2F44-4131-A189-040F6FD0FB88}"/>
            </a:ext>
          </a:extLst>
        </xdr:cNvPr>
        <xdr:cNvSpPr/>
      </xdr:nvSpPr>
      <xdr:spPr>
        <a:xfrm>
          <a:off x="544068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128</xdr:row>
      <xdr:rowOff>0</xdr:rowOff>
    </xdr:from>
    <xdr:to>
      <xdr:col>60</xdr:col>
      <xdr:colOff>83820</xdr:colOff>
      <xdr:row>128</xdr:row>
      <xdr:rowOff>114300</xdr:rowOff>
    </xdr:to>
    <xdr:sp macro="" textlink="">
      <xdr:nvSpPr>
        <xdr:cNvPr id="886" name="Arrow: Down 885">
          <a:extLst>
            <a:ext uri="{FF2B5EF4-FFF2-40B4-BE49-F238E27FC236}">
              <a16:creationId xmlns:a16="http://schemas.microsoft.com/office/drawing/2014/main" id="{6806C395-2EE9-4144-AF48-066E43BA02B2}"/>
            </a:ext>
          </a:extLst>
        </xdr:cNvPr>
        <xdr:cNvSpPr/>
      </xdr:nvSpPr>
      <xdr:spPr>
        <a:xfrm>
          <a:off x="151714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128</xdr:row>
      <xdr:rowOff>0</xdr:rowOff>
    </xdr:from>
    <xdr:to>
      <xdr:col>39</xdr:col>
      <xdr:colOff>83820</xdr:colOff>
      <xdr:row>128</xdr:row>
      <xdr:rowOff>114300</xdr:rowOff>
    </xdr:to>
    <xdr:sp macro="" textlink="">
      <xdr:nvSpPr>
        <xdr:cNvPr id="893" name="Arrow: Down 892">
          <a:extLst>
            <a:ext uri="{FF2B5EF4-FFF2-40B4-BE49-F238E27FC236}">
              <a16:creationId xmlns:a16="http://schemas.microsoft.com/office/drawing/2014/main" id="{E687A73A-C55F-4093-9F70-EA9222B4D4E1}"/>
            </a:ext>
          </a:extLst>
        </xdr:cNvPr>
        <xdr:cNvSpPr/>
      </xdr:nvSpPr>
      <xdr:spPr>
        <a:xfrm rot="10800000">
          <a:off x="860298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129</xdr:row>
      <xdr:rowOff>0</xdr:rowOff>
    </xdr:from>
    <xdr:to>
      <xdr:col>45</xdr:col>
      <xdr:colOff>83820</xdr:colOff>
      <xdr:row>129</xdr:row>
      <xdr:rowOff>114300</xdr:rowOff>
    </xdr:to>
    <xdr:sp macro="" textlink="">
      <xdr:nvSpPr>
        <xdr:cNvPr id="907" name="Arrow: Down 906">
          <a:extLst>
            <a:ext uri="{FF2B5EF4-FFF2-40B4-BE49-F238E27FC236}">
              <a16:creationId xmlns:a16="http://schemas.microsoft.com/office/drawing/2014/main" id="{52AD076B-8C5B-40D2-94E6-EBEA9C5ADBDE}"/>
            </a:ext>
          </a:extLst>
        </xdr:cNvPr>
        <xdr:cNvSpPr/>
      </xdr:nvSpPr>
      <xdr:spPr>
        <a:xfrm rot="10800000">
          <a:off x="104089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129</xdr:row>
      <xdr:rowOff>0</xdr:rowOff>
    </xdr:from>
    <xdr:to>
      <xdr:col>45</xdr:col>
      <xdr:colOff>83820</xdr:colOff>
      <xdr:row>129</xdr:row>
      <xdr:rowOff>114300</xdr:rowOff>
    </xdr:to>
    <xdr:sp macro="" textlink="">
      <xdr:nvSpPr>
        <xdr:cNvPr id="908" name="Arrow: Down 907">
          <a:extLst>
            <a:ext uri="{FF2B5EF4-FFF2-40B4-BE49-F238E27FC236}">
              <a16:creationId xmlns:a16="http://schemas.microsoft.com/office/drawing/2014/main" id="{14FF4883-2E13-427B-BE21-93C1845666F9}"/>
            </a:ext>
          </a:extLst>
        </xdr:cNvPr>
        <xdr:cNvSpPr/>
      </xdr:nvSpPr>
      <xdr:spPr>
        <a:xfrm rot="10800000">
          <a:off x="104089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129</xdr:row>
      <xdr:rowOff>0</xdr:rowOff>
    </xdr:from>
    <xdr:to>
      <xdr:col>24</xdr:col>
      <xdr:colOff>83820</xdr:colOff>
      <xdr:row>129</xdr:row>
      <xdr:rowOff>114300</xdr:rowOff>
    </xdr:to>
    <xdr:sp macro="" textlink="">
      <xdr:nvSpPr>
        <xdr:cNvPr id="912" name="Arrow: Down 911">
          <a:extLst>
            <a:ext uri="{FF2B5EF4-FFF2-40B4-BE49-F238E27FC236}">
              <a16:creationId xmlns:a16="http://schemas.microsoft.com/office/drawing/2014/main" id="{11CB253B-687B-485A-98EC-C1081151E1E2}"/>
            </a:ext>
          </a:extLst>
        </xdr:cNvPr>
        <xdr:cNvSpPr/>
      </xdr:nvSpPr>
      <xdr:spPr>
        <a:xfrm>
          <a:off x="544068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129</xdr:row>
      <xdr:rowOff>0</xdr:rowOff>
    </xdr:from>
    <xdr:to>
      <xdr:col>60</xdr:col>
      <xdr:colOff>83820</xdr:colOff>
      <xdr:row>129</xdr:row>
      <xdr:rowOff>114300</xdr:rowOff>
    </xdr:to>
    <xdr:sp macro="" textlink="">
      <xdr:nvSpPr>
        <xdr:cNvPr id="913" name="Arrow: Down 912">
          <a:extLst>
            <a:ext uri="{FF2B5EF4-FFF2-40B4-BE49-F238E27FC236}">
              <a16:creationId xmlns:a16="http://schemas.microsoft.com/office/drawing/2014/main" id="{3467E7C7-4DAC-4C44-9C92-17A9B2C1F405}"/>
            </a:ext>
          </a:extLst>
        </xdr:cNvPr>
        <xdr:cNvSpPr/>
      </xdr:nvSpPr>
      <xdr:spPr>
        <a:xfrm>
          <a:off x="151714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129</xdr:row>
      <xdr:rowOff>0</xdr:rowOff>
    </xdr:from>
    <xdr:to>
      <xdr:col>5</xdr:col>
      <xdr:colOff>83820</xdr:colOff>
      <xdr:row>129</xdr:row>
      <xdr:rowOff>114300</xdr:rowOff>
    </xdr:to>
    <xdr:sp macro="" textlink="">
      <xdr:nvSpPr>
        <xdr:cNvPr id="915" name="Arrow: Down 914">
          <a:extLst>
            <a:ext uri="{FF2B5EF4-FFF2-40B4-BE49-F238E27FC236}">
              <a16:creationId xmlns:a16="http://schemas.microsoft.com/office/drawing/2014/main" id="{995DA461-9565-4DAD-974B-0E7596D7186D}"/>
            </a:ext>
          </a:extLst>
        </xdr:cNvPr>
        <xdr:cNvSpPr/>
      </xdr:nvSpPr>
      <xdr:spPr>
        <a:xfrm>
          <a:off x="1927860" y="236905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129</xdr:row>
      <xdr:rowOff>0</xdr:rowOff>
    </xdr:from>
    <xdr:to>
      <xdr:col>11</xdr:col>
      <xdr:colOff>83820</xdr:colOff>
      <xdr:row>129</xdr:row>
      <xdr:rowOff>114300</xdr:rowOff>
    </xdr:to>
    <xdr:sp macro="" textlink="">
      <xdr:nvSpPr>
        <xdr:cNvPr id="916" name="Arrow: Down 915">
          <a:extLst>
            <a:ext uri="{FF2B5EF4-FFF2-40B4-BE49-F238E27FC236}">
              <a16:creationId xmlns:a16="http://schemas.microsoft.com/office/drawing/2014/main" id="{D17B36E8-5E21-4CC9-800A-4C284D31B890}"/>
            </a:ext>
          </a:extLst>
        </xdr:cNvPr>
        <xdr:cNvSpPr/>
      </xdr:nvSpPr>
      <xdr:spPr>
        <a:xfrm>
          <a:off x="3619500" y="236905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129</xdr:row>
      <xdr:rowOff>0</xdr:rowOff>
    </xdr:from>
    <xdr:to>
      <xdr:col>39</xdr:col>
      <xdr:colOff>83820</xdr:colOff>
      <xdr:row>129</xdr:row>
      <xdr:rowOff>114300</xdr:rowOff>
    </xdr:to>
    <xdr:sp macro="" textlink="">
      <xdr:nvSpPr>
        <xdr:cNvPr id="918" name="Arrow: Down 917">
          <a:extLst>
            <a:ext uri="{FF2B5EF4-FFF2-40B4-BE49-F238E27FC236}">
              <a16:creationId xmlns:a16="http://schemas.microsoft.com/office/drawing/2014/main" id="{1FBFF47E-A03C-45D5-8619-A11F9706C666}"/>
            </a:ext>
          </a:extLst>
        </xdr:cNvPr>
        <xdr:cNvSpPr/>
      </xdr:nvSpPr>
      <xdr:spPr>
        <a:xfrm>
          <a:off x="8602980" y="23690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129</xdr:row>
      <xdr:rowOff>0</xdr:rowOff>
    </xdr:from>
    <xdr:to>
      <xdr:col>71</xdr:col>
      <xdr:colOff>83820</xdr:colOff>
      <xdr:row>129</xdr:row>
      <xdr:rowOff>114300</xdr:rowOff>
    </xdr:to>
    <xdr:sp macro="" textlink="">
      <xdr:nvSpPr>
        <xdr:cNvPr id="921" name="Arrow: Down 920">
          <a:extLst>
            <a:ext uri="{FF2B5EF4-FFF2-40B4-BE49-F238E27FC236}">
              <a16:creationId xmlns:a16="http://schemas.microsoft.com/office/drawing/2014/main" id="{EB90C529-CD58-4F3A-B8D6-8FE27AACE45D}"/>
            </a:ext>
          </a:extLst>
        </xdr:cNvPr>
        <xdr:cNvSpPr/>
      </xdr:nvSpPr>
      <xdr:spPr>
        <a:xfrm>
          <a:off x="17487900" y="2369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130</xdr:row>
      <xdr:rowOff>0</xdr:rowOff>
    </xdr:from>
    <xdr:to>
      <xdr:col>24</xdr:col>
      <xdr:colOff>83820</xdr:colOff>
      <xdr:row>130</xdr:row>
      <xdr:rowOff>114300</xdr:rowOff>
    </xdr:to>
    <xdr:sp macro="" textlink="">
      <xdr:nvSpPr>
        <xdr:cNvPr id="924" name="Arrow: Down 923">
          <a:extLst>
            <a:ext uri="{FF2B5EF4-FFF2-40B4-BE49-F238E27FC236}">
              <a16:creationId xmlns:a16="http://schemas.microsoft.com/office/drawing/2014/main" id="{D9F2C22D-95E7-47A6-BCB8-273002A35218}"/>
            </a:ext>
          </a:extLst>
        </xdr:cNvPr>
        <xdr:cNvSpPr/>
      </xdr:nvSpPr>
      <xdr:spPr>
        <a:xfrm>
          <a:off x="5440680" y="2369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130</xdr:row>
      <xdr:rowOff>0</xdr:rowOff>
    </xdr:from>
    <xdr:to>
      <xdr:col>39</xdr:col>
      <xdr:colOff>83820</xdr:colOff>
      <xdr:row>130</xdr:row>
      <xdr:rowOff>114300</xdr:rowOff>
    </xdr:to>
    <xdr:sp macro="" textlink="">
      <xdr:nvSpPr>
        <xdr:cNvPr id="928" name="Arrow: Down 927">
          <a:extLst>
            <a:ext uri="{FF2B5EF4-FFF2-40B4-BE49-F238E27FC236}">
              <a16:creationId xmlns:a16="http://schemas.microsoft.com/office/drawing/2014/main" id="{9372AF9E-77CB-410E-A718-51964206B366}"/>
            </a:ext>
          </a:extLst>
        </xdr:cNvPr>
        <xdr:cNvSpPr/>
      </xdr:nvSpPr>
      <xdr:spPr>
        <a:xfrm>
          <a:off x="8602980" y="23690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130</xdr:row>
      <xdr:rowOff>0</xdr:rowOff>
    </xdr:from>
    <xdr:to>
      <xdr:col>5</xdr:col>
      <xdr:colOff>83820</xdr:colOff>
      <xdr:row>130</xdr:row>
      <xdr:rowOff>114300</xdr:rowOff>
    </xdr:to>
    <xdr:sp macro="" textlink="">
      <xdr:nvSpPr>
        <xdr:cNvPr id="930" name="Arrow: Down 929">
          <a:extLst>
            <a:ext uri="{FF2B5EF4-FFF2-40B4-BE49-F238E27FC236}">
              <a16:creationId xmlns:a16="http://schemas.microsoft.com/office/drawing/2014/main" id="{75AA1546-5881-4323-9FAD-5BCBFE87C174}"/>
            </a:ext>
          </a:extLst>
        </xdr:cNvPr>
        <xdr:cNvSpPr/>
      </xdr:nvSpPr>
      <xdr:spPr>
        <a:xfrm rot="10800000">
          <a:off x="192786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130</xdr:row>
      <xdr:rowOff>0</xdr:rowOff>
    </xdr:from>
    <xdr:to>
      <xdr:col>11</xdr:col>
      <xdr:colOff>83820</xdr:colOff>
      <xdr:row>130</xdr:row>
      <xdr:rowOff>114300</xdr:rowOff>
    </xdr:to>
    <xdr:sp macro="" textlink="">
      <xdr:nvSpPr>
        <xdr:cNvPr id="931" name="Arrow: Down 930">
          <a:extLst>
            <a:ext uri="{FF2B5EF4-FFF2-40B4-BE49-F238E27FC236}">
              <a16:creationId xmlns:a16="http://schemas.microsoft.com/office/drawing/2014/main" id="{BACA3A1A-7C48-4BC6-BE79-B1D0ED4A55DA}"/>
            </a:ext>
          </a:extLst>
        </xdr:cNvPr>
        <xdr:cNvSpPr/>
      </xdr:nvSpPr>
      <xdr:spPr>
        <a:xfrm rot="10800000">
          <a:off x="361950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130</xdr:row>
      <xdr:rowOff>0</xdr:rowOff>
    </xdr:from>
    <xdr:to>
      <xdr:col>45</xdr:col>
      <xdr:colOff>83820</xdr:colOff>
      <xdr:row>130</xdr:row>
      <xdr:rowOff>114300</xdr:rowOff>
    </xdr:to>
    <xdr:sp macro="" textlink="">
      <xdr:nvSpPr>
        <xdr:cNvPr id="933" name="Arrow: Down 932">
          <a:extLst>
            <a:ext uri="{FF2B5EF4-FFF2-40B4-BE49-F238E27FC236}">
              <a16:creationId xmlns:a16="http://schemas.microsoft.com/office/drawing/2014/main" id="{E6AEF336-24C1-4AA0-A5C7-51D2FFD202B5}"/>
            </a:ext>
          </a:extLst>
        </xdr:cNvPr>
        <xdr:cNvSpPr/>
      </xdr:nvSpPr>
      <xdr:spPr>
        <a:xfrm>
          <a:off x="1040892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130</xdr:row>
      <xdr:rowOff>0</xdr:rowOff>
    </xdr:from>
    <xdr:to>
      <xdr:col>60</xdr:col>
      <xdr:colOff>83820</xdr:colOff>
      <xdr:row>130</xdr:row>
      <xdr:rowOff>114300</xdr:rowOff>
    </xdr:to>
    <xdr:sp macro="" textlink="">
      <xdr:nvSpPr>
        <xdr:cNvPr id="934" name="Arrow: Down 933">
          <a:extLst>
            <a:ext uri="{FF2B5EF4-FFF2-40B4-BE49-F238E27FC236}">
              <a16:creationId xmlns:a16="http://schemas.microsoft.com/office/drawing/2014/main" id="{1CF70B28-5AA4-4CD2-A8ED-CF639F6D5DC1}"/>
            </a:ext>
          </a:extLst>
        </xdr:cNvPr>
        <xdr:cNvSpPr/>
      </xdr:nvSpPr>
      <xdr:spPr>
        <a:xfrm rot="10800000">
          <a:off x="1517142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130</xdr:row>
      <xdr:rowOff>0</xdr:rowOff>
    </xdr:from>
    <xdr:to>
      <xdr:col>71</xdr:col>
      <xdr:colOff>83820</xdr:colOff>
      <xdr:row>130</xdr:row>
      <xdr:rowOff>114300</xdr:rowOff>
    </xdr:to>
    <xdr:sp macro="" textlink="">
      <xdr:nvSpPr>
        <xdr:cNvPr id="935" name="Arrow: Down 934">
          <a:extLst>
            <a:ext uri="{FF2B5EF4-FFF2-40B4-BE49-F238E27FC236}">
              <a16:creationId xmlns:a16="http://schemas.microsoft.com/office/drawing/2014/main" id="{6C80AC34-BF52-4C27-9279-8DBB17CA9956}"/>
            </a:ext>
          </a:extLst>
        </xdr:cNvPr>
        <xdr:cNvSpPr/>
      </xdr:nvSpPr>
      <xdr:spPr>
        <a:xfrm rot="10800000">
          <a:off x="1748790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131</xdr:row>
      <xdr:rowOff>0</xdr:rowOff>
    </xdr:from>
    <xdr:to>
      <xdr:col>71</xdr:col>
      <xdr:colOff>83820</xdr:colOff>
      <xdr:row>131</xdr:row>
      <xdr:rowOff>114300</xdr:rowOff>
    </xdr:to>
    <xdr:sp macro="" textlink="">
      <xdr:nvSpPr>
        <xdr:cNvPr id="942" name="Arrow: Down 941">
          <a:extLst>
            <a:ext uri="{FF2B5EF4-FFF2-40B4-BE49-F238E27FC236}">
              <a16:creationId xmlns:a16="http://schemas.microsoft.com/office/drawing/2014/main" id="{F5C4C3CB-9F9E-4FC2-892F-35F5757D4CB3}"/>
            </a:ext>
          </a:extLst>
        </xdr:cNvPr>
        <xdr:cNvSpPr/>
      </xdr:nvSpPr>
      <xdr:spPr>
        <a:xfrm rot="10800000">
          <a:off x="1748790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131</xdr:row>
      <xdr:rowOff>0</xdr:rowOff>
    </xdr:from>
    <xdr:to>
      <xdr:col>5</xdr:col>
      <xdr:colOff>83820</xdr:colOff>
      <xdr:row>131</xdr:row>
      <xdr:rowOff>114300</xdr:rowOff>
    </xdr:to>
    <xdr:sp macro="" textlink="">
      <xdr:nvSpPr>
        <xdr:cNvPr id="943" name="Arrow: Down 942">
          <a:extLst>
            <a:ext uri="{FF2B5EF4-FFF2-40B4-BE49-F238E27FC236}">
              <a16:creationId xmlns:a16="http://schemas.microsoft.com/office/drawing/2014/main" id="{82C5EB71-1365-4F55-BA63-0F332B13F025}"/>
            </a:ext>
          </a:extLst>
        </xdr:cNvPr>
        <xdr:cNvSpPr/>
      </xdr:nvSpPr>
      <xdr:spPr>
        <a:xfrm>
          <a:off x="1927860" y="240563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131</xdr:row>
      <xdr:rowOff>0</xdr:rowOff>
    </xdr:from>
    <xdr:to>
      <xdr:col>11</xdr:col>
      <xdr:colOff>83820</xdr:colOff>
      <xdr:row>131</xdr:row>
      <xdr:rowOff>114300</xdr:rowOff>
    </xdr:to>
    <xdr:sp macro="" textlink="">
      <xdr:nvSpPr>
        <xdr:cNvPr id="945" name="Arrow: Down 944">
          <a:extLst>
            <a:ext uri="{FF2B5EF4-FFF2-40B4-BE49-F238E27FC236}">
              <a16:creationId xmlns:a16="http://schemas.microsoft.com/office/drawing/2014/main" id="{798A4C7C-B34F-41B8-8F87-A6501E65B955}"/>
            </a:ext>
          </a:extLst>
        </xdr:cNvPr>
        <xdr:cNvSpPr/>
      </xdr:nvSpPr>
      <xdr:spPr>
        <a:xfrm>
          <a:off x="3619500" y="240563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131</xdr:row>
      <xdr:rowOff>0</xdr:rowOff>
    </xdr:from>
    <xdr:to>
      <xdr:col>24</xdr:col>
      <xdr:colOff>83820</xdr:colOff>
      <xdr:row>131</xdr:row>
      <xdr:rowOff>114300</xdr:rowOff>
    </xdr:to>
    <xdr:sp macro="" textlink="">
      <xdr:nvSpPr>
        <xdr:cNvPr id="947" name="Arrow: Down 946">
          <a:extLst>
            <a:ext uri="{FF2B5EF4-FFF2-40B4-BE49-F238E27FC236}">
              <a16:creationId xmlns:a16="http://schemas.microsoft.com/office/drawing/2014/main" id="{BA3E8431-5EFE-4B64-95A2-E998E7286716}"/>
            </a:ext>
          </a:extLst>
        </xdr:cNvPr>
        <xdr:cNvSpPr/>
      </xdr:nvSpPr>
      <xdr:spPr>
        <a:xfrm rot="10800000">
          <a:off x="5440680" y="2405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131</xdr:row>
      <xdr:rowOff>0</xdr:rowOff>
    </xdr:from>
    <xdr:to>
      <xdr:col>39</xdr:col>
      <xdr:colOff>83820</xdr:colOff>
      <xdr:row>131</xdr:row>
      <xdr:rowOff>114300</xdr:rowOff>
    </xdr:to>
    <xdr:sp macro="" textlink="">
      <xdr:nvSpPr>
        <xdr:cNvPr id="949" name="Arrow: Down 948">
          <a:extLst>
            <a:ext uri="{FF2B5EF4-FFF2-40B4-BE49-F238E27FC236}">
              <a16:creationId xmlns:a16="http://schemas.microsoft.com/office/drawing/2014/main" id="{8F134282-D617-4337-AB6C-21FC0E18AEAE}"/>
            </a:ext>
          </a:extLst>
        </xdr:cNvPr>
        <xdr:cNvSpPr/>
      </xdr:nvSpPr>
      <xdr:spPr>
        <a:xfrm rot="10800000">
          <a:off x="860298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131</xdr:row>
      <xdr:rowOff>0</xdr:rowOff>
    </xdr:from>
    <xdr:to>
      <xdr:col>45</xdr:col>
      <xdr:colOff>83820</xdr:colOff>
      <xdr:row>131</xdr:row>
      <xdr:rowOff>114300</xdr:rowOff>
    </xdr:to>
    <xdr:sp macro="" textlink="">
      <xdr:nvSpPr>
        <xdr:cNvPr id="950" name="Arrow: Down 949">
          <a:extLst>
            <a:ext uri="{FF2B5EF4-FFF2-40B4-BE49-F238E27FC236}">
              <a16:creationId xmlns:a16="http://schemas.microsoft.com/office/drawing/2014/main" id="{FB79ED6E-C590-4226-8F0F-50ED2C639565}"/>
            </a:ext>
          </a:extLst>
        </xdr:cNvPr>
        <xdr:cNvSpPr/>
      </xdr:nvSpPr>
      <xdr:spPr>
        <a:xfrm rot="10800000">
          <a:off x="1040892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131</xdr:row>
      <xdr:rowOff>0</xdr:rowOff>
    </xdr:from>
    <xdr:to>
      <xdr:col>60</xdr:col>
      <xdr:colOff>83820</xdr:colOff>
      <xdr:row>131</xdr:row>
      <xdr:rowOff>114300</xdr:rowOff>
    </xdr:to>
    <xdr:sp macro="" textlink="">
      <xdr:nvSpPr>
        <xdr:cNvPr id="951" name="Arrow: Down 950">
          <a:extLst>
            <a:ext uri="{FF2B5EF4-FFF2-40B4-BE49-F238E27FC236}">
              <a16:creationId xmlns:a16="http://schemas.microsoft.com/office/drawing/2014/main" id="{F644306C-A8ED-4422-9BA1-CD315F959042}"/>
            </a:ext>
          </a:extLst>
        </xdr:cNvPr>
        <xdr:cNvSpPr/>
      </xdr:nvSpPr>
      <xdr:spPr>
        <a:xfrm>
          <a:off x="1517142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132</xdr:row>
      <xdr:rowOff>0</xdr:rowOff>
    </xdr:from>
    <xdr:to>
      <xdr:col>71</xdr:col>
      <xdr:colOff>83820</xdr:colOff>
      <xdr:row>132</xdr:row>
      <xdr:rowOff>114300</xdr:rowOff>
    </xdr:to>
    <xdr:sp macro="" textlink="">
      <xdr:nvSpPr>
        <xdr:cNvPr id="905" name="Arrow: Down 904">
          <a:extLst>
            <a:ext uri="{FF2B5EF4-FFF2-40B4-BE49-F238E27FC236}">
              <a16:creationId xmlns:a16="http://schemas.microsoft.com/office/drawing/2014/main" id="{5BFF27EB-D88F-4441-AB7F-D310292F7004}"/>
            </a:ext>
          </a:extLst>
        </xdr:cNvPr>
        <xdr:cNvSpPr/>
      </xdr:nvSpPr>
      <xdr:spPr>
        <a:xfrm rot="10800000">
          <a:off x="17487900" y="2405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132</xdr:row>
      <xdr:rowOff>0</xdr:rowOff>
    </xdr:from>
    <xdr:to>
      <xdr:col>24</xdr:col>
      <xdr:colOff>83820</xdr:colOff>
      <xdr:row>132</xdr:row>
      <xdr:rowOff>114300</xdr:rowOff>
    </xdr:to>
    <xdr:sp macro="" textlink="">
      <xdr:nvSpPr>
        <xdr:cNvPr id="910" name="Arrow: Down 909">
          <a:extLst>
            <a:ext uri="{FF2B5EF4-FFF2-40B4-BE49-F238E27FC236}">
              <a16:creationId xmlns:a16="http://schemas.microsoft.com/office/drawing/2014/main" id="{B950D360-7AA3-4945-BF0F-2ED3D50A52BA}"/>
            </a:ext>
          </a:extLst>
        </xdr:cNvPr>
        <xdr:cNvSpPr/>
      </xdr:nvSpPr>
      <xdr:spPr>
        <a:xfrm rot="10800000">
          <a:off x="5440680" y="2405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132</xdr:row>
      <xdr:rowOff>0</xdr:rowOff>
    </xdr:from>
    <xdr:to>
      <xdr:col>45</xdr:col>
      <xdr:colOff>83820</xdr:colOff>
      <xdr:row>132</xdr:row>
      <xdr:rowOff>114300</xdr:rowOff>
    </xdr:to>
    <xdr:sp macro="" textlink="">
      <xdr:nvSpPr>
        <xdr:cNvPr id="914" name="Arrow: Down 913">
          <a:extLst>
            <a:ext uri="{FF2B5EF4-FFF2-40B4-BE49-F238E27FC236}">
              <a16:creationId xmlns:a16="http://schemas.microsoft.com/office/drawing/2014/main" id="{2F59DA43-F82C-4505-9493-B95008826986}"/>
            </a:ext>
          </a:extLst>
        </xdr:cNvPr>
        <xdr:cNvSpPr/>
      </xdr:nvSpPr>
      <xdr:spPr>
        <a:xfrm rot="10800000">
          <a:off x="1040892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132</xdr:row>
      <xdr:rowOff>0</xdr:rowOff>
    </xdr:from>
    <xdr:to>
      <xdr:col>5</xdr:col>
      <xdr:colOff>83820</xdr:colOff>
      <xdr:row>132</xdr:row>
      <xdr:rowOff>114300</xdr:rowOff>
    </xdr:to>
    <xdr:sp macro="" textlink="">
      <xdr:nvSpPr>
        <xdr:cNvPr id="920" name="Arrow: Down 919">
          <a:extLst>
            <a:ext uri="{FF2B5EF4-FFF2-40B4-BE49-F238E27FC236}">
              <a16:creationId xmlns:a16="http://schemas.microsoft.com/office/drawing/2014/main" id="{FC85FDAA-571D-4194-BC33-08EF7F974626}"/>
            </a:ext>
          </a:extLst>
        </xdr:cNvPr>
        <xdr:cNvSpPr/>
      </xdr:nvSpPr>
      <xdr:spPr>
        <a:xfrm rot="10800000">
          <a:off x="192786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132</xdr:row>
      <xdr:rowOff>0</xdr:rowOff>
    </xdr:from>
    <xdr:to>
      <xdr:col>11</xdr:col>
      <xdr:colOff>83820</xdr:colOff>
      <xdr:row>132</xdr:row>
      <xdr:rowOff>114300</xdr:rowOff>
    </xdr:to>
    <xdr:sp macro="" textlink="">
      <xdr:nvSpPr>
        <xdr:cNvPr id="922" name="Arrow: Down 921">
          <a:extLst>
            <a:ext uri="{FF2B5EF4-FFF2-40B4-BE49-F238E27FC236}">
              <a16:creationId xmlns:a16="http://schemas.microsoft.com/office/drawing/2014/main" id="{831C8D46-2878-4039-83E2-C2F0DCBAF177}"/>
            </a:ext>
          </a:extLst>
        </xdr:cNvPr>
        <xdr:cNvSpPr/>
      </xdr:nvSpPr>
      <xdr:spPr>
        <a:xfrm rot="10800000">
          <a:off x="361950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132</xdr:row>
      <xdr:rowOff>0</xdr:rowOff>
    </xdr:from>
    <xdr:to>
      <xdr:col>60</xdr:col>
      <xdr:colOff>83820</xdr:colOff>
      <xdr:row>132</xdr:row>
      <xdr:rowOff>114300</xdr:rowOff>
    </xdr:to>
    <xdr:sp macro="" textlink="">
      <xdr:nvSpPr>
        <xdr:cNvPr id="925" name="Arrow: Down 924">
          <a:extLst>
            <a:ext uri="{FF2B5EF4-FFF2-40B4-BE49-F238E27FC236}">
              <a16:creationId xmlns:a16="http://schemas.microsoft.com/office/drawing/2014/main" id="{C422C019-AE84-4DF7-92ED-5752E66A7851}"/>
            </a:ext>
          </a:extLst>
        </xdr:cNvPr>
        <xdr:cNvSpPr/>
      </xdr:nvSpPr>
      <xdr:spPr>
        <a:xfrm rot="10800000">
          <a:off x="1517142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133</xdr:row>
      <xdr:rowOff>0</xdr:rowOff>
    </xdr:from>
    <xdr:to>
      <xdr:col>71</xdr:col>
      <xdr:colOff>83820</xdr:colOff>
      <xdr:row>133</xdr:row>
      <xdr:rowOff>114300</xdr:rowOff>
    </xdr:to>
    <xdr:sp macro="" textlink="">
      <xdr:nvSpPr>
        <xdr:cNvPr id="926" name="Arrow: Down 925">
          <a:extLst>
            <a:ext uri="{FF2B5EF4-FFF2-40B4-BE49-F238E27FC236}">
              <a16:creationId xmlns:a16="http://schemas.microsoft.com/office/drawing/2014/main" id="{2D5C0CBC-0566-400B-B683-3D54C6126459}"/>
            </a:ext>
          </a:extLst>
        </xdr:cNvPr>
        <xdr:cNvSpPr/>
      </xdr:nvSpPr>
      <xdr:spPr>
        <a:xfrm rot="10800000">
          <a:off x="1748790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133</xdr:row>
      <xdr:rowOff>0</xdr:rowOff>
    </xdr:from>
    <xdr:to>
      <xdr:col>24</xdr:col>
      <xdr:colOff>83820</xdr:colOff>
      <xdr:row>133</xdr:row>
      <xdr:rowOff>114300</xdr:rowOff>
    </xdr:to>
    <xdr:sp macro="" textlink="">
      <xdr:nvSpPr>
        <xdr:cNvPr id="927" name="Arrow: Down 926">
          <a:extLst>
            <a:ext uri="{FF2B5EF4-FFF2-40B4-BE49-F238E27FC236}">
              <a16:creationId xmlns:a16="http://schemas.microsoft.com/office/drawing/2014/main" id="{F973CDAE-E223-4291-B6B6-EDD891CD0F49}"/>
            </a:ext>
          </a:extLst>
        </xdr:cNvPr>
        <xdr:cNvSpPr/>
      </xdr:nvSpPr>
      <xdr:spPr>
        <a:xfrm rot="10800000">
          <a:off x="544068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133</xdr:row>
      <xdr:rowOff>0</xdr:rowOff>
    </xdr:from>
    <xdr:to>
      <xdr:col>45</xdr:col>
      <xdr:colOff>83820</xdr:colOff>
      <xdr:row>133</xdr:row>
      <xdr:rowOff>114300</xdr:rowOff>
    </xdr:to>
    <xdr:sp macro="" textlink="">
      <xdr:nvSpPr>
        <xdr:cNvPr id="929" name="Arrow: Down 928">
          <a:extLst>
            <a:ext uri="{FF2B5EF4-FFF2-40B4-BE49-F238E27FC236}">
              <a16:creationId xmlns:a16="http://schemas.microsoft.com/office/drawing/2014/main" id="{AEB2F782-9419-45F5-9A27-2042E1202678}"/>
            </a:ext>
          </a:extLst>
        </xdr:cNvPr>
        <xdr:cNvSpPr/>
      </xdr:nvSpPr>
      <xdr:spPr>
        <a:xfrm rot="10800000">
          <a:off x="10408920" y="24239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133</xdr:row>
      <xdr:rowOff>0</xdr:rowOff>
    </xdr:from>
    <xdr:to>
      <xdr:col>5</xdr:col>
      <xdr:colOff>83820</xdr:colOff>
      <xdr:row>133</xdr:row>
      <xdr:rowOff>114300</xdr:rowOff>
    </xdr:to>
    <xdr:sp macro="" textlink="">
      <xdr:nvSpPr>
        <xdr:cNvPr id="932" name="Arrow: Down 931">
          <a:extLst>
            <a:ext uri="{FF2B5EF4-FFF2-40B4-BE49-F238E27FC236}">
              <a16:creationId xmlns:a16="http://schemas.microsoft.com/office/drawing/2014/main" id="{26848534-4843-481B-B175-2D2F791F4A2B}"/>
            </a:ext>
          </a:extLst>
        </xdr:cNvPr>
        <xdr:cNvSpPr/>
      </xdr:nvSpPr>
      <xdr:spPr>
        <a:xfrm rot="10800000">
          <a:off x="192786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133</xdr:row>
      <xdr:rowOff>0</xdr:rowOff>
    </xdr:from>
    <xdr:to>
      <xdr:col>11</xdr:col>
      <xdr:colOff>83820</xdr:colOff>
      <xdr:row>133</xdr:row>
      <xdr:rowOff>114300</xdr:rowOff>
    </xdr:to>
    <xdr:sp macro="" textlink="">
      <xdr:nvSpPr>
        <xdr:cNvPr id="936" name="Arrow: Down 935">
          <a:extLst>
            <a:ext uri="{FF2B5EF4-FFF2-40B4-BE49-F238E27FC236}">
              <a16:creationId xmlns:a16="http://schemas.microsoft.com/office/drawing/2014/main" id="{A86F3D38-EEAE-478D-A713-A64972E3EBDF}"/>
            </a:ext>
          </a:extLst>
        </xdr:cNvPr>
        <xdr:cNvSpPr/>
      </xdr:nvSpPr>
      <xdr:spPr>
        <a:xfrm rot="10800000">
          <a:off x="361950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133</xdr:row>
      <xdr:rowOff>0</xdr:rowOff>
    </xdr:from>
    <xdr:to>
      <xdr:col>39</xdr:col>
      <xdr:colOff>83820</xdr:colOff>
      <xdr:row>133</xdr:row>
      <xdr:rowOff>114300</xdr:rowOff>
    </xdr:to>
    <xdr:sp macro="" textlink="">
      <xdr:nvSpPr>
        <xdr:cNvPr id="884" name="Arrow: Down 883">
          <a:extLst>
            <a:ext uri="{FF2B5EF4-FFF2-40B4-BE49-F238E27FC236}">
              <a16:creationId xmlns:a16="http://schemas.microsoft.com/office/drawing/2014/main" id="{C105BF7C-3670-4234-80EF-F560379D0776}"/>
            </a:ext>
          </a:extLst>
        </xdr:cNvPr>
        <xdr:cNvSpPr/>
      </xdr:nvSpPr>
      <xdr:spPr>
        <a:xfrm rot="10800000">
          <a:off x="8602980" y="24422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134</xdr:row>
      <xdr:rowOff>0</xdr:rowOff>
    </xdr:from>
    <xdr:to>
      <xdr:col>71</xdr:col>
      <xdr:colOff>83820</xdr:colOff>
      <xdr:row>134</xdr:row>
      <xdr:rowOff>114300</xdr:rowOff>
    </xdr:to>
    <xdr:sp macro="" textlink="">
      <xdr:nvSpPr>
        <xdr:cNvPr id="896" name="Arrow: Down 895">
          <a:extLst>
            <a:ext uri="{FF2B5EF4-FFF2-40B4-BE49-F238E27FC236}">
              <a16:creationId xmlns:a16="http://schemas.microsoft.com/office/drawing/2014/main" id="{3FEAB35D-4BA1-48B4-898C-8F9A35E00146}"/>
            </a:ext>
          </a:extLst>
        </xdr:cNvPr>
        <xdr:cNvSpPr/>
      </xdr:nvSpPr>
      <xdr:spPr>
        <a:xfrm rot="10800000">
          <a:off x="17487900" y="24422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134</xdr:row>
      <xdr:rowOff>0</xdr:rowOff>
    </xdr:from>
    <xdr:to>
      <xdr:col>45</xdr:col>
      <xdr:colOff>83820</xdr:colOff>
      <xdr:row>134</xdr:row>
      <xdr:rowOff>114300</xdr:rowOff>
    </xdr:to>
    <xdr:sp macro="" textlink="">
      <xdr:nvSpPr>
        <xdr:cNvPr id="901" name="Arrow: Down 900">
          <a:extLst>
            <a:ext uri="{FF2B5EF4-FFF2-40B4-BE49-F238E27FC236}">
              <a16:creationId xmlns:a16="http://schemas.microsoft.com/office/drawing/2014/main" id="{5A44782A-26AA-4E4A-BEB6-1BEA584BFB63}"/>
            </a:ext>
          </a:extLst>
        </xdr:cNvPr>
        <xdr:cNvSpPr/>
      </xdr:nvSpPr>
      <xdr:spPr>
        <a:xfrm rot="10800000">
          <a:off x="10408920" y="24422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133</xdr:row>
      <xdr:rowOff>0</xdr:rowOff>
    </xdr:from>
    <xdr:to>
      <xdr:col>60</xdr:col>
      <xdr:colOff>83820</xdr:colOff>
      <xdr:row>133</xdr:row>
      <xdr:rowOff>114300</xdr:rowOff>
    </xdr:to>
    <xdr:sp macro="" textlink="">
      <xdr:nvSpPr>
        <xdr:cNvPr id="911" name="Arrow: Down 910">
          <a:extLst>
            <a:ext uri="{FF2B5EF4-FFF2-40B4-BE49-F238E27FC236}">
              <a16:creationId xmlns:a16="http://schemas.microsoft.com/office/drawing/2014/main" id="{4561E233-4C88-4647-8289-DE3F51B3DE5D}"/>
            </a:ext>
          </a:extLst>
        </xdr:cNvPr>
        <xdr:cNvSpPr/>
      </xdr:nvSpPr>
      <xdr:spPr>
        <a:xfrm>
          <a:off x="15171420" y="24422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134</xdr:row>
      <xdr:rowOff>0</xdr:rowOff>
    </xdr:from>
    <xdr:to>
      <xdr:col>60</xdr:col>
      <xdr:colOff>83820</xdr:colOff>
      <xdr:row>134</xdr:row>
      <xdr:rowOff>114300</xdr:rowOff>
    </xdr:to>
    <xdr:sp macro="" textlink="">
      <xdr:nvSpPr>
        <xdr:cNvPr id="919" name="Arrow: Down 918">
          <a:extLst>
            <a:ext uri="{FF2B5EF4-FFF2-40B4-BE49-F238E27FC236}">
              <a16:creationId xmlns:a16="http://schemas.microsoft.com/office/drawing/2014/main" id="{0D40452A-0C40-421C-8DE3-44FC12982A5D}"/>
            </a:ext>
          </a:extLst>
        </xdr:cNvPr>
        <xdr:cNvSpPr/>
      </xdr:nvSpPr>
      <xdr:spPr>
        <a:xfrm>
          <a:off x="1517142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134</xdr:row>
      <xdr:rowOff>0</xdr:rowOff>
    </xdr:from>
    <xdr:to>
      <xdr:col>24</xdr:col>
      <xdr:colOff>83820</xdr:colOff>
      <xdr:row>134</xdr:row>
      <xdr:rowOff>114300</xdr:rowOff>
    </xdr:to>
    <xdr:sp macro="" textlink="">
      <xdr:nvSpPr>
        <xdr:cNvPr id="938" name="Arrow: Down 937">
          <a:extLst>
            <a:ext uri="{FF2B5EF4-FFF2-40B4-BE49-F238E27FC236}">
              <a16:creationId xmlns:a16="http://schemas.microsoft.com/office/drawing/2014/main" id="{A9F281D0-5162-4661-8F92-F6A2AA509EFB}"/>
            </a:ext>
          </a:extLst>
        </xdr:cNvPr>
        <xdr:cNvSpPr/>
      </xdr:nvSpPr>
      <xdr:spPr>
        <a:xfrm>
          <a:off x="544068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132</xdr:row>
      <xdr:rowOff>0</xdr:rowOff>
    </xdr:from>
    <xdr:to>
      <xdr:col>39</xdr:col>
      <xdr:colOff>83820</xdr:colOff>
      <xdr:row>132</xdr:row>
      <xdr:rowOff>114300</xdr:rowOff>
    </xdr:to>
    <xdr:sp macro="" textlink="">
      <xdr:nvSpPr>
        <xdr:cNvPr id="939" name="Arrow: Down 938">
          <a:extLst>
            <a:ext uri="{FF2B5EF4-FFF2-40B4-BE49-F238E27FC236}">
              <a16:creationId xmlns:a16="http://schemas.microsoft.com/office/drawing/2014/main" id="{E122B298-BA72-4583-8366-955CC0905BAD}"/>
            </a:ext>
          </a:extLst>
        </xdr:cNvPr>
        <xdr:cNvSpPr/>
      </xdr:nvSpPr>
      <xdr:spPr>
        <a:xfrm>
          <a:off x="860298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134</xdr:row>
      <xdr:rowOff>0</xdr:rowOff>
    </xdr:from>
    <xdr:to>
      <xdr:col>39</xdr:col>
      <xdr:colOff>83820</xdr:colOff>
      <xdr:row>134</xdr:row>
      <xdr:rowOff>114300</xdr:rowOff>
    </xdr:to>
    <xdr:sp macro="" textlink="">
      <xdr:nvSpPr>
        <xdr:cNvPr id="940" name="Arrow: Down 939">
          <a:extLst>
            <a:ext uri="{FF2B5EF4-FFF2-40B4-BE49-F238E27FC236}">
              <a16:creationId xmlns:a16="http://schemas.microsoft.com/office/drawing/2014/main" id="{6167F5C5-9CBB-409D-BF9E-2CB0388F49F8}"/>
            </a:ext>
          </a:extLst>
        </xdr:cNvPr>
        <xdr:cNvSpPr/>
      </xdr:nvSpPr>
      <xdr:spPr>
        <a:xfrm>
          <a:off x="8602980" y="24604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134</xdr:row>
      <xdr:rowOff>0</xdr:rowOff>
    </xdr:from>
    <xdr:to>
      <xdr:col>5</xdr:col>
      <xdr:colOff>83820</xdr:colOff>
      <xdr:row>134</xdr:row>
      <xdr:rowOff>114300</xdr:rowOff>
    </xdr:to>
    <xdr:sp macro="" textlink="">
      <xdr:nvSpPr>
        <xdr:cNvPr id="941" name="Arrow: Down 940">
          <a:extLst>
            <a:ext uri="{FF2B5EF4-FFF2-40B4-BE49-F238E27FC236}">
              <a16:creationId xmlns:a16="http://schemas.microsoft.com/office/drawing/2014/main" id="{7861C316-60C3-4B38-A575-D7F3BB145450}"/>
            </a:ext>
          </a:extLst>
        </xdr:cNvPr>
        <xdr:cNvSpPr/>
      </xdr:nvSpPr>
      <xdr:spPr>
        <a:xfrm>
          <a:off x="1927860" y="246049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134</xdr:row>
      <xdr:rowOff>0</xdr:rowOff>
    </xdr:from>
    <xdr:to>
      <xdr:col>11</xdr:col>
      <xdr:colOff>83820</xdr:colOff>
      <xdr:row>134</xdr:row>
      <xdr:rowOff>114300</xdr:rowOff>
    </xdr:to>
    <xdr:sp macro="" textlink="">
      <xdr:nvSpPr>
        <xdr:cNvPr id="944" name="Arrow: Down 943">
          <a:extLst>
            <a:ext uri="{FF2B5EF4-FFF2-40B4-BE49-F238E27FC236}">
              <a16:creationId xmlns:a16="http://schemas.microsoft.com/office/drawing/2014/main" id="{A77CD41D-4FB6-481C-B650-731F3F9EB8F2}"/>
            </a:ext>
          </a:extLst>
        </xdr:cNvPr>
        <xdr:cNvSpPr/>
      </xdr:nvSpPr>
      <xdr:spPr>
        <a:xfrm>
          <a:off x="3619500" y="246049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135</xdr:row>
      <xdr:rowOff>0</xdr:rowOff>
    </xdr:from>
    <xdr:to>
      <xdr:col>71</xdr:col>
      <xdr:colOff>83820</xdr:colOff>
      <xdr:row>135</xdr:row>
      <xdr:rowOff>114300</xdr:rowOff>
    </xdr:to>
    <xdr:sp macro="" textlink="">
      <xdr:nvSpPr>
        <xdr:cNvPr id="897" name="Arrow: Down 896">
          <a:extLst>
            <a:ext uri="{FF2B5EF4-FFF2-40B4-BE49-F238E27FC236}">
              <a16:creationId xmlns:a16="http://schemas.microsoft.com/office/drawing/2014/main" id="{E5E7277F-0F90-43CF-9C52-B082572DA1AE}"/>
            </a:ext>
          </a:extLst>
        </xdr:cNvPr>
        <xdr:cNvSpPr/>
      </xdr:nvSpPr>
      <xdr:spPr>
        <a:xfrm rot="10800000">
          <a:off x="17487900" y="24604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135</xdr:row>
      <xdr:rowOff>0</xdr:rowOff>
    </xdr:from>
    <xdr:to>
      <xdr:col>45</xdr:col>
      <xdr:colOff>83820</xdr:colOff>
      <xdr:row>135</xdr:row>
      <xdr:rowOff>114300</xdr:rowOff>
    </xdr:to>
    <xdr:sp macro="" textlink="">
      <xdr:nvSpPr>
        <xdr:cNvPr id="899" name="Arrow: Down 898">
          <a:extLst>
            <a:ext uri="{FF2B5EF4-FFF2-40B4-BE49-F238E27FC236}">
              <a16:creationId xmlns:a16="http://schemas.microsoft.com/office/drawing/2014/main" id="{6225F419-F9A3-4AB7-8C5B-68E3C8CA7EA6}"/>
            </a:ext>
          </a:extLst>
        </xdr:cNvPr>
        <xdr:cNvSpPr/>
      </xdr:nvSpPr>
      <xdr:spPr>
        <a:xfrm rot="10800000">
          <a:off x="1040892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135</xdr:row>
      <xdr:rowOff>0</xdr:rowOff>
    </xdr:from>
    <xdr:to>
      <xdr:col>60</xdr:col>
      <xdr:colOff>83820</xdr:colOff>
      <xdr:row>135</xdr:row>
      <xdr:rowOff>114300</xdr:rowOff>
    </xdr:to>
    <xdr:sp macro="" textlink="">
      <xdr:nvSpPr>
        <xdr:cNvPr id="903" name="Arrow: Down 902">
          <a:extLst>
            <a:ext uri="{FF2B5EF4-FFF2-40B4-BE49-F238E27FC236}">
              <a16:creationId xmlns:a16="http://schemas.microsoft.com/office/drawing/2014/main" id="{2ACE09DD-A193-4CFD-97BC-143C4EA6FF27}"/>
            </a:ext>
          </a:extLst>
        </xdr:cNvPr>
        <xdr:cNvSpPr/>
      </xdr:nvSpPr>
      <xdr:spPr>
        <a:xfrm>
          <a:off x="1517142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135</xdr:row>
      <xdr:rowOff>0</xdr:rowOff>
    </xdr:from>
    <xdr:to>
      <xdr:col>24</xdr:col>
      <xdr:colOff>83820</xdr:colOff>
      <xdr:row>135</xdr:row>
      <xdr:rowOff>114300</xdr:rowOff>
    </xdr:to>
    <xdr:sp macro="" textlink="">
      <xdr:nvSpPr>
        <xdr:cNvPr id="904" name="Arrow: Down 903">
          <a:extLst>
            <a:ext uri="{FF2B5EF4-FFF2-40B4-BE49-F238E27FC236}">
              <a16:creationId xmlns:a16="http://schemas.microsoft.com/office/drawing/2014/main" id="{489EA61F-271C-404D-8A96-893EB033F564}"/>
            </a:ext>
          </a:extLst>
        </xdr:cNvPr>
        <xdr:cNvSpPr/>
      </xdr:nvSpPr>
      <xdr:spPr>
        <a:xfrm>
          <a:off x="544068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135</xdr:row>
      <xdr:rowOff>0</xdr:rowOff>
    </xdr:from>
    <xdr:to>
      <xdr:col>39</xdr:col>
      <xdr:colOff>83820</xdr:colOff>
      <xdr:row>135</xdr:row>
      <xdr:rowOff>114300</xdr:rowOff>
    </xdr:to>
    <xdr:sp macro="" textlink="">
      <xdr:nvSpPr>
        <xdr:cNvPr id="923" name="Arrow: Down 922">
          <a:extLst>
            <a:ext uri="{FF2B5EF4-FFF2-40B4-BE49-F238E27FC236}">
              <a16:creationId xmlns:a16="http://schemas.microsoft.com/office/drawing/2014/main" id="{D39132F5-39D1-4161-874C-D16D78C88F81}"/>
            </a:ext>
          </a:extLst>
        </xdr:cNvPr>
        <xdr:cNvSpPr/>
      </xdr:nvSpPr>
      <xdr:spPr>
        <a:xfrm rot="10800000">
          <a:off x="8602980" y="2478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135</xdr:row>
      <xdr:rowOff>0</xdr:rowOff>
    </xdr:from>
    <xdr:to>
      <xdr:col>5</xdr:col>
      <xdr:colOff>83820</xdr:colOff>
      <xdr:row>135</xdr:row>
      <xdr:rowOff>114300</xdr:rowOff>
    </xdr:to>
    <xdr:sp macro="" textlink="">
      <xdr:nvSpPr>
        <xdr:cNvPr id="937" name="Arrow: Down 936">
          <a:extLst>
            <a:ext uri="{FF2B5EF4-FFF2-40B4-BE49-F238E27FC236}">
              <a16:creationId xmlns:a16="http://schemas.microsoft.com/office/drawing/2014/main" id="{FA5E8A1B-FF56-4C2C-B6EC-08DC4EFE5767}"/>
            </a:ext>
          </a:extLst>
        </xdr:cNvPr>
        <xdr:cNvSpPr/>
      </xdr:nvSpPr>
      <xdr:spPr>
        <a:xfrm rot="10800000">
          <a:off x="1927860" y="2478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135</xdr:row>
      <xdr:rowOff>0</xdr:rowOff>
    </xdr:from>
    <xdr:to>
      <xdr:col>11</xdr:col>
      <xdr:colOff>83820</xdr:colOff>
      <xdr:row>135</xdr:row>
      <xdr:rowOff>114300</xdr:rowOff>
    </xdr:to>
    <xdr:sp macro="" textlink="">
      <xdr:nvSpPr>
        <xdr:cNvPr id="948" name="Arrow: Down 947">
          <a:extLst>
            <a:ext uri="{FF2B5EF4-FFF2-40B4-BE49-F238E27FC236}">
              <a16:creationId xmlns:a16="http://schemas.microsoft.com/office/drawing/2014/main" id="{07726441-2854-4651-9128-D309E27B5488}"/>
            </a:ext>
          </a:extLst>
        </xdr:cNvPr>
        <xdr:cNvSpPr/>
      </xdr:nvSpPr>
      <xdr:spPr>
        <a:xfrm rot="10800000">
          <a:off x="3619500" y="2478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136</xdr:row>
      <xdr:rowOff>0</xdr:rowOff>
    </xdr:from>
    <xdr:to>
      <xdr:col>71</xdr:col>
      <xdr:colOff>83820</xdr:colOff>
      <xdr:row>136</xdr:row>
      <xdr:rowOff>114300</xdr:rowOff>
    </xdr:to>
    <xdr:sp macro="" textlink="">
      <xdr:nvSpPr>
        <xdr:cNvPr id="952" name="Arrow: Down 951">
          <a:extLst>
            <a:ext uri="{FF2B5EF4-FFF2-40B4-BE49-F238E27FC236}">
              <a16:creationId xmlns:a16="http://schemas.microsoft.com/office/drawing/2014/main" id="{6297BF48-7D58-4497-95CE-2B22157D064B}"/>
            </a:ext>
          </a:extLst>
        </xdr:cNvPr>
        <xdr:cNvSpPr/>
      </xdr:nvSpPr>
      <xdr:spPr>
        <a:xfrm rot="10800000">
          <a:off x="17487900" y="2478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136</xdr:row>
      <xdr:rowOff>0</xdr:rowOff>
    </xdr:from>
    <xdr:to>
      <xdr:col>45</xdr:col>
      <xdr:colOff>83820</xdr:colOff>
      <xdr:row>136</xdr:row>
      <xdr:rowOff>114300</xdr:rowOff>
    </xdr:to>
    <xdr:sp macro="" textlink="">
      <xdr:nvSpPr>
        <xdr:cNvPr id="953" name="Arrow: Down 952">
          <a:extLst>
            <a:ext uri="{FF2B5EF4-FFF2-40B4-BE49-F238E27FC236}">
              <a16:creationId xmlns:a16="http://schemas.microsoft.com/office/drawing/2014/main" id="{C8E91A0C-6135-4DBD-B2CD-0C6E0E663EBF}"/>
            </a:ext>
          </a:extLst>
        </xdr:cNvPr>
        <xdr:cNvSpPr/>
      </xdr:nvSpPr>
      <xdr:spPr>
        <a:xfrm rot="10800000">
          <a:off x="10408920" y="2478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136</xdr:row>
      <xdr:rowOff>0</xdr:rowOff>
    </xdr:from>
    <xdr:to>
      <xdr:col>24</xdr:col>
      <xdr:colOff>83820</xdr:colOff>
      <xdr:row>136</xdr:row>
      <xdr:rowOff>114300</xdr:rowOff>
    </xdr:to>
    <xdr:sp macro="" textlink="">
      <xdr:nvSpPr>
        <xdr:cNvPr id="955" name="Arrow: Down 954">
          <a:extLst>
            <a:ext uri="{FF2B5EF4-FFF2-40B4-BE49-F238E27FC236}">
              <a16:creationId xmlns:a16="http://schemas.microsoft.com/office/drawing/2014/main" id="{F5D6801C-6E0E-41E3-940A-11AC87DA4944}"/>
            </a:ext>
          </a:extLst>
        </xdr:cNvPr>
        <xdr:cNvSpPr/>
      </xdr:nvSpPr>
      <xdr:spPr>
        <a:xfrm>
          <a:off x="5440680" y="2478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136</xdr:row>
      <xdr:rowOff>0</xdr:rowOff>
    </xdr:from>
    <xdr:to>
      <xdr:col>5</xdr:col>
      <xdr:colOff>83820</xdr:colOff>
      <xdr:row>136</xdr:row>
      <xdr:rowOff>114300</xdr:rowOff>
    </xdr:to>
    <xdr:sp macro="" textlink="">
      <xdr:nvSpPr>
        <xdr:cNvPr id="959" name="Arrow: Down 958">
          <a:extLst>
            <a:ext uri="{FF2B5EF4-FFF2-40B4-BE49-F238E27FC236}">
              <a16:creationId xmlns:a16="http://schemas.microsoft.com/office/drawing/2014/main" id="{ADA19A95-1495-429B-9EFE-0B159978C279}"/>
            </a:ext>
          </a:extLst>
        </xdr:cNvPr>
        <xdr:cNvSpPr/>
      </xdr:nvSpPr>
      <xdr:spPr>
        <a:xfrm>
          <a:off x="192786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136</xdr:row>
      <xdr:rowOff>0</xdr:rowOff>
    </xdr:from>
    <xdr:to>
      <xdr:col>11</xdr:col>
      <xdr:colOff>83820</xdr:colOff>
      <xdr:row>136</xdr:row>
      <xdr:rowOff>114300</xdr:rowOff>
    </xdr:to>
    <xdr:sp macro="" textlink="">
      <xdr:nvSpPr>
        <xdr:cNvPr id="960" name="Arrow: Down 959">
          <a:extLst>
            <a:ext uri="{FF2B5EF4-FFF2-40B4-BE49-F238E27FC236}">
              <a16:creationId xmlns:a16="http://schemas.microsoft.com/office/drawing/2014/main" id="{4F5597C6-BBCB-49ED-9811-09FEAF98BD9B}"/>
            </a:ext>
          </a:extLst>
        </xdr:cNvPr>
        <xdr:cNvSpPr/>
      </xdr:nvSpPr>
      <xdr:spPr>
        <a:xfrm>
          <a:off x="361950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136</xdr:row>
      <xdr:rowOff>0</xdr:rowOff>
    </xdr:from>
    <xdr:to>
      <xdr:col>60</xdr:col>
      <xdr:colOff>83820</xdr:colOff>
      <xdr:row>136</xdr:row>
      <xdr:rowOff>114300</xdr:rowOff>
    </xdr:to>
    <xdr:sp macro="" textlink="">
      <xdr:nvSpPr>
        <xdr:cNvPr id="961" name="Arrow: Down 960">
          <a:extLst>
            <a:ext uri="{FF2B5EF4-FFF2-40B4-BE49-F238E27FC236}">
              <a16:creationId xmlns:a16="http://schemas.microsoft.com/office/drawing/2014/main" id="{4B11E9E8-1A21-4D04-A6AE-4D0E461618BB}"/>
            </a:ext>
          </a:extLst>
        </xdr:cNvPr>
        <xdr:cNvSpPr/>
      </xdr:nvSpPr>
      <xdr:spPr>
        <a:xfrm rot="10800000">
          <a:off x="15171420" y="2497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136</xdr:row>
      <xdr:rowOff>0</xdr:rowOff>
    </xdr:from>
    <xdr:to>
      <xdr:col>39</xdr:col>
      <xdr:colOff>83820</xdr:colOff>
      <xdr:row>136</xdr:row>
      <xdr:rowOff>114300</xdr:rowOff>
    </xdr:to>
    <xdr:sp macro="" textlink="">
      <xdr:nvSpPr>
        <xdr:cNvPr id="963" name="Arrow: Down 962">
          <a:extLst>
            <a:ext uri="{FF2B5EF4-FFF2-40B4-BE49-F238E27FC236}">
              <a16:creationId xmlns:a16="http://schemas.microsoft.com/office/drawing/2014/main" id="{503FBD47-EE66-432C-B2CF-117D04425E97}"/>
            </a:ext>
          </a:extLst>
        </xdr:cNvPr>
        <xdr:cNvSpPr/>
      </xdr:nvSpPr>
      <xdr:spPr>
        <a:xfrm>
          <a:off x="8602980" y="2497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137</xdr:row>
      <xdr:rowOff>0</xdr:rowOff>
    </xdr:from>
    <xdr:to>
      <xdr:col>24</xdr:col>
      <xdr:colOff>83820</xdr:colOff>
      <xdr:row>137</xdr:row>
      <xdr:rowOff>114300</xdr:rowOff>
    </xdr:to>
    <xdr:sp macro="" textlink="">
      <xdr:nvSpPr>
        <xdr:cNvPr id="973" name="Arrow: Down 972">
          <a:extLst>
            <a:ext uri="{FF2B5EF4-FFF2-40B4-BE49-F238E27FC236}">
              <a16:creationId xmlns:a16="http://schemas.microsoft.com/office/drawing/2014/main" id="{8F4CB7F2-76D2-49CE-A6A5-4E97E9684084}"/>
            </a:ext>
          </a:extLst>
        </xdr:cNvPr>
        <xdr:cNvSpPr/>
      </xdr:nvSpPr>
      <xdr:spPr>
        <a:xfrm>
          <a:off x="5440680" y="24970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137</xdr:row>
      <xdr:rowOff>0</xdr:rowOff>
    </xdr:from>
    <xdr:to>
      <xdr:col>5</xdr:col>
      <xdr:colOff>83820</xdr:colOff>
      <xdr:row>137</xdr:row>
      <xdr:rowOff>114300</xdr:rowOff>
    </xdr:to>
    <xdr:sp macro="" textlink="">
      <xdr:nvSpPr>
        <xdr:cNvPr id="974" name="Arrow: Down 973">
          <a:extLst>
            <a:ext uri="{FF2B5EF4-FFF2-40B4-BE49-F238E27FC236}">
              <a16:creationId xmlns:a16="http://schemas.microsoft.com/office/drawing/2014/main" id="{C7BEF6EB-10FD-4C94-8F84-0098EBC9B78A}"/>
            </a:ext>
          </a:extLst>
        </xdr:cNvPr>
        <xdr:cNvSpPr/>
      </xdr:nvSpPr>
      <xdr:spPr>
        <a:xfrm>
          <a:off x="192786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137</xdr:row>
      <xdr:rowOff>0</xdr:rowOff>
    </xdr:from>
    <xdr:to>
      <xdr:col>11</xdr:col>
      <xdr:colOff>83820</xdr:colOff>
      <xdr:row>137</xdr:row>
      <xdr:rowOff>114300</xdr:rowOff>
    </xdr:to>
    <xdr:sp macro="" textlink="">
      <xdr:nvSpPr>
        <xdr:cNvPr id="975" name="Arrow: Down 974">
          <a:extLst>
            <a:ext uri="{FF2B5EF4-FFF2-40B4-BE49-F238E27FC236}">
              <a16:creationId xmlns:a16="http://schemas.microsoft.com/office/drawing/2014/main" id="{E444C4FC-BA8F-4F5C-834F-4AF01F5F3F16}"/>
            </a:ext>
          </a:extLst>
        </xdr:cNvPr>
        <xdr:cNvSpPr/>
      </xdr:nvSpPr>
      <xdr:spPr>
        <a:xfrm>
          <a:off x="361950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137</xdr:row>
      <xdr:rowOff>0</xdr:rowOff>
    </xdr:from>
    <xdr:to>
      <xdr:col>39</xdr:col>
      <xdr:colOff>83820</xdr:colOff>
      <xdr:row>137</xdr:row>
      <xdr:rowOff>114300</xdr:rowOff>
    </xdr:to>
    <xdr:sp macro="" textlink="">
      <xdr:nvSpPr>
        <xdr:cNvPr id="977" name="Arrow: Down 976">
          <a:extLst>
            <a:ext uri="{FF2B5EF4-FFF2-40B4-BE49-F238E27FC236}">
              <a16:creationId xmlns:a16="http://schemas.microsoft.com/office/drawing/2014/main" id="{92300F1A-BDAE-402C-AE69-163F5A2E4250}"/>
            </a:ext>
          </a:extLst>
        </xdr:cNvPr>
        <xdr:cNvSpPr/>
      </xdr:nvSpPr>
      <xdr:spPr>
        <a:xfrm>
          <a:off x="8602980" y="2497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137</xdr:row>
      <xdr:rowOff>0</xdr:rowOff>
    </xdr:from>
    <xdr:to>
      <xdr:col>60</xdr:col>
      <xdr:colOff>83820</xdr:colOff>
      <xdr:row>137</xdr:row>
      <xdr:rowOff>114300</xdr:rowOff>
    </xdr:to>
    <xdr:sp macro="" textlink="">
      <xdr:nvSpPr>
        <xdr:cNvPr id="978" name="Arrow: Down 977">
          <a:extLst>
            <a:ext uri="{FF2B5EF4-FFF2-40B4-BE49-F238E27FC236}">
              <a16:creationId xmlns:a16="http://schemas.microsoft.com/office/drawing/2014/main" id="{76D8EE24-BE66-45E4-89C4-03084114FF13}"/>
            </a:ext>
          </a:extLst>
        </xdr:cNvPr>
        <xdr:cNvSpPr/>
      </xdr:nvSpPr>
      <xdr:spPr>
        <a:xfrm>
          <a:off x="1517142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137</xdr:row>
      <xdr:rowOff>0</xdr:rowOff>
    </xdr:from>
    <xdr:to>
      <xdr:col>45</xdr:col>
      <xdr:colOff>83820</xdr:colOff>
      <xdr:row>137</xdr:row>
      <xdr:rowOff>114300</xdr:rowOff>
    </xdr:to>
    <xdr:sp macro="" textlink="">
      <xdr:nvSpPr>
        <xdr:cNvPr id="981" name="Arrow: Down 980">
          <a:extLst>
            <a:ext uri="{FF2B5EF4-FFF2-40B4-BE49-F238E27FC236}">
              <a16:creationId xmlns:a16="http://schemas.microsoft.com/office/drawing/2014/main" id="{081EF5A4-3E83-4911-8223-61BEA9028C55}"/>
            </a:ext>
          </a:extLst>
        </xdr:cNvPr>
        <xdr:cNvSpPr/>
      </xdr:nvSpPr>
      <xdr:spPr>
        <a:xfrm rot="10800000">
          <a:off x="1283208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137</xdr:row>
      <xdr:rowOff>0</xdr:rowOff>
    </xdr:from>
    <xdr:to>
      <xdr:col>71</xdr:col>
      <xdr:colOff>83820</xdr:colOff>
      <xdr:row>137</xdr:row>
      <xdr:rowOff>114300</xdr:rowOff>
    </xdr:to>
    <xdr:sp macro="" textlink="">
      <xdr:nvSpPr>
        <xdr:cNvPr id="983" name="Arrow: Down 982">
          <a:extLst>
            <a:ext uri="{FF2B5EF4-FFF2-40B4-BE49-F238E27FC236}">
              <a16:creationId xmlns:a16="http://schemas.microsoft.com/office/drawing/2014/main" id="{BEDC6278-C719-4E19-B9B7-4BB32ADEA9C5}"/>
            </a:ext>
          </a:extLst>
        </xdr:cNvPr>
        <xdr:cNvSpPr/>
      </xdr:nvSpPr>
      <xdr:spPr>
        <a:xfrm>
          <a:off x="2157984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138</xdr:row>
      <xdr:rowOff>0</xdr:rowOff>
    </xdr:from>
    <xdr:to>
      <xdr:col>45</xdr:col>
      <xdr:colOff>83820</xdr:colOff>
      <xdr:row>138</xdr:row>
      <xdr:rowOff>114300</xdr:rowOff>
    </xdr:to>
    <xdr:sp macro="" textlink="">
      <xdr:nvSpPr>
        <xdr:cNvPr id="989" name="Arrow: Down 988">
          <a:extLst>
            <a:ext uri="{FF2B5EF4-FFF2-40B4-BE49-F238E27FC236}">
              <a16:creationId xmlns:a16="http://schemas.microsoft.com/office/drawing/2014/main" id="{2C16D166-7F19-460D-AC10-99EF229730B2}"/>
            </a:ext>
          </a:extLst>
        </xdr:cNvPr>
        <xdr:cNvSpPr/>
      </xdr:nvSpPr>
      <xdr:spPr>
        <a:xfrm rot="10800000">
          <a:off x="1283208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138</xdr:row>
      <xdr:rowOff>0</xdr:rowOff>
    </xdr:from>
    <xdr:to>
      <xdr:col>39</xdr:col>
      <xdr:colOff>83820</xdr:colOff>
      <xdr:row>138</xdr:row>
      <xdr:rowOff>114300</xdr:rowOff>
    </xdr:to>
    <xdr:sp macro="" textlink="">
      <xdr:nvSpPr>
        <xdr:cNvPr id="992" name="Arrow: Down 991">
          <a:extLst>
            <a:ext uri="{FF2B5EF4-FFF2-40B4-BE49-F238E27FC236}">
              <a16:creationId xmlns:a16="http://schemas.microsoft.com/office/drawing/2014/main" id="{2A832676-5A13-4F10-A50F-AD7993843838}"/>
            </a:ext>
          </a:extLst>
        </xdr:cNvPr>
        <xdr:cNvSpPr/>
      </xdr:nvSpPr>
      <xdr:spPr>
        <a:xfrm rot="10800000">
          <a:off x="8747760" y="25336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138</xdr:row>
      <xdr:rowOff>0</xdr:rowOff>
    </xdr:from>
    <xdr:to>
      <xdr:col>5</xdr:col>
      <xdr:colOff>83820</xdr:colOff>
      <xdr:row>138</xdr:row>
      <xdr:rowOff>114300</xdr:rowOff>
    </xdr:to>
    <xdr:sp macro="" textlink="">
      <xdr:nvSpPr>
        <xdr:cNvPr id="994" name="Arrow: Down 993">
          <a:extLst>
            <a:ext uri="{FF2B5EF4-FFF2-40B4-BE49-F238E27FC236}">
              <a16:creationId xmlns:a16="http://schemas.microsoft.com/office/drawing/2014/main" id="{34BDF33E-A964-45D2-AD28-D2E921009C15}"/>
            </a:ext>
          </a:extLst>
        </xdr:cNvPr>
        <xdr:cNvSpPr/>
      </xdr:nvSpPr>
      <xdr:spPr>
        <a:xfrm rot="10800000">
          <a:off x="19278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138</xdr:row>
      <xdr:rowOff>0</xdr:rowOff>
    </xdr:from>
    <xdr:to>
      <xdr:col>11</xdr:col>
      <xdr:colOff>83820</xdr:colOff>
      <xdr:row>138</xdr:row>
      <xdr:rowOff>114300</xdr:rowOff>
    </xdr:to>
    <xdr:sp macro="" textlink="">
      <xdr:nvSpPr>
        <xdr:cNvPr id="996" name="Arrow: Down 995">
          <a:extLst>
            <a:ext uri="{FF2B5EF4-FFF2-40B4-BE49-F238E27FC236}">
              <a16:creationId xmlns:a16="http://schemas.microsoft.com/office/drawing/2014/main" id="{60835326-3239-489C-B32C-990DA4C877A3}"/>
            </a:ext>
          </a:extLst>
        </xdr:cNvPr>
        <xdr:cNvSpPr/>
      </xdr:nvSpPr>
      <xdr:spPr>
        <a:xfrm rot="10800000">
          <a:off x="36195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138</xdr:row>
      <xdr:rowOff>0</xdr:rowOff>
    </xdr:from>
    <xdr:to>
      <xdr:col>24</xdr:col>
      <xdr:colOff>83820</xdr:colOff>
      <xdr:row>138</xdr:row>
      <xdr:rowOff>114300</xdr:rowOff>
    </xdr:to>
    <xdr:sp macro="" textlink="">
      <xdr:nvSpPr>
        <xdr:cNvPr id="997" name="Arrow: Down 996">
          <a:extLst>
            <a:ext uri="{FF2B5EF4-FFF2-40B4-BE49-F238E27FC236}">
              <a16:creationId xmlns:a16="http://schemas.microsoft.com/office/drawing/2014/main" id="{4B87A826-9F9A-4C8F-9468-A92C7B42A8F8}"/>
            </a:ext>
          </a:extLst>
        </xdr:cNvPr>
        <xdr:cNvSpPr/>
      </xdr:nvSpPr>
      <xdr:spPr>
        <a:xfrm rot="10800000">
          <a:off x="55854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138</xdr:row>
      <xdr:rowOff>0</xdr:rowOff>
    </xdr:from>
    <xdr:to>
      <xdr:col>60</xdr:col>
      <xdr:colOff>83820</xdr:colOff>
      <xdr:row>138</xdr:row>
      <xdr:rowOff>114300</xdr:rowOff>
    </xdr:to>
    <xdr:sp macro="" textlink="">
      <xdr:nvSpPr>
        <xdr:cNvPr id="999" name="Arrow: Down 998">
          <a:extLst>
            <a:ext uri="{FF2B5EF4-FFF2-40B4-BE49-F238E27FC236}">
              <a16:creationId xmlns:a16="http://schemas.microsoft.com/office/drawing/2014/main" id="{3D563A0F-6EB4-4648-9D9F-F15E73EE5E3D}"/>
            </a:ext>
          </a:extLst>
        </xdr:cNvPr>
        <xdr:cNvSpPr/>
      </xdr:nvSpPr>
      <xdr:spPr>
        <a:xfrm rot="10800000">
          <a:off x="153162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138</xdr:row>
      <xdr:rowOff>0</xdr:rowOff>
    </xdr:from>
    <xdr:to>
      <xdr:col>71</xdr:col>
      <xdr:colOff>83820</xdr:colOff>
      <xdr:row>138</xdr:row>
      <xdr:rowOff>114300</xdr:rowOff>
    </xdr:to>
    <xdr:sp macro="" textlink="">
      <xdr:nvSpPr>
        <xdr:cNvPr id="1000" name="Arrow: Down 999">
          <a:extLst>
            <a:ext uri="{FF2B5EF4-FFF2-40B4-BE49-F238E27FC236}">
              <a16:creationId xmlns:a16="http://schemas.microsoft.com/office/drawing/2014/main" id="{6E616CEA-20A6-448C-A0A8-69743B2A90E6}"/>
            </a:ext>
          </a:extLst>
        </xdr:cNvPr>
        <xdr:cNvSpPr/>
      </xdr:nvSpPr>
      <xdr:spPr>
        <a:xfrm rot="10800000">
          <a:off x="1763268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139</xdr:row>
      <xdr:rowOff>0</xdr:rowOff>
    </xdr:from>
    <xdr:to>
      <xdr:col>45</xdr:col>
      <xdr:colOff>83820</xdr:colOff>
      <xdr:row>139</xdr:row>
      <xdr:rowOff>114300</xdr:rowOff>
    </xdr:to>
    <xdr:sp macro="" textlink="">
      <xdr:nvSpPr>
        <xdr:cNvPr id="1001" name="Arrow: Down 1000">
          <a:extLst>
            <a:ext uri="{FF2B5EF4-FFF2-40B4-BE49-F238E27FC236}">
              <a16:creationId xmlns:a16="http://schemas.microsoft.com/office/drawing/2014/main" id="{A9224C79-F8A0-4141-9327-E5FB4136CBB8}"/>
            </a:ext>
          </a:extLst>
        </xdr:cNvPr>
        <xdr:cNvSpPr/>
      </xdr:nvSpPr>
      <xdr:spPr>
        <a:xfrm rot="10800000">
          <a:off x="10553700" y="25336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139</xdr:row>
      <xdr:rowOff>0</xdr:rowOff>
    </xdr:from>
    <xdr:to>
      <xdr:col>39</xdr:col>
      <xdr:colOff>83820</xdr:colOff>
      <xdr:row>139</xdr:row>
      <xdr:rowOff>114300</xdr:rowOff>
    </xdr:to>
    <xdr:sp macro="" textlink="">
      <xdr:nvSpPr>
        <xdr:cNvPr id="1002" name="Arrow: Down 1001">
          <a:extLst>
            <a:ext uri="{FF2B5EF4-FFF2-40B4-BE49-F238E27FC236}">
              <a16:creationId xmlns:a16="http://schemas.microsoft.com/office/drawing/2014/main" id="{B0326349-E666-4EE4-9EEA-AEB8C2B4CC28}"/>
            </a:ext>
          </a:extLst>
        </xdr:cNvPr>
        <xdr:cNvSpPr/>
      </xdr:nvSpPr>
      <xdr:spPr>
        <a:xfrm rot="10800000">
          <a:off x="8747760" y="25336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139</xdr:row>
      <xdr:rowOff>0</xdr:rowOff>
    </xdr:from>
    <xdr:to>
      <xdr:col>5</xdr:col>
      <xdr:colOff>83820</xdr:colOff>
      <xdr:row>139</xdr:row>
      <xdr:rowOff>114300</xdr:rowOff>
    </xdr:to>
    <xdr:sp macro="" textlink="">
      <xdr:nvSpPr>
        <xdr:cNvPr id="1003" name="Arrow: Down 1002">
          <a:extLst>
            <a:ext uri="{FF2B5EF4-FFF2-40B4-BE49-F238E27FC236}">
              <a16:creationId xmlns:a16="http://schemas.microsoft.com/office/drawing/2014/main" id="{1AD73DEE-7AFD-44FE-A0E5-60DBC9B6A4C1}"/>
            </a:ext>
          </a:extLst>
        </xdr:cNvPr>
        <xdr:cNvSpPr/>
      </xdr:nvSpPr>
      <xdr:spPr>
        <a:xfrm rot="10800000">
          <a:off x="19278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139</xdr:row>
      <xdr:rowOff>0</xdr:rowOff>
    </xdr:from>
    <xdr:to>
      <xdr:col>11</xdr:col>
      <xdr:colOff>83820</xdr:colOff>
      <xdr:row>139</xdr:row>
      <xdr:rowOff>114300</xdr:rowOff>
    </xdr:to>
    <xdr:sp macro="" textlink="">
      <xdr:nvSpPr>
        <xdr:cNvPr id="1004" name="Arrow: Down 1003">
          <a:extLst>
            <a:ext uri="{FF2B5EF4-FFF2-40B4-BE49-F238E27FC236}">
              <a16:creationId xmlns:a16="http://schemas.microsoft.com/office/drawing/2014/main" id="{5C238EC0-ACE4-4CCF-A341-D481CC2B664F}"/>
            </a:ext>
          </a:extLst>
        </xdr:cNvPr>
        <xdr:cNvSpPr/>
      </xdr:nvSpPr>
      <xdr:spPr>
        <a:xfrm rot="10800000">
          <a:off x="36195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139</xdr:row>
      <xdr:rowOff>0</xdr:rowOff>
    </xdr:from>
    <xdr:to>
      <xdr:col>24</xdr:col>
      <xdr:colOff>83820</xdr:colOff>
      <xdr:row>139</xdr:row>
      <xdr:rowOff>114300</xdr:rowOff>
    </xdr:to>
    <xdr:sp macro="" textlink="">
      <xdr:nvSpPr>
        <xdr:cNvPr id="1005" name="Arrow: Down 1004">
          <a:extLst>
            <a:ext uri="{FF2B5EF4-FFF2-40B4-BE49-F238E27FC236}">
              <a16:creationId xmlns:a16="http://schemas.microsoft.com/office/drawing/2014/main" id="{4D3FFB99-3392-4042-BED4-A993BE1BDC35}"/>
            </a:ext>
          </a:extLst>
        </xdr:cNvPr>
        <xdr:cNvSpPr/>
      </xdr:nvSpPr>
      <xdr:spPr>
        <a:xfrm rot="10800000">
          <a:off x="55854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139</xdr:row>
      <xdr:rowOff>0</xdr:rowOff>
    </xdr:from>
    <xdr:to>
      <xdr:col>60</xdr:col>
      <xdr:colOff>83820</xdr:colOff>
      <xdr:row>139</xdr:row>
      <xdr:rowOff>114300</xdr:rowOff>
    </xdr:to>
    <xdr:sp macro="" textlink="">
      <xdr:nvSpPr>
        <xdr:cNvPr id="1006" name="Arrow: Down 1005">
          <a:extLst>
            <a:ext uri="{FF2B5EF4-FFF2-40B4-BE49-F238E27FC236}">
              <a16:creationId xmlns:a16="http://schemas.microsoft.com/office/drawing/2014/main" id="{32118F1D-8B75-4250-BF85-46B5E8BB8D20}"/>
            </a:ext>
          </a:extLst>
        </xdr:cNvPr>
        <xdr:cNvSpPr/>
      </xdr:nvSpPr>
      <xdr:spPr>
        <a:xfrm rot="10800000">
          <a:off x="153162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139</xdr:row>
      <xdr:rowOff>0</xdr:rowOff>
    </xdr:from>
    <xdr:to>
      <xdr:col>71</xdr:col>
      <xdr:colOff>83820</xdr:colOff>
      <xdr:row>139</xdr:row>
      <xdr:rowOff>114300</xdr:rowOff>
    </xdr:to>
    <xdr:sp macro="" textlink="">
      <xdr:nvSpPr>
        <xdr:cNvPr id="1007" name="Arrow: Down 1006">
          <a:extLst>
            <a:ext uri="{FF2B5EF4-FFF2-40B4-BE49-F238E27FC236}">
              <a16:creationId xmlns:a16="http://schemas.microsoft.com/office/drawing/2014/main" id="{C12438DE-574D-46C7-ADEC-F03C53288E70}"/>
            </a:ext>
          </a:extLst>
        </xdr:cNvPr>
        <xdr:cNvSpPr/>
      </xdr:nvSpPr>
      <xdr:spPr>
        <a:xfrm rot="10800000">
          <a:off x="1763268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140</xdr:row>
      <xdr:rowOff>0</xdr:rowOff>
    </xdr:from>
    <xdr:to>
      <xdr:col>45</xdr:col>
      <xdr:colOff>83820</xdr:colOff>
      <xdr:row>140</xdr:row>
      <xdr:rowOff>114300</xdr:rowOff>
    </xdr:to>
    <xdr:sp macro="" textlink="">
      <xdr:nvSpPr>
        <xdr:cNvPr id="906" name="Arrow: Down 905">
          <a:extLst>
            <a:ext uri="{FF2B5EF4-FFF2-40B4-BE49-F238E27FC236}">
              <a16:creationId xmlns:a16="http://schemas.microsoft.com/office/drawing/2014/main" id="{C8E0EE1D-5ACB-4FBA-BDA0-0D5D64A6C398}"/>
            </a:ext>
          </a:extLst>
        </xdr:cNvPr>
        <xdr:cNvSpPr/>
      </xdr:nvSpPr>
      <xdr:spPr>
        <a:xfrm rot="10800000">
          <a:off x="10553700" y="25519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140</xdr:row>
      <xdr:rowOff>0</xdr:rowOff>
    </xdr:from>
    <xdr:to>
      <xdr:col>39</xdr:col>
      <xdr:colOff>83820</xdr:colOff>
      <xdr:row>140</xdr:row>
      <xdr:rowOff>114300</xdr:rowOff>
    </xdr:to>
    <xdr:sp macro="" textlink="">
      <xdr:nvSpPr>
        <xdr:cNvPr id="909" name="Arrow: Down 908">
          <a:extLst>
            <a:ext uri="{FF2B5EF4-FFF2-40B4-BE49-F238E27FC236}">
              <a16:creationId xmlns:a16="http://schemas.microsoft.com/office/drawing/2014/main" id="{0A3FF0D5-E4D4-40BA-A405-589537ED6601}"/>
            </a:ext>
          </a:extLst>
        </xdr:cNvPr>
        <xdr:cNvSpPr/>
      </xdr:nvSpPr>
      <xdr:spPr>
        <a:xfrm rot="10800000">
          <a:off x="8747760" y="25519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140</xdr:row>
      <xdr:rowOff>0</xdr:rowOff>
    </xdr:from>
    <xdr:to>
      <xdr:col>5</xdr:col>
      <xdr:colOff>83820</xdr:colOff>
      <xdr:row>140</xdr:row>
      <xdr:rowOff>114300</xdr:rowOff>
    </xdr:to>
    <xdr:sp macro="" textlink="">
      <xdr:nvSpPr>
        <xdr:cNvPr id="917" name="Arrow: Down 916">
          <a:extLst>
            <a:ext uri="{FF2B5EF4-FFF2-40B4-BE49-F238E27FC236}">
              <a16:creationId xmlns:a16="http://schemas.microsoft.com/office/drawing/2014/main" id="{27E40F7B-3270-40A1-9E8D-F907E30BA3B2}"/>
            </a:ext>
          </a:extLst>
        </xdr:cNvPr>
        <xdr:cNvSpPr/>
      </xdr:nvSpPr>
      <xdr:spPr>
        <a:xfrm rot="10800000">
          <a:off x="1927860" y="2551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140</xdr:row>
      <xdr:rowOff>0</xdr:rowOff>
    </xdr:from>
    <xdr:to>
      <xdr:col>11</xdr:col>
      <xdr:colOff>83820</xdr:colOff>
      <xdr:row>140</xdr:row>
      <xdr:rowOff>114300</xdr:rowOff>
    </xdr:to>
    <xdr:sp macro="" textlink="">
      <xdr:nvSpPr>
        <xdr:cNvPr id="946" name="Arrow: Down 945">
          <a:extLst>
            <a:ext uri="{FF2B5EF4-FFF2-40B4-BE49-F238E27FC236}">
              <a16:creationId xmlns:a16="http://schemas.microsoft.com/office/drawing/2014/main" id="{766A96F5-AE9F-4E54-B98E-9B69120250F3}"/>
            </a:ext>
          </a:extLst>
        </xdr:cNvPr>
        <xdr:cNvSpPr/>
      </xdr:nvSpPr>
      <xdr:spPr>
        <a:xfrm rot="10800000">
          <a:off x="3619500" y="2551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140</xdr:row>
      <xdr:rowOff>0</xdr:rowOff>
    </xdr:from>
    <xdr:to>
      <xdr:col>24</xdr:col>
      <xdr:colOff>83820</xdr:colOff>
      <xdr:row>140</xdr:row>
      <xdr:rowOff>114300</xdr:rowOff>
    </xdr:to>
    <xdr:sp macro="" textlink="">
      <xdr:nvSpPr>
        <xdr:cNvPr id="954" name="Arrow: Down 953">
          <a:extLst>
            <a:ext uri="{FF2B5EF4-FFF2-40B4-BE49-F238E27FC236}">
              <a16:creationId xmlns:a16="http://schemas.microsoft.com/office/drawing/2014/main" id="{E1E5E471-2A90-4DF6-ADB9-E649C8EA4BFA}"/>
            </a:ext>
          </a:extLst>
        </xdr:cNvPr>
        <xdr:cNvSpPr/>
      </xdr:nvSpPr>
      <xdr:spPr>
        <a:xfrm rot="10800000">
          <a:off x="5585460" y="2551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140</xdr:row>
      <xdr:rowOff>0</xdr:rowOff>
    </xdr:from>
    <xdr:to>
      <xdr:col>60</xdr:col>
      <xdr:colOff>83820</xdr:colOff>
      <xdr:row>140</xdr:row>
      <xdr:rowOff>114300</xdr:rowOff>
    </xdr:to>
    <xdr:sp macro="" textlink="">
      <xdr:nvSpPr>
        <xdr:cNvPr id="962" name="Arrow: Down 961">
          <a:extLst>
            <a:ext uri="{FF2B5EF4-FFF2-40B4-BE49-F238E27FC236}">
              <a16:creationId xmlns:a16="http://schemas.microsoft.com/office/drawing/2014/main" id="{585A4B92-32F0-49E5-8B87-DF563CE214A2}"/>
            </a:ext>
          </a:extLst>
        </xdr:cNvPr>
        <xdr:cNvSpPr/>
      </xdr:nvSpPr>
      <xdr:spPr>
        <a:xfrm>
          <a:off x="15316200" y="25702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140</xdr:row>
      <xdr:rowOff>0</xdr:rowOff>
    </xdr:from>
    <xdr:to>
      <xdr:col>71</xdr:col>
      <xdr:colOff>83820</xdr:colOff>
      <xdr:row>140</xdr:row>
      <xdr:rowOff>114300</xdr:rowOff>
    </xdr:to>
    <xdr:sp macro="" textlink="">
      <xdr:nvSpPr>
        <xdr:cNvPr id="964" name="Arrow: Down 963">
          <a:extLst>
            <a:ext uri="{FF2B5EF4-FFF2-40B4-BE49-F238E27FC236}">
              <a16:creationId xmlns:a16="http://schemas.microsoft.com/office/drawing/2014/main" id="{194502C9-8957-48E1-AF73-695743A6E447}"/>
            </a:ext>
          </a:extLst>
        </xdr:cNvPr>
        <xdr:cNvSpPr/>
      </xdr:nvSpPr>
      <xdr:spPr>
        <a:xfrm>
          <a:off x="17632680" y="25702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141</xdr:row>
      <xdr:rowOff>0</xdr:rowOff>
    </xdr:from>
    <xdr:to>
      <xdr:col>45</xdr:col>
      <xdr:colOff>83820</xdr:colOff>
      <xdr:row>141</xdr:row>
      <xdr:rowOff>114300</xdr:rowOff>
    </xdr:to>
    <xdr:sp macro="" textlink="">
      <xdr:nvSpPr>
        <xdr:cNvPr id="965" name="Arrow: Down 964">
          <a:extLst>
            <a:ext uri="{FF2B5EF4-FFF2-40B4-BE49-F238E27FC236}">
              <a16:creationId xmlns:a16="http://schemas.microsoft.com/office/drawing/2014/main" id="{F80B795B-6B4E-4358-967E-31CBA788906D}"/>
            </a:ext>
          </a:extLst>
        </xdr:cNvPr>
        <xdr:cNvSpPr/>
      </xdr:nvSpPr>
      <xdr:spPr>
        <a:xfrm rot="10800000">
          <a:off x="10553700" y="25702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141</xdr:row>
      <xdr:rowOff>0</xdr:rowOff>
    </xdr:from>
    <xdr:to>
      <xdr:col>5</xdr:col>
      <xdr:colOff>83820</xdr:colOff>
      <xdr:row>141</xdr:row>
      <xdr:rowOff>114300</xdr:rowOff>
    </xdr:to>
    <xdr:sp macro="" textlink="">
      <xdr:nvSpPr>
        <xdr:cNvPr id="967" name="Arrow: Down 966">
          <a:extLst>
            <a:ext uri="{FF2B5EF4-FFF2-40B4-BE49-F238E27FC236}">
              <a16:creationId xmlns:a16="http://schemas.microsoft.com/office/drawing/2014/main" id="{158EC43A-9C7B-4D27-929A-9A71CC5D3DCF}"/>
            </a:ext>
          </a:extLst>
        </xdr:cNvPr>
        <xdr:cNvSpPr/>
      </xdr:nvSpPr>
      <xdr:spPr>
        <a:xfrm rot="10800000">
          <a:off x="1927860" y="25702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141</xdr:row>
      <xdr:rowOff>0</xdr:rowOff>
    </xdr:from>
    <xdr:to>
      <xdr:col>11</xdr:col>
      <xdr:colOff>83820</xdr:colOff>
      <xdr:row>141</xdr:row>
      <xdr:rowOff>114300</xdr:rowOff>
    </xdr:to>
    <xdr:sp macro="" textlink="">
      <xdr:nvSpPr>
        <xdr:cNvPr id="968" name="Arrow: Down 967">
          <a:extLst>
            <a:ext uri="{FF2B5EF4-FFF2-40B4-BE49-F238E27FC236}">
              <a16:creationId xmlns:a16="http://schemas.microsoft.com/office/drawing/2014/main" id="{61D706DC-B55A-403B-94CC-A88A6227AC7C}"/>
            </a:ext>
          </a:extLst>
        </xdr:cNvPr>
        <xdr:cNvSpPr/>
      </xdr:nvSpPr>
      <xdr:spPr>
        <a:xfrm rot="10800000">
          <a:off x="3619500" y="25702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141</xdr:row>
      <xdr:rowOff>0</xdr:rowOff>
    </xdr:from>
    <xdr:to>
      <xdr:col>24</xdr:col>
      <xdr:colOff>83820</xdr:colOff>
      <xdr:row>141</xdr:row>
      <xdr:rowOff>114300</xdr:rowOff>
    </xdr:to>
    <xdr:sp macro="" textlink="">
      <xdr:nvSpPr>
        <xdr:cNvPr id="972" name="Arrow: Down 971">
          <a:extLst>
            <a:ext uri="{FF2B5EF4-FFF2-40B4-BE49-F238E27FC236}">
              <a16:creationId xmlns:a16="http://schemas.microsoft.com/office/drawing/2014/main" id="{3E22F261-C3BE-4535-89C0-7E405B748637}"/>
            </a:ext>
          </a:extLst>
        </xdr:cNvPr>
        <xdr:cNvSpPr/>
      </xdr:nvSpPr>
      <xdr:spPr>
        <a:xfrm>
          <a:off x="5585460" y="25885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141</xdr:row>
      <xdr:rowOff>0</xdr:rowOff>
    </xdr:from>
    <xdr:to>
      <xdr:col>39</xdr:col>
      <xdr:colOff>83820</xdr:colOff>
      <xdr:row>141</xdr:row>
      <xdr:rowOff>114300</xdr:rowOff>
    </xdr:to>
    <xdr:sp macro="" textlink="">
      <xdr:nvSpPr>
        <xdr:cNvPr id="979" name="Arrow: Down 978">
          <a:extLst>
            <a:ext uri="{FF2B5EF4-FFF2-40B4-BE49-F238E27FC236}">
              <a16:creationId xmlns:a16="http://schemas.microsoft.com/office/drawing/2014/main" id="{56E7121A-7E02-4D0B-873B-E25AD63F27D0}"/>
            </a:ext>
          </a:extLst>
        </xdr:cNvPr>
        <xdr:cNvSpPr/>
      </xdr:nvSpPr>
      <xdr:spPr>
        <a:xfrm>
          <a:off x="874776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141</xdr:row>
      <xdr:rowOff>0</xdr:rowOff>
    </xdr:from>
    <xdr:to>
      <xdr:col>60</xdr:col>
      <xdr:colOff>83820</xdr:colOff>
      <xdr:row>141</xdr:row>
      <xdr:rowOff>114300</xdr:rowOff>
    </xdr:to>
    <xdr:sp macro="" textlink="">
      <xdr:nvSpPr>
        <xdr:cNvPr id="982" name="Arrow: Down 981">
          <a:extLst>
            <a:ext uri="{FF2B5EF4-FFF2-40B4-BE49-F238E27FC236}">
              <a16:creationId xmlns:a16="http://schemas.microsoft.com/office/drawing/2014/main" id="{87C26118-53A3-47F2-B857-9E34BDFD2696}"/>
            </a:ext>
          </a:extLst>
        </xdr:cNvPr>
        <xdr:cNvSpPr/>
      </xdr:nvSpPr>
      <xdr:spPr>
        <a:xfrm rot="10800000">
          <a:off x="1531620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141</xdr:row>
      <xdr:rowOff>0</xdr:rowOff>
    </xdr:from>
    <xdr:to>
      <xdr:col>71</xdr:col>
      <xdr:colOff>83820</xdr:colOff>
      <xdr:row>141</xdr:row>
      <xdr:rowOff>114300</xdr:rowOff>
    </xdr:to>
    <xdr:sp macro="" textlink="">
      <xdr:nvSpPr>
        <xdr:cNvPr id="985" name="Arrow: Down 984">
          <a:extLst>
            <a:ext uri="{FF2B5EF4-FFF2-40B4-BE49-F238E27FC236}">
              <a16:creationId xmlns:a16="http://schemas.microsoft.com/office/drawing/2014/main" id="{E66E3B8C-3FA4-4033-8617-23D136F00DB1}"/>
            </a:ext>
          </a:extLst>
        </xdr:cNvPr>
        <xdr:cNvSpPr/>
      </xdr:nvSpPr>
      <xdr:spPr>
        <a:xfrm rot="10800000">
          <a:off x="1763268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142</xdr:row>
      <xdr:rowOff>0</xdr:rowOff>
    </xdr:from>
    <xdr:to>
      <xdr:col>45</xdr:col>
      <xdr:colOff>83820</xdr:colOff>
      <xdr:row>142</xdr:row>
      <xdr:rowOff>114300</xdr:rowOff>
    </xdr:to>
    <xdr:sp macro="" textlink="">
      <xdr:nvSpPr>
        <xdr:cNvPr id="986" name="Arrow: Down 985">
          <a:extLst>
            <a:ext uri="{FF2B5EF4-FFF2-40B4-BE49-F238E27FC236}">
              <a16:creationId xmlns:a16="http://schemas.microsoft.com/office/drawing/2014/main" id="{10A54977-A3AF-4EB4-96A0-F8333B75E378}"/>
            </a:ext>
          </a:extLst>
        </xdr:cNvPr>
        <xdr:cNvSpPr/>
      </xdr:nvSpPr>
      <xdr:spPr>
        <a:xfrm rot="10800000">
          <a:off x="10553700" y="25885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142</xdr:row>
      <xdr:rowOff>0</xdr:rowOff>
    </xdr:from>
    <xdr:to>
      <xdr:col>5</xdr:col>
      <xdr:colOff>83820</xdr:colOff>
      <xdr:row>142</xdr:row>
      <xdr:rowOff>114300</xdr:rowOff>
    </xdr:to>
    <xdr:sp macro="" textlink="">
      <xdr:nvSpPr>
        <xdr:cNvPr id="987" name="Arrow: Down 986">
          <a:extLst>
            <a:ext uri="{FF2B5EF4-FFF2-40B4-BE49-F238E27FC236}">
              <a16:creationId xmlns:a16="http://schemas.microsoft.com/office/drawing/2014/main" id="{2030F8D0-FD77-4201-98E1-D493ED4C6586}"/>
            </a:ext>
          </a:extLst>
        </xdr:cNvPr>
        <xdr:cNvSpPr/>
      </xdr:nvSpPr>
      <xdr:spPr>
        <a:xfrm rot="10800000">
          <a:off x="192786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142</xdr:row>
      <xdr:rowOff>0</xdr:rowOff>
    </xdr:from>
    <xdr:to>
      <xdr:col>11</xdr:col>
      <xdr:colOff>83820</xdr:colOff>
      <xdr:row>142</xdr:row>
      <xdr:rowOff>114300</xdr:rowOff>
    </xdr:to>
    <xdr:sp macro="" textlink="">
      <xdr:nvSpPr>
        <xdr:cNvPr id="988" name="Arrow: Down 987">
          <a:extLst>
            <a:ext uri="{FF2B5EF4-FFF2-40B4-BE49-F238E27FC236}">
              <a16:creationId xmlns:a16="http://schemas.microsoft.com/office/drawing/2014/main" id="{B1F9CD4C-1E7A-436A-B5C5-6FB63B032DD6}"/>
            </a:ext>
          </a:extLst>
        </xdr:cNvPr>
        <xdr:cNvSpPr/>
      </xdr:nvSpPr>
      <xdr:spPr>
        <a:xfrm rot="10800000">
          <a:off x="361950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142</xdr:row>
      <xdr:rowOff>0</xdr:rowOff>
    </xdr:from>
    <xdr:to>
      <xdr:col>24</xdr:col>
      <xdr:colOff>83820</xdr:colOff>
      <xdr:row>142</xdr:row>
      <xdr:rowOff>114300</xdr:rowOff>
    </xdr:to>
    <xdr:sp macro="" textlink="">
      <xdr:nvSpPr>
        <xdr:cNvPr id="990" name="Arrow: Down 989">
          <a:extLst>
            <a:ext uri="{FF2B5EF4-FFF2-40B4-BE49-F238E27FC236}">
              <a16:creationId xmlns:a16="http://schemas.microsoft.com/office/drawing/2014/main" id="{103F922D-A780-4EF5-B1F6-489FA3D249E4}"/>
            </a:ext>
          </a:extLst>
        </xdr:cNvPr>
        <xdr:cNvSpPr/>
      </xdr:nvSpPr>
      <xdr:spPr>
        <a:xfrm>
          <a:off x="5585460" y="25885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142</xdr:row>
      <xdr:rowOff>0</xdr:rowOff>
    </xdr:from>
    <xdr:to>
      <xdr:col>39</xdr:col>
      <xdr:colOff>83820</xdr:colOff>
      <xdr:row>142</xdr:row>
      <xdr:rowOff>114300</xdr:rowOff>
    </xdr:to>
    <xdr:sp macro="" textlink="">
      <xdr:nvSpPr>
        <xdr:cNvPr id="998" name="Arrow: Down 997">
          <a:extLst>
            <a:ext uri="{FF2B5EF4-FFF2-40B4-BE49-F238E27FC236}">
              <a16:creationId xmlns:a16="http://schemas.microsoft.com/office/drawing/2014/main" id="{DE8BB581-573B-449D-A8B9-22E71C286290}"/>
            </a:ext>
          </a:extLst>
        </xdr:cNvPr>
        <xdr:cNvSpPr/>
      </xdr:nvSpPr>
      <xdr:spPr>
        <a:xfrm rot="10800000">
          <a:off x="874776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142</xdr:row>
      <xdr:rowOff>0</xdr:rowOff>
    </xdr:from>
    <xdr:to>
      <xdr:col>60</xdr:col>
      <xdr:colOff>83820</xdr:colOff>
      <xdr:row>142</xdr:row>
      <xdr:rowOff>114300</xdr:rowOff>
    </xdr:to>
    <xdr:sp macro="" textlink="">
      <xdr:nvSpPr>
        <xdr:cNvPr id="1008" name="Arrow: Down 1007">
          <a:extLst>
            <a:ext uri="{FF2B5EF4-FFF2-40B4-BE49-F238E27FC236}">
              <a16:creationId xmlns:a16="http://schemas.microsoft.com/office/drawing/2014/main" id="{81739F3F-2F86-433F-9960-A87A639DA5B9}"/>
            </a:ext>
          </a:extLst>
        </xdr:cNvPr>
        <xdr:cNvSpPr/>
      </xdr:nvSpPr>
      <xdr:spPr>
        <a:xfrm>
          <a:off x="1531620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142</xdr:row>
      <xdr:rowOff>0</xdr:rowOff>
    </xdr:from>
    <xdr:to>
      <xdr:col>71</xdr:col>
      <xdr:colOff>83820</xdr:colOff>
      <xdr:row>142</xdr:row>
      <xdr:rowOff>114300</xdr:rowOff>
    </xdr:to>
    <xdr:sp macro="" textlink="">
      <xdr:nvSpPr>
        <xdr:cNvPr id="1009" name="Arrow: Down 1008">
          <a:extLst>
            <a:ext uri="{FF2B5EF4-FFF2-40B4-BE49-F238E27FC236}">
              <a16:creationId xmlns:a16="http://schemas.microsoft.com/office/drawing/2014/main" id="{385D6C59-A9CE-4C01-B3BE-79BDC77197DB}"/>
            </a:ext>
          </a:extLst>
        </xdr:cNvPr>
        <xdr:cNvSpPr/>
      </xdr:nvSpPr>
      <xdr:spPr>
        <a:xfrm>
          <a:off x="1763268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143</xdr:row>
      <xdr:rowOff>0</xdr:rowOff>
    </xdr:from>
    <xdr:to>
      <xdr:col>45</xdr:col>
      <xdr:colOff>83820</xdr:colOff>
      <xdr:row>143</xdr:row>
      <xdr:rowOff>114300</xdr:rowOff>
    </xdr:to>
    <xdr:sp macro="" textlink="">
      <xdr:nvSpPr>
        <xdr:cNvPr id="1010" name="Arrow: Down 1009">
          <a:extLst>
            <a:ext uri="{FF2B5EF4-FFF2-40B4-BE49-F238E27FC236}">
              <a16:creationId xmlns:a16="http://schemas.microsoft.com/office/drawing/2014/main" id="{1F09D143-42FA-4180-B33F-85FCD3CDF024}"/>
            </a:ext>
          </a:extLst>
        </xdr:cNvPr>
        <xdr:cNvSpPr/>
      </xdr:nvSpPr>
      <xdr:spPr>
        <a:xfrm rot="10800000">
          <a:off x="1055370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143</xdr:row>
      <xdr:rowOff>0</xdr:rowOff>
    </xdr:from>
    <xdr:to>
      <xdr:col>24</xdr:col>
      <xdr:colOff>83820</xdr:colOff>
      <xdr:row>143</xdr:row>
      <xdr:rowOff>114300</xdr:rowOff>
    </xdr:to>
    <xdr:sp macro="" textlink="">
      <xdr:nvSpPr>
        <xdr:cNvPr id="1013" name="Arrow: Down 1012">
          <a:extLst>
            <a:ext uri="{FF2B5EF4-FFF2-40B4-BE49-F238E27FC236}">
              <a16:creationId xmlns:a16="http://schemas.microsoft.com/office/drawing/2014/main" id="{2ADE61B4-E15A-4931-B07D-E5D7E66F557D}"/>
            </a:ext>
          </a:extLst>
        </xdr:cNvPr>
        <xdr:cNvSpPr/>
      </xdr:nvSpPr>
      <xdr:spPr>
        <a:xfrm>
          <a:off x="558546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143</xdr:row>
      <xdr:rowOff>0</xdr:rowOff>
    </xdr:from>
    <xdr:to>
      <xdr:col>39</xdr:col>
      <xdr:colOff>83820</xdr:colOff>
      <xdr:row>143</xdr:row>
      <xdr:rowOff>114300</xdr:rowOff>
    </xdr:to>
    <xdr:sp macro="" textlink="">
      <xdr:nvSpPr>
        <xdr:cNvPr id="1014" name="Arrow: Down 1013">
          <a:extLst>
            <a:ext uri="{FF2B5EF4-FFF2-40B4-BE49-F238E27FC236}">
              <a16:creationId xmlns:a16="http://schemas.microsoft.com/office/drawing/2014/main" id="{46F27A80-7D11-4D2C-9D90-441C8E356C20}"/>
            </a:ext>
          </a:extLst>
        </xdr:cNvPr>
        <xdr:cNvSpPr/>
      </xdr:nvSpPr>
      <xdr:spPr>
        <a:xfrm rot="10800000">
          <a:off x="874776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143</xdr:row>
      <xdr:rowOff>0</xdr:rowOff>
    </xdr:from>
    <xdr:to>
      <xdr:col>5</xdr:col>
      <xdr:colOff>83820</xdr:colOff>
      <xdr:row>143</xdr:row>
      <xdr:rowOff>114300</xdr:rowOff>
    </xdr:to>
    <xdr:sp macro="" textlink="">
      <xdr:nvSpPr>
        <xdr:cNvPr id="1017" name="Arrow: Down 1016">
          <a:extLst>
            <a:ext uri="{FF2B5EF4-FFF2-40B4-BE49-F238E27FC236}">
              <a16:creationId xmlns:a16="http://schemas.microsoft.com/office/drawing/2014/main" id="{3C2EACB0-0E20-425C-9A5B-BBBA525B3332}"/>
            </a:ext>
          </a:extLst>
        </xdr:cNvPr>
        <xdr:cNvSpPr/>
      </xdr:nvSpPr>
      <xdr:spPr>
        <a:xfrm>
          <a:off x="192786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143</xdr:row>
      <xdr:rowOff>0</xdr:rowOff>
    </xdr:from>
    <xdr:to>
      <xdr:col>11</xdr:col>
      <xdr:colOff>83820</xdr:colOff>
      <xdr:row>143</xdr:row>
      <xdr:rowOff>114300</xdr:rowOff>
    </xdr:to>
    <xdr:sp macro="" textlink="">
      <xdr:nvSpPr>
        <xdr:cNvPr id="1018" name="Arrow: Down 1017">
          <a:extLst>
            <a:ext uri="{FF2B5EF4-FFF2-40B4-BE49-F238E27FC236}">
              <a16:creationId xmlns:a16="http://schemas.microsoft.com/office/drawing/2014/main" id="{FABB3758-4F9E-43D1-BD98-2CF8895FC508}"/>
            </a:ext>
          </a:extLst>
        </xdr:cNvPr>
        <xdr:cNvSpPr/>
      </xdr:nvSpPr>
      <xdr:spPr>
        <a:xfrm>
          <a:off x="361950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143</xdr:row>
      <xdr:rowOff>0</xdr:rowOff>
    </xdr:from>
    <xdr:to>
      <xdr:col>60</xdr:col>
      <xdr:colOff>83820</xdr:colOff>
      <xdr:row>143</xdr:row>
      <xdr:rowOff>114300</xdr:rowOff>
    </xdr:to>
    <xdr:sp macro="" textlink="">
      <xdr:nvSpPr>
        <xdr:cNvPr id="1020" name="Arrow: Down 1019">
          <a:extLst>
            <a:ext uri="{FF2B5EF4-FFF2-40B4-BE49-F238E27FC236}">
              <a16:creationId xmlns:a16="http://schemas.microsoft.com/office/drawing/2014/main" id="{8B334531-90EA-4A03-9E27-6599A2918149}"/>
            </a:ext>
          </a:extLst>
        </xdr:cNvPr>
        <xdr:cNvSpPr/>
      </xdr:nvSpPr>
      <xdr:spPr>
        <a:xfrm rot="10800000">
          <a:off x="15316200" y="26250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143</xdr:row>
      <xdr:rowOff>0</xdr:rowOff>
    </xdr:from>
    <xdr:to>
      <xdr:col>71</xdr:col>
      <xdr:colOff>83820</xdr:colOff>
      <xdr:row>143</xdr:row>
      <xdr:rowOff>114300</xdr:rowOff>
    </xdr:to>
    <xdr:sp macro="" textlink="">
      <xdr:nvSpPr>
        <xdr:cNvPr id="1021" name="Arrow: Down 1020">
          <a:extLst>
            <a:ext uri="{FF2B5EF4-FFF2-40B4-BE49-F238E27FC236}">
              <a16:creationId xmlns:a16="http://schemas.microsoft.com/office/drawing/2014/main" id="{7C07D284-5874-49CB-940F-CC744A2AF5F4}"/>
            </a:ext>
          </a:extLst>
        </xdr:cNvPr>
        <xdr:cNvSpPr/>
      </xdr:nvSpPr>
      <xdr:spPr>
        <a:xfrm rot="10800000">
          <a:off x="17632680" y="26250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144</xdr:row>
      <xdr:rowOff>0</xdr:rowOff>
    </xdr:from>
    <xdr:to>
      <xdr:col>24</xdr:col>
      <xdr:colOff>83820</xdr:colOff>
      <xdr:row>144</xdr:row>
      <xdr:rowOff>114300</xdr:rowOff>
    </xdr:to>
    <xdr:sp macro="" textlink="">
      <xdr:nvSpPr>
        <xdr:cNvPr id="1023" name="Arrow: Down 1022">
          <a:extLst>
            <a:ext uri="{FF2B5EF4-FFF2-40B4-BE49-F238E27FC236}">
              <a16:creationId xmlns:a16="http://schemas.microsoft.com/office/drawing/2014/main" id="{AAF4BF62-B6BC-4F6B-9AE5-CE06B14D9EB2}"/>
            </a:ext>
          </a:extLst>
        </xdr:cNvPr>
        <xdr:cNvSpPr/>
      </xdr:nvSpPr>
      <xdr:spPr>
        <a:xfrm>
          <a:off x="558546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144</xdr:row>
      <xdr:rowOff>0</xdr:rowOff>
    </xdr:from>
    <xdr:to>
      <xdr:col>5</xdr:col>
      <xdr:colOff>83820</xdr:colOff>
      <xdr:row>144</xdr:row>
      <xdr:rowOff>114300</xdr:rowOff>
    </xdr:to>
    <xdr:sp macro="" textlink="">
      <xdr:nvSpPr>
        <xdr:cNvPr id="1025" name="Arrow: Down 1024">
          <a:extLst>
            <a:ext uri="{FF2B5EF4-FFF2-40B4-BE49-F238E27FC236}">
              <a16:creationId xmlns:a16="http://schemas.microsoft.com/office/drawing/2014/main" id="{5E36AA2B-3324-48E2-8081-D1307CD80C7B}"/>
            </a:ext>
          </a:extLst>
        </xdr:cNvPr>
        <xdr:cNvSpPr/>
      </xdr:nvSpPr>
      <xdr:spPr>
        <a:xfrm>
          <a:off x="192786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144</xdr:row>
      <xdr:rowOff>0</xdr:rowOff>
    </xdr:from>
    <xdr:to>
      <xdr:col>11</xdr:col>
      <xdr:colOff>83820</xdr:colOff>
      <xdr:row>144</xdr:row>
      <xdr:rowOff>114300</xdr:rowOff>
    </xdr:to>
    <xdr:sp macro="" textlink="">
      <xdr:nvSpPr>
        <xdr:cNvPr id="1026" name="Arrow: Down 1025">
          <a:extLst>
            <a:ext uri="{FF2B5EF4-FFF2-40B4-BE49-F238E27FC236}">
              <a16:creationId xmlns:a16="http://schemas.microsoft.com/office/drawing/2014/main" id="{49253A47-471B-4537-9E4A-918ACE527AF9}"/>
            </a:ext>
          </a:extLst>
        </xdr:cNvPr>
        <xdr:cNvSpPr/>
      </xdr:nvSpPr>
      <xdr:spPr>
        <a:xfrm>
          <a:off x="361950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144</xdr:row>
      <xdr:rowOff>0</xdr:rowOff>
    </xdr:from>
    <xdr:to>
      <xdr:col>60</xdr:col>
      <xdr:colOff>83820</xdr:colOff>
      <xdr:row>144</xdr:row>
      <xdr:rowOff>114300</xdr:rowOff>
    </xdr:to>
    <xdr:sp macro="" textlink="">
      <xdr:nvSpPr>
        <xdr:cNvPr id="1029" name="Arrow: Down 1028">
          <a:extLst>
            <a:ext uri="{FF2B5EF4-FFF2-40B4-BE49-F238E27FC236}">
              <a16:creationId xmlns:a16="http://schemas.microsoft.com/office/drawing/2014/main" id="{12CAADF9-475E-4BEF-806F-52E0C255B0ED}"/>
            </a:ext>
          </a:extLst>
        </xdr:cNvPr>
        <xdr:cNvSpPr/>
      </xdr:nvSpPr>
      <xdr:spPr>
        <a:xfrm>
          <a:off x="1531620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144</xdr:row>
      <xdr:rowOff>0</xdr:rowOff>
    </xdr:from>
    <xdr:to>
      <xdr:col>71</xdr:col>
      <xdr:colOff>83820</xdr:colOff>
      <xdr:row>144</xdr:row>
      <xdr:rowOff>114300</xdr:rowOff>
    </xdr:to>
    <xdr:sp macro="" textlink="">
      <xdr:nvSpPr>
        <xdr:cNvPr id="1030" name="Arrow: Down 1029">
          <a:extLst>
            <a:ext uri="{FF2B5EF4-FFF2-40B4-BE49-F238E27FC236}">
              <a16:creationId xmlns:a16="http://schemas.microsoft.com/office/drawing/2014/main" id="{08831B7E-64AA-4F7B-B7B9-6C6815274A79}"/>
            </a:ext>
          </a:extLst>
        </xdr:cNvPr>
        <xdr:cNvSpPr/>
      </xdr:nvSpPr>
      <xdr:spPr>
        <a:xfrm>
          <a:off x="1763268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144</xdr:row>
      <xdr:rowOff>0</xdr:rowOff>
    </xdr:from>
    <xdr:to>
      <xdr:col>39</xdr:col>
      <xdr:colOff>83820</xdr:colOff>
      <xdr:row>144</xdr:row>
      <xdr:rowOff>114300</xdr:rowOff>
    </xdr:to>
    <xdr:sp macro="" textlink="">
      <xdr:nvSpPr>
        <xdr:cNvPr id="1031" name="Arrow: Down 1030">
          <a:extLst>
            <a:ext uri="{FF2B5EF4-FFF2-40B4-BE49-F238E27FC236}">
              <a16:creationId xmlns:a16="http://schemas.microsoft.com/office/drawing/2014/main" id="{40CD1573-43A9-48F2-9C38-DDAE79E1761B}"/>
            </a:ext>
          </a:extLst>
        </xdr:cNvPr>
        <xdr:cNvSpPr/>
      </xdr:nvSpPr>
      <xdr:spPr>
        <a:xfrm>
          <a:off x="12687300" y="26433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144</xdr:row>
      <xdr:rowOff>0</xdr:rowOff>
    </xdr:from>
    <xdr:to>
      <xdr:col>45</xdr:col>
      <xdr:colOff>83820</xdr:colOff>
      <xdr:row>144</xdr:row>
      <xdr:rowOff>114300</xdr:rowOff>
    </xdr:to>
    <xdr:sp macro="" textlink="">
      <xdr:nvSpPr>
        <xdr:cNvPr id="1032" name="Arrow: Down 1031">
          <a:extLst>
            <a:ext uri="{FF2B5EF4-FFF2-40B4-BE49-F238E27FC236}">
              <a16:creationId xmlns:a16="http://schemas.microsoft.com/office/drawing/2014/main" id="{2F271A85-D695-49FE-94F0-6FC114635A34}"/>
            </a:ext>
          </a:extLst>
        </xdr:cNvPr>
        <xdr:cNvSpPr/>
      </xdr:nvSpPr>
      <xdr:spPr>
        <a:xfrm>
          <a:off x="14493240" y="26433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145</xdr:row>
      <xdr:rowOff>0</xdr:rowOff>
    </xdr:from>
    <xdr:to>
      <xdr:col>5</xdr:col>
      <xdr:colOff>83820</xdr:colOff>
      <xdr:row>145</xdr:row>
      <xdr:rowOff>114300</xdr:rowOff>
    </xdr:to>
    <xdr:sp macro="" textlink="">
      <xdr:nvSpPr>
        <xdr:cNvPr id="1041" name="Arrow: Down 1040">
          <a:extLst>
            <a:ext uri="{FF2B5EF4-FFF2-40B4-BE49-F238E27FC236}">
              <a16:creationId xmlns:a16="http://schemas.microsoft.com/office/drawing/2014/main" id="{061DDFF6-0D74-43E3-85AB-B2E1E1CA803B}"/>
            </a:ext>
          </a:extLst>
        </xdr:cNvPr>
        <xdr:cNvSpPr/>
      </xdr:nvSpPr>
      <xdr:spPr>
        <a:xfrm>
          <a:off x="192786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145</xdr:row>
      <xdr:rowOff>0</xdr:rowOff>
    </xdr:from>
    <xdr:to>
      <xdr:col>11</xdr:col>
      <xdr:colOff>83820</xdr:colOff>
      <xdr:row>145</xdr:row>
      <xdr:rowOff>114300</xdr:rowOff>
    </xdr:to>
    <xdr:sp macro="" textlink="">
      <xdr:nvSpPr>
        <xdr:cNvPr id="1042" name="Arrow: Down 1041">
          <a:extLst>
            <a:ext uri="{FF2B5EF4-FFF2-40B4-BE49-F238E27FC236}">
              <a16:creationId xmlns:a16="http://schemas.microsoft.com/office/drawing/2014/main" id="{DDD06988-826E-4A10-9111-54908FA5C8E5}"/>
            </a:ext>
          </a:extLst>
        </xdr:cNvPr>
        <xdr:cNvSpPr/>
      </xdr:nvSpPr>
      <xdr:spPr>
        <a:xfrm>
          <a:off x="361950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145</xdr:row>
      <xdr:rowOff>0</xdr:rowOff>
    </xdr:from>
    <xdr:to>
      <xdr:col>60</xdr:col>
      <xdr:colOff>83820</xdr:colOff>
      <xdr:row>145</xdr:row>
      <xdr:rowOff>114300</xdr:rowOff>
    </xdr:to>
    <xdr:sp macro="" textlink="">
      <xdr:nvSpPr>
        <xdr:cNvPr id="1043" name="Arrow: Down 1042">
          <a:extLst>
            <a:ext uri="{FF2B5EF4-FFF2-40B4-BE49-F238E27FC236}">
              <a16:creationId xmlns:a16="http://schemas.microsoft.com/office/drawing/2014/main" id="{A619A990-27A1-4AF3-B800-FAE5A2E56A04}"/>
            </a:ext>
          </a:extLst>
        </xdr:cNvPr>
        <xdr:cNvSpPr/>
      </xdr:nvSpPr>
      <xdr:spPr>
        <a:xfrm>
          <a:off x="1531620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145</xdr:row>
      <xdr:rowOff>0</xdr:rowOff>
    </xdr:from>
    <xdr:to>
      <xdr:col>71</xdr:col>
      <xdr:colOff>83820</xdr:colOff>
      <xdr:row>145</xdr:row>
      <xdr:rowOff>114300</xdr:rowOff>
    </xdr:to>
    <xdr:sp macro="" textlink="">
      <xdr:nvSpPr>
        <xdr:cNvPr id="1044" name="Arrow: Down 1043">
          <a:extLst>
            <a:ext uri="{FF2B5EF4-FFF2-40B4-BE49-F238E27FC236}">
              <a16:creationId xmlns:a16="http://schemas.microsoft.com/office/drawing/2014/main" id="{D65B4D1C-2E6D-4F50-B93D-59DD805FC331}"/>
            </a:ext>
          </a:extLst>
        </xdr:cNvPr>
        <xdr:cNvSpPr/>
      </xdr:nvSpPr>
      <xdr:spPr>
        <a:xfrm>
          <a:off x="1763268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145</xdr:row>
      <xdr:rowOff>0</xdr:rowOff>
    </xdr:from>
    <xdr:to>
      <xdr:col>39</xdr:col>
      <xdr:colOff>83820</xdr:colOff>
      <xdr:row>145</xdr:row>
      <xdr:rowOff>114300</xdr:rowOff>
    </xdr:to>
    <xdr:sp macro="" textlink="">
      <xdr:nvSpPr>
        <xdr:cNvPr id="956" name="Arrow: Down 955">
          <a:extLst>
            <a:ext uri="{FF2B5EF4-FFF2-40B4-BE49-F238E27FC236}">
              <a16:creationId xmlns:a16="http://schemas.microsoft.com/office/drawing/2014/main" id="{4042548F-17FB-48DC-A7ED-BFE8177CD795}"/>
            </a:ext>
          </a:extLst>
        </xdr:cNvPr>
        <xdr:cNvSpPr/>
      </xdr:nvSpPr>
      <xdr:spPr>
        <a:xfrm rot="10800000">
          <a:off x="8747760" y="26616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145</xdr:row>
      <xdr:rowOff>0</xdr:rowOff>
    </xdr:from>
    <xdr:to>
      <xdr:col>45</xdr:col>
      <xdr:colOff>83820</xdr:colOff>
      <xdr:row>145</xdr:row>
      <xdr:rowOff>114300</xdr:rowOff>
    </xdr:to>
    <xdr:sp macro="" textlink="">
      <xdr:nvSpPr>
        <xdr:cNvPr id="957" name="Arrow: Down 956">
          <a:extLst>
            <a:ext uri="{FF2B5EF4-FFF2-40B4-BE49-F238E27FC236}">
              <a16:creationId xmlns:a16="http://schemas.microsoft.com/office/drawing/2014/main" id="{2BEF22FE-1D6F-4F76-8A7C-953FE0E3D8D3}"/>
            </a:ext>
          </a:extLst>
        </xdr:cNvPr>
        <xdr:cNvSpPr/>
      </xdr:nvSpPr>
      <xdr:spPr>
        <a:xfrm rot="10800000">
          <a:off x="10553700" y="26616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145</xdr:row>
      <xdr:rowOff>0</xdr:rowOff>
    </xdr:from>
    <xdr:to>
      <xdr:col>24</xdr:col>
      <xdr:colOff>83820</xdr:colOff>
      <xdr:row>145</xdr:row>
      <xdr:rowOff>114300</xdr:rowOff>
    </xdr:to>
    <xdr:sp macro="" textlink="">
      <xdr:nvSpPr>
        <xdr:cNvPr id="958" name="Arrow: Down 957">
          <a:extLst>
            <a:ext uri="{FF2B5EF4-FFF2-40B4-BE49-F238E27FC236}">
              <a16:creationId xmlns:a16="http://schemas.microsoft.com/office/drawing/2014/main" id="{A8F4120E-A402-493A-A0A5-946F9A4D7218}"/>
            </a:ext>
          </a:extLst>
        </xdr:cNvPr>
        <xdr:cNvSpPr/>
      </xdr:nvSpPr>
      <xdr:spPr>
        <a:xfrm rot="10800000">
          <a:off x="5585460" y="26616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146</xdr:row>
      <xdr:rowOff>0</xdr:rowOff>
    </xdr:from>
    <xdr:to>
      <xdr:col>45</xdr:col>
      <xdr:colOff>83820</xdr:colOff>
      <xdr:row>146</xdr:row>
      <xdr:rowOff>114300</xdr:rowOff>
    </xdr:to>
    <xdr:sp macro="" textlink="">
      <xdr:nvSpPr>
        <xdr:cNvPr id="980" name="Arrow: Down 979">
          <a:extLst>
            <a:ext uri="{FF2B5EF4-FFF2-40B4-BE49-F238E27FC236}">
              <a16:creationId xmlns:a16="http://schemas.microsoft.com/office/drawing/2014/main" id="{21AB4641-BC99-4708-A355-D79018888AD5}"/>
            </a:ext>
          </a:extLst>
        </xdr:cNvPr>
        <xdr:cNvSpPr/>
      </xdr:nvSpPr>
      <xdr:spPr>
        <a:xfrm rot="10800000">
          <a:off x="10553700" y="26616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146</xdr:row>
      <xdr:rowOff>0</xdr:rowOff>
    </xdr:from>
    <xdr:to>
      <xdr:col>5</xdr:col>
      <xdr:colOff>83820</xdr:colOff>
      <xdr:row>146</xdr:row>
      <xdr:rowOff>114300</xdr:rowOff>
    </xdr:to>
    <xdr:sp macro="" textlink="">
      <xdr:nvSpPr>
        <xdr:cNvPr id="993" name="Arrow: Down 992">
          <a:extLst>
            <a:ext uri="{FF2B5EF4-FFF2-40B4-BE49-F238E27FC236}">
              <a16:creationId xmlns:a16="http://schemas.microsoft.com/office/drawing/2014/main" id="{C85C23AC-F411-4478-B543-DF678A2CEE02}"/>
            </a:ext>
          </a:extLst>
        </xdr:cNvPr>
        <xdr:cNvSpPr/>
      </xdr:nvSpPr>
      <xdr:spPr>
        <a:xfrm rot="10800000">
          <a:off x="19278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146</xdr:row>
      <xdr:rowOff>0</xdr:rowOff>
    </xdr:from>
    <xdr:to>
      <xdr:col>11</xdr:col>
      <xdr:colOff>83820</xdr:colOff>
      <xdr:row>146</xdr:row>
      <xdr:rowOff>114300</xdr:rowOff>
    </xdr:to>
    <xdr:sp macro="" textlink="">
      <xdr:nvSpPr>
        <xdr:cNvPr id="1012" name="Arrow: Down 1011">
          <a:extLst>
            <a:ext uri="{FF2B5EF4-FFF2-40B4-BE49-F238E27FC236}">
              <a16:creationId xmlns:a16="http://schemas.microsoft.com/office/drawing/2014/main" id="{8231E96B-83FD-4F59-82DC-9051754BCCBF}"/>
            </a:ext>
          </a:extLst>
        </xdr:cNvPr>
        <xdr:cNvSpPr/>
      </xdr:nvSpPr>
      <xdr:spPr>
        <a:xfrm rot="10800000">
          <a:off x="361950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146</xdr:row>
      <xdr:rowOff>0</xdr:rowOff>
    </xdr:from>
    <xdr:to>
      <xdr:col>24</xdr:col>
      <xdr:colOff>83820</xdr:colOff>
      <xdr:row>146</xdr:row>
      <xdr:rowOff>114300</xdr:rowOff>
    </xdr:to>
    <xdr:sp macro="" textlink="">
      <xdr:nvSpPr>
        <xdr:cNvPr id="1019" name="Arrow: Down 1018">
          <a:extLst>
            <a:ext uri="{FF2B5EF4-FFF2-40B4-BE49-F238E27FC236}">
              <a16:creationId xmlns:a16="http://schemas.microsoft.com/office/drawing/2014/main" id="{AD752C76-253C-44EC-AD26-21EB0C44A10A}"/>
            </a:ext>
          </a:extLst>
        </xdr:cNvPr>
        <xdr:cNvSpPr/>
      </xdr:nvSpPr>
      <xdr:spPr>
        <a:xfrm rot="10800000">
          <a:off x="55854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146</xdr:row>
      <xdr:rowOff>0</xdr:rowOff>
    </xdr:from>
    <xdr:to>
      <xdr:col>39</xdr:col>
      <xdr:colOff>83820</xdr:colOff>
      <xdr:row>146</xdr:row>
      <xdr:rowOff>114300</xdr:rowOff>
    </xdr:to>
    <xdr:sp macro="" textlink="">
      <xdr:nvSpPr>
        <xdr:cNvPr id="1022" name="Arrow: Down 1021">
          <a:extLst>
            <a:ext uri="{FF2B5EF4-FFF2-40B4-BE49-F238E27FC236}">
              <a16:creationId xmlns:a16="http://schemas.microsoft.com/office/drawing/2014/main" id="{53F8F98E-393D-4BC4-92CD-C52AF6CD3A46}"/>
            </a:ext>
          </a:extLst>
        </xdr:cNvPr>
        <xdr:cNvSpPr/>
      </xdr:nvSpPr>
      <xdr:spPr>
        <a:xfrm>
          <a:off x="87477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146</xdr:row>
      <xdr:rowOff>0</xdr:rowOff>
    </xdr:from>
    <xdr:to>
      <xdr:col>60</xdr:col>
      <xdr:colOff>83820</xdr:colOff>
      <xdr:row>146</xdr:row>
      <xdr:rowOff>114300</xdr:rowOff>
    </xdr:to>
    <xdr:sp macro="" textlink="">
      <xdr:nvSpPr>
        <xdr:cNvPr id="1027" name="Arrow: Down 1026">
          <a:extLst>
            <a:ext uri="{FF2B5EF4-FFF2-40B4-BE49-F238E27FC236}">
              <a16:creationId xmlns:a16="http://schemas.microsoft.com/office/drawing/2014/main" id="{C813538D-D35C-4BD9-A134-949B7B4BCF2F}"/>
            </a:ext>
          </a:extLst>
        </xdr:cNvPr>
        <xdr:cNvSpPr/>
      </xdr:nvSpPr>
      <xdr:spPr>
        <a:xfrm rot="10800000">
          <a:off x="1531620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146</xdr:row>
      <xdr:rowOff>0</xdr:rowOff>
    </xdr:from>
    <xdr:to>
      <xdr:col>71</xdr:col>
      <xdr:colOff>83820</xdr:colOff>
      <xdr:row>146</xdr:row>
      <xdr:rowOff>114300</xdr:rowOff>
    </xdr:to>
    <xdr:sp macro="" textlink="">
      <xdr:nvSpPr>
        <xdr:cNvPr id="1028" name="Arrow: Down 1027">
          <a:extLst>
            <a:ext uri="{FF2B5EF4-FFF2-40B4-BE49-F238E27FC236}">
              <a16:creationId xmlns:a16="http://schemas.microsoft.com/office/drawing/2014/main" id="{340696E2-9F6B-4B05-89ED-AE1782A7814A}"/>
            </a:ext>
          </a:extLst>
        </xdr:cNvPr>
        <xdr:cNvSpPr/>
      </xdr:nvSpPr>
      <xdr:spPr>
        <a:xfrm rot="10800000">
          <a:off x="1763268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147</xdr:row>
      <xdr:rowOff>0</xdr:rowOff>
    </xdr:from>
    <xdr:to>
      <xdr:col>45</xdr:col>
      <xdr:colOff>83820</xdr:colOff>
      <xdr:row>147</xdr:row>
      <xdr:rowOff>114300</xdr:rowOff>
    </xdr:to>
    <xdr:sp macro="" textlink="">
      <xdr:nvSpPr>
        <xdr:cNvPr id="966" name="Arrow: Down 965">
          <a:extLst>
            <a:ext uri="{FF2B5EF4-FFF2-40B4-BE49-F238E27FC236}">
              <a16:creationId xmlns:a16="http://schemas.microsoft.com/office/drawing/2014/main" id="{72BFFA0E-C232-40F3-B57B-7001EF2C7836}"/>
            </a:ext>
          </a:extLst>
        </xdr:cNvPr>
        <xdr:cNvSpPr/>
      </xdr:nvSpPr>
      <xdr:spPr>
        <a:xfrm rot="10800000">
          <a:off x="10553700" y="26799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147</xdr:row>
      <xdr:rowOff>0</xdr:rowOff>
    </xdr:from>
    <xdr:to>
      <xdr:col>5</xdr:col>
      <xdr:colOff>83820</xdr:colOff>
      <xdr:row>147</xdr:row>
      <xdr:rowOff>114300</xdr:rowOff>
    </xdr:to>
    <xdr:sp macro="" textlink="">
      <xdr:nvSpPr>
        <xdr:cNvPr id="969" name="Arrow: Down 968">
          <a:extLst>
            <a:ext uri="{FF2B5EF4-FFF2-40B4-BE49-F238E27FC236}">
              <a16:creationId xmlns:a16="http://schemas.microsoft.com/office/drawing/2014/main" id="{552F8DA2-A27E-46CA-84A1-F35E5606733A}"/>
            </a:ext>
          </a:extLst>
        </xdr:cNvPr>
        <xdr:cNvSpPr/>
      </xdr:nvSpPr>
      <xdr:spPr>
        <a:xfrm rot="10800000">
          <a:off x="19278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147</xdr:row>
      <xdr:rowOff>0</xdr:rowOff>
    </xdr:from>
    <xdr:to>
      <xdr:col>11</xdr:col>
      <xdr:colOff>83820</xdr:colOff>
      <xdr:row>147</xdr:row>
      <xdr:rowOff>114300</xdr:rowOff>
    </xdr:to>
    <xdr:sp macro="" textlink="">
      <xdr:nvSpPr>
        <xdr:cNvPr id="970" name="Arrow: Down 969">
          <a:extLst>
            <a:ext uri="{FF2B5EF4-FFF2-40B4-BE49-F238E27FC236}">
              <a16:creationId xmlns:a16="http://schemas.microsoft.com/office/drawing/2014/main" id="{BFDBAF4B-64A8-49D6-B3F6-BCE12191C1F9}"/>
            </a:ext>
          </a:extLst>
        </xdr:cNvPr>
        <xdr:cNvSpPr/>
      </xdr:nvSpPr>
      <xdr:spPr>
        <a:xfrm rot="10800000">
          <a:off x="361950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147</xdr:row>
      <xdr:rowOff>0</xdr:rowOff>
    </xdr:from>
    <xdr:to>
      <xdr:col>24</xdr:col>
      <xdr:colOff>83820</xdr:colOff>
      <xdr:row>147</xdr:row>
      <xdr:rowOff>114300</xdr:rowOff>
    </xdr:to>
    <xdr:sp macro="" textlink="">
      <xdr:nvSpPr>
        <xdr:cNvPr id="995" name="Arrow: Down 994">
          <a:extLst>
            <a:ext uri="{FF2B5EF4-FFF2-40B4-BE49-F238E27FC236}">
              <a16:creationId xmlns:a16="http://schemas.microsoft.com/office/drawing/2014/main" id="{60B83ED8-90A9-4E9F-ABB2-E90ED218F1E1}"/>
            </a:ext>
          </a:extLst>
        </xdr:cNvPr>
        <xdr:cNvSpPr/>
      </xdr:nvSpPr>
      <xdr:spPr>
        <a:xfrm>
          <a:off x="558546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147</xdr:row>
      <xdr:rowOff>0</xdr:rowOff>
    </xdr:from>
    <xdr:to>
      <xdr:col>39</xdr:col>
      <xdr:colOff>83820</xdr:colOff>
      <xdr:row>147</xdr:row>
      <xdr:rowOff>114300</xdr:rowOff>
    </xdr:to>
    <xdr:sp macro="" textlink="">
      <xdr:nvSpPr>
        <xdr:cNvPr id="1011" name="Arrow: Down 1010">
          <a:extLst>
            <a:ext uri="{FF2B5EF4-FFF2-40B4-BE49-F238E27FC236}">
              <a16:creationId xmlns:a16="http://schemas.microsoft.com/office/drawing/2014/main" id="{13A4E355-5C6F-48A6-8861-C0F1209BE355}"/>
            </a:ext>
          </a:extLst>
        </xdr:cNvPr>
        <xdr:cNvSpPr/>
      </xdr:nvSpPr>
      <xdr:spPr>
        <a:xfrm rot="10800000">
          <a:off x="874776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147</xdr:row>
      <xdr:rowOff>0</xdr:rowOff>
    </xdr:from>
    <xdr:to>
      <xdr:col>60</xdr:col>
      <xdr:colOff>83820</xdr:colOff>
      <xdr:row>147</xdr:row>
      <xdr:rowOff>114300</xdr:rowOff>
    </xdr:to>
    <xdr:sp macro="" textlink="">
      <xdr:nvSpPr>
        <xdr:cNvPr id="1016" name="Arrow: Down 1015">
          <a:extLst>
            <a:ext uri="{FF2B5EF4-FFF2-40B4-BE49-F238E27FC236}">
              <a16:creationId xmlns:a16="http://schemas.microsoft.com/office/drawing/2014/main" id="{607FA836-3359-4408-80D5-8D823F60FC9C}"/>
            </a:ext>
          </a:extLst>
        </xdr:cNvPr>
        <xdr:cNvSpPr/>
      </xdr:nvSpPr>
      <xdr:spPr>
        <a:xfrm>
          <a:off x="1531620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147</xdr:row>
      <xdr:rowOff>0</xdr:rowOff>
    </xdr:from>
    <xdr:to>
      <xdr:col>71</xdr:col>
      <xdr:colOff>83820</xdr:colOff>
      <xdr:row>147</xdr:row>
      <xdr:rowOff>114300</xdr:rowOff>
    </xdr:to>
    <xdr:sp macro="" textlink="">
      <xdr:nvSpPr>
        <xdr:cNvPr id="1033" name="Arrow: Down 1032">
          <a:extLst>
            <a:ext uri="{FF2B5EF4-FFF2-40B4-BE49-F238E27FC236}">
              <a16:creationId xmlns:a16="http://schemas.microsoft.com/office/drawing/2014/main" id="{B2053CE8-9EF9-4895-BE89-9235141768D6}"/>
            </a:ext>
          </a:extLst>
        </xdr:cNvPr>
        <xdr:cNvSpPr/>
      </xdr:nvSpPr>
      <xdr:spPr>
        <a:xfrm>
          <a:off x="1763268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148</xdr:row>
      <xdr:rowOff>0</xdr:rowOff>
    </xdr:from>
    <xdr:to>
      <xdr:col>5</xdr:col>
      <xdr:colOff>83820</xdr:colOff>
      <xdr:row>148</xdr:row>
      <xdr:rowOff>114300</xdr:rowOff>
    </xdr:to>
    <xdr:sp macro="" textlink="">
      <xdr:nvSpPr>
        <xdr:cNvPr id="1035" name="Arrow: Down 1034">
          <a:extLst>
            <a:ext uri="{FF2B5EF4-FFF2-40B4-BE49-F238E27FC236}">
              <a16:creationId xmlns:a16="http://schemas.microsoft.com/office/drawing/2014/main" id="{A5AA3208-8BE5-455C-BCDB-49AFAA41B5A1}"/>
            </a:ext>
          </a:extLst>
        </xdr:cNvPr>
        <xdr:cNvSpPr/>
      </xdr:nvSpPr>
      <xdr:spPr>
        <a:xfrm rot="10800000">
          <a:off x="1927860" y="26982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148</xdr:row>
      <xdr:rowOff>0</xdr:rowOff>
    </xdr:from>
    <xdr:to>
      <xdr:col>11</xdr:col>
      <xdr:colOff>83820</xdr:colOff>
      <xdr:row>148</xdr:row>
      <xdr:rowOff>114300</xdr:rowOff>
    </xdr:to>
    <xdr:sp macro="" textlink="">
      <xdr:nvSpPr>
        <xdr:cNvPr id="1036" name="Arrow: Down 1035">
          <a:extLst>
            <a:ext uri="{FF2B5EF4-FFF2-40B4-BE49-F238E27FC236}">
              <a16:creationId xmlns:a16="http://schemas.microsoft.com/office/drawing/2014/main" id="{B459710A-16EF-41C1-984C-48D9748CE23A}"/>
            </a:ext>
          </a:extLst>
        </xdr:cNvPr>
        <xdr:cNvSpPr/>
      </xdr:nvSpPr>
      <xdr:spPr>
        <a:xfrm rot="10800000">
          <a:off x="3619500" y="26982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148</xdr:row>
      <xdr:rowOff>0</xdr:rowOff>
    </xdr:from>
    <xdr:to>
      <xdr:col>24</xdr:col>
      <xdr:colOff>83820</xdr:colOff>
      <xdr:row>148</xdr:row>
      <xdr:rowOff>114300</xdr:rowOff>
    </xdr:to>
    <xdr:sp macro="" textlink="">
      <xdr:nvSpPr>
        <xdr:cNvPr id="1037" name="Arrow: Down 1036">
          <a:extLst>
            <a:ext uri="{FF2B5EF4-FFF2-40B4-BE49-F238E27FC236}">
              <a16:creationId xmlns:a16="http://schemas.microsoft.com/office/drawing/2014/main" id="{C80FE9FA-87DF-495E-AD20-38952F2F2D38}"/>
            </a:ext>
          </a:extLst>
        </xdr:cNvPr>
        <xdr:cNvSpPr/>
      </xdr:nvSpPr>
      <xdr:spPr>
        <a:xfrm>
          <a:off x="558546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148</xdr:row>
      <xdr:rowOff>0</xdr:rowOff>
    </xdr:from>
    <xdr:to>
      <xdr:col>39</xdr:col>
      <xdr:colOff>83820</xdr:colOff>
      <xdr:row>148</xdr:row>
      <xdr:rowOff>114300</xdr:rowOff>
    </xdr:to>
    <xdr:sp macro="" textlink="">
      <xdr:nvSpPr>
        <xdr:cNvPr id="971" name="Arrow: Down 970">
          <a:extLst>
            <a:ext uri="{FF2B5EF4-FFF2-40B4-BE49-F238E27FC236}">
              <a16:creationId xmlns:a16="http://schemas.microsoft.com/office/drawing/2014/main" id="{296C5CD7-37E2-430D-9B00-4773671856CF}"/>
            </a:ext>
          </a:extLst>
        </xdr:cNvPr>
        <xdr:cNvSpPr/>
      </xdr:nvSpPr>
      <xdr:spPr>
        <a:xfrm>
          <a:off x="874776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148</xdr:row>
      <xdr:rowOff>0</xdr:rowOff>
    </xdr:from>
    <xdr:to>
      <xdr:col>45</xdr:col>
      <xdr:colOff>83820</xdr:colOff>
      <xdr:row>148</xdr:row>
      <xdr:rowOff>114300</xdr:rowOff>
    </xdr:to>
    <xdr:sp macro="" textlink="">
      <xdr:nvSpPr>
        <xdr:cNvPr id="976" name="Arrow: Down 975">
          <a:extLst>
            <a:ext uri="{FF2B5EF4-FFF2-40B4-BE49-F238E27FC236}">
              <a16:creationId xmlns:a16="http://schemas.microsoft.com/office/drawing/2014/main" id="{0B8F77B7-5EEA-4BC8-84A7-8342CEDF02BF}"/>
            </a:ext>
          </a:extLst>
        </xdr:cNvPr>
        <xdr:cNvSpPr/>
      </xdr:nvSpPr>
      <xdr:spPr>
        <a:xfrm>
          <a:off x="105537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148</xdr:row>
      <xdr:rowOff>0</xdr:rowOff>
    </xdr:from>
    <xdr:to>
      <xdr:col>60</xdr:col>
      <xdr:colOff>83820</xdr:colOff>
      <xdr:row>148</xdr:row>
      <xdr:rowOff>114300</xdr:rowOff>
    </xdr:to>
    <xdr:sp macro="" textlink="">
      <xdr:nvSpPr>
        <xdr:cNvPr id="991" name="Arrow: Down 990">
          <a:extLst>
            <a:ext uri="{FF2B5EF4-FFF2-40B4-BE49-F238E27FC236}">
              <a16:creationId xmlns:a16="http://schemas.microsoft.com/office/drawing/2014/main" id="{ED9DD4B0-1C29-4DDA-9371-C1E6953FD022}"/>
            </a:ext>
          </a:extLst>
        </xdr:cNvPr>
        <xdr:cNvSpPr/>
      </xdr:nvSpPr>
      <xdr:spPr>
        <a:xfrm rot="10800000">
          <a:off x="153162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148</xdr:row>
      <xdr:rowOff>0</xdr:rowOff>
    </xdr:from>
    <xdr:to>
      <xdr:col>71</xdr:col>
      <xdr:colOff>83820</xdr:colOff>
      <xdr:row>148</xdr:row>
      <xdr:rowOff>114300</xdr:rowOff>
    </xdr:to>
    <xdr:sp macro="" textlink="">
      <xdr:nvSpPr>
        <xdr:cNvPr id="1015" name="Arrow: Down 1014">
          <a:extLst>
            <a:ext uri="{FF2B5EF4-FFF2-40B4-BE49-F238E27FC236}">
              <a16:creationId xmlns:a16="http://schemas.microsoft.com/office/drawing/2014/main" id="{2D407877-704A-4DE9-AAE5-C871FC912F94}"/>
            </a:ext>
          </a:extLst>
        </xdr:cNvPr>
        <xdr:cNvSpPr/>
      </xdr:nvSpPr>
      <xdr:spPr>
        <a:xfrm rot="10800000">
          <a:off x="1763268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149</xdr:row>
      <xdr:rowOff>0</xdr:rowOff>
    </xdr:from>
    <xdr:to>
      <xdr:col>5</xdr:col>
      <xdr:colOff>83820</xdr:colOff>
      <xdr:row>149</xdr:row>
      <xdr:rowOff>114300</xdr:rowOff>
    </xdr:to>
    <xdr:sp macro="" textlink="">
      <xdr:nvSpPr>
        <xdr:cNvPr id="1024" name="Arrow: Down 1023">
          <a:extLst>
            <a:ext uri="{FF2B5EF4-FFF2-40B4-BE49-F238E27FC236}">
              <a16:creationId xmlns:a16="http://schemas.microsoft.com/office/drawing/2014/main" id="{61690D22-DB69-40EF-BF2F-6DBEDEDAB309}"/>
            </a:ext>
          </a:extLst>
        </xdr:cNvPr>
        <xdr:cNvSpPr/>
      </xdr:nvSpPr>
      <xdr:spPr>
        <a:xfrm rot="10800000">
          <a:off x="192786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149</xdr:row>
      <xdr:rowOff>0</xdr:rowOff>
    </xdr:from>
    <xdr:to>
      <xdr:col>11</xdr:col>
      <xdr:colOff>83820</xdr:colOff>
      <xdr:row>149</xdr:row>
      <xdr:rowOff>114300</xdr:rowOff>
    </xdr:to>
    <xdr:sp macro="" textlink="">
      <xdr:nvSpPr>
        <xdr:cNvPr id="1045" name="Arrow: Down 1044">
          <a:extLst>
            <a:ext uri="{FF2B5EF4-FFF2-40B4-BE49-F238E27FC236}">
              <a16:creationId xmlns:a16="http://schemas.microsoft.com/office/drawing/2014/main" id="{D938406B-ADC5-4582-9DE0-EEA86B1A9EE1}"/>
            </a:ext>
          </a:extLst>
        </xdr:cNvPr>
        <xdr:cNvSpPr/>
      </xdr:nvSpPr>
      <xdr:spPr>
        <a:xfrm rot="10800000">
          <a:off x="36195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149</xdr:row>
      <xdr:rowOff>0</xdr:rowOff>
    </xdr:from>
    <xdr:to>
      <xdr:col>60</xdr:col>
      <xdr:colOff>83820</xdr:colOff>
      <xdr:row>149</xdr:row>
      <xdr:rowOff>114300</xdr:rowOff>
    </xdr:to>
    <xdr:sp macro="" textlink="">
      <xdr:nvSpPr>
        <xdr:cNvPr id="1049" name="Arrow: Down 1048">
          <a:extLst>
            <a:ext uri="{FF2B5EF4-FFF2-40B4-BE49-F238E27FC236}">
              <a16:creationId xmlns:a16="http://schemas.microsoft.com/office/drawing/2014/main" id="{8D2F8789-B34D-4952-9C66-C10A648236CC}"/>
            </a:ext>
          </a:extLst>
        </xdr:cNvPr>
        <xdr:cNvSpPr/>
      </xdr:nvSpPr>
      <xdr:spPr>
        <a:xfrm rot="10800000">
          <a:off x="153162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149</xdr:row>
      <xdr:rowOff>0</xdr:rowOff>
    </xdr:from>
    <xdr:to>
      <xdr:col>71</xdr:col>
      <xdr:colOff>83820</xdr:colOff>
      <xdr:row>149</xdr:row>
      <xdr:rowOff>114300</xdr:rowOff>
    </xdr:to>
    <xdr:sp macro="" textlink="">
      <xdr:nvSpPr>
        <xdr:cNvPr id="1050" name="Arrow: Down 1049">
          <a:extLst>
            <a:ext uri="{FF2B5EF4-FFF2-40B4-BE49-F238E27FC236}">
              <a16:creationId xmlns:a16="http://schemas.microsoft.com/office/drawing/2014/main" id="{12AFA0BD-E557-4296-B13E-2DD2F3BC52C3}"/>
            </a:ext>
          </a:extLst>
        </xdr:cNvPr>
        <xdr:cNvSpPr/>
      </xdr:nvSpPr>
      <xdr:spPr>
        <a:xfrm rot="10800000">
          <a:off x="1763268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149</xdr:row>
      <xdr:rowOff>0</xdr:rowOff>
    </xdr:from>
    <xdr:to>
      <xdr:col>24</xdr:col>
      <xdr:colOff>83820</xdr:colOff>
      <xdr:row>149</xdr:row>
      <xdr:rowOff>114300</xdr:rowOff>
    </xdr:to>
    <xdr:sp macro="" textlink="">
      <xdr:nvSpPr>
        <xdr:cNvPr id="1051" name="Arrow: Down 1050">
          <a:extLst>
            <a:ext uri="{FF2B5EF4-FFF2-40B4-BE49-F238E27FC236}">
              <a16:creationId xmlns:a16="http://schemas.microsoft.com/office/drawing/2014/main" id="{BDE025BF-25D5-4820-8D8B-1AA5F7FF2A1D}"/>
            </a:ext>
          </a:extLst>
        </xdr:cNvPr>
        <xdr:cNvSpPr/>
      </xdr:nvSpPr>
      <xdr:spPr>
        <a:xfrm rot="10800000">
          <a:off x="5585460" y="27348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149</xdr:row>
      <xdr:rowOff>0</xdr:rowOff>
    </xdr:from>
    <xdr:to>
      <xdr:col>39</xdr:col>
      <xdr:colOff>83820</xdr:colOff>
      <xdr:row>149</xdr:row>
      <xdr:rowOff>114300</xdr:rowOff>
    </xdr:to>
    <xdr:sp macro="" textlink="">
      <xdr:nvSpPr>
        <xdr:cNvPr id="1052" name="Arrow: Down 1051">
          <a:extLst>
            <a:ext uri="{FF2B5EF4-FFF2-40B4-BE49-F238E27FC236}">
              <a16:creationId xmlns:a16="http://schemas.microsoft.com/office/drawing/2014/main" id="{461B7E07-DC74-41CD-8658-CA885855A542}"/>
            </a:ext>
          </a:extLst>
        </xdr:cNvPr>
        <xdr:cNvSpPr/>
      </xdr:nvSpPr>
      <xdr:spPr>
        <a:xfrm rot="10800000">
          <a:off x="8747760" y="27348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149</xdr:row>
      <xdr:rowOff>0</xdr:rowOff>
    </xdr:from>
    <xdr:to>
      <xdr:col>45</xdr:col>
      <xdr:colOff>83820</xdr:colOff>
      <xdr:row>149</xdr:row>
      <xdr:rowOff>114300</xdr:rowOff>
    </xdr:to>
    <xdr:sp macro="" textlink="">
      <xdr:nvSpPr>
        <xdr:cNvPr id="1053" name="Arrow: Down 1052">
          <a:extLst>
            <a:ext uri="{FF2B5EF4-FFF2-40B4-BE49-F238E27FC236}">
              <a16:creationId xmlns:a16="http://schemas.microsoft.com/office/drawing/2014/main" id="{E923D8E0-8AF4-4E8A-8FAD-5A8ED7862D1B}"/>
            </a:ext>
          </a:extLst>
        </xdr:cNvPr>
        <xdr:cNvSpPr/>
      </xdr:nvSpPr>
      <xdr:spPr>
        <a:xfrm rot="10800000">
          <a:off x="10553700" y="27348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150</xdr:row>
      <xdr:rowOff>0</xdr:rowOff>
    </xdr:from>
    <xdr:to>
      <xdr:col>5</xdr:col>
      <xdr:colOff>83820</xdr:colOff>
      <xdr:row>150</xdr:row>
      <xdr:rowOff>114300</xdr:rowOff>
    </xdr:to>
    <xdr:sp macro="" textlink="">
      <xdr:nvSpPr>
        <xdr:cNvPr id="1048" name="Arrow: Down 1047">
          <a:extLst>
            <a:ext uri="{FF2B5EF4-FFF2-40B4-BE49-F238E27FC236}">
              <a16:creationId xmlns:a16="http://schemas.microsoft.com/office/drawing/2014/main" id="{CE3F376A-E743-450D-AABD-B91EED328635}"/>
            </a:ext>
          </a:extLst>
        </xdr:cNvPr>
        <xdr:cNvSpPr/>
      </xdr:nvSpPr>
      <xdr:spPr>
        <a:xfrm>
          <a:off x="19278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150</xdr:row>
      <xdr:rowOff>0</xdr:rowOff>
    </xdr:from>
    <xdr:to>
      <xdr:col>11</xdr:col>
      <xdr:colOff>83820</xdr:colOff>
      <xdr:row>150</xdr:row>
      <xdr:rowOff>114300</xdr:rowOff>
    </xdr:to>
    <xdr:sp macro="" textlink="">
      <xdr:nvSpPr>
        <xdr:cNvPr id="1054" name="Arrow: Down 1053">
          <a:extLst>
            <a:ext uri="{FF2B5EF4-FFF2-40B4-BE49-F238E27FC236}">
              <a16:creationId xmlns:a16="http://schemas.microsoft.com/office/drawing/2014/main" id="{D71957A3-47C9-4E43-93ED-D1C2A0536358}"/>
            </a:ext>
          </a:extLst>
        </xdr:cNvPr>
        <xdr:cNvSpPr/>
      </xdr:nvSpPr>
      <xdr:spPr>
        <a:xfrm>
          <a:off x="36195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150</xdr:row>
      <xdr:rowOff>0</xdr:rowOff>
    </xdr:from>
    <xdr:to>
      <xdr:col>24</xdr:col>
      <xdr:colOff>83820</xdr:colOff>
      <xdr:row>150</xdr:row>
      <xdr:rowOff>114300</xdr:rowOff>
    </xdr:to>
    <xdr:sp macro="" textlink="">
      <xdr:nvSpPr>
        <xdr:cNvPr id="1055" name="Arrow: Down 1054">
          <a:extLst>
            <a:ext uri="{FF2B5EF4-FFF2-40B4-BE49-F238E27FC236}">
              <a16:creationId xmlns:a16="http://schemas.microsoft.com/office/drawing/2014/main" id="{9EA5BE6E-657C-4139-ACD5-D39FDC6029C2}"/>
            </a:ext>
          </a:extLst>
        </xdr:cNvPr>
        <xdr:cNvSpPr/>
      </xdr:nvSpPr>
      <xdr:spPr>
        <a:xfrm>
          <a:off x="55854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150</xdr:row>
      <xdr:rowOff>0</xdr:rowOff>
    </xdr:from>
    <xdr:to>
      <xdr:col>60</xdr:col>
      <xdr:colOff>83820</xdr:colOff>
      <xdr:row>150</xdr:row>
      <xdr:rowOff>114300</xdr:rowOff>
    </xdr:to>
    <xdr:sp macro="" textlink="">
      <xdr:nvSpPr>
        <xdr:cNvPr id="1056" name="Arrow: Down 1055">
          <a:extLst>
            <a:ext uri="{FF2B5EF4-FFF2-40B4-BE49-F238E27FC236}">
              <a16:creationId xmlns:a16="http://schemas.microsoft.com/office/drawing/2014/main" id="{80D5AA29-31D7-4E32-96B1-0E89F3FFFA41}"/>
            </a:ext>
          </a:extLst>
        </xdr:cNvPr>
        <xdr:cNvSpPr/>
      </xdr:nvSpPr>
      <xdr:spPr>
        <a:xfrm>
          <a:off x="153162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150</xdr:row>
      <xdr:rowOff>0</xdr:rowOff>
    </xdr:from>
    <xdr:to>
      <xdr:col>71</xdr:col>
      <xdr:colOff>83820</xdr:colOff>
      <xdr:row>150</xdr:row>
      <xdr:rowOff>114300</xdr:rowOff>
    </xdr:to>
    <xdr:sp macro="" textlink="">
      <xdr:nvSpPr>
        <xdr:cNvPr id="1058" name="Arrow: Down 1057">
          <a:extLst>
            <a:ext uri="{FF2B5EF4-FFF2-40B4-BE49-F238E27FC236}">
              <a16:creationId xmlns:a16="http://schemas.microsoft.com/office/drawing/2014/main" id="{22887A9C-3822-46C5-97B2-5EA3A69B25D4}"/>
            </a:ext>
          </a:extLst>
        </xdr:cNvPr>
        <xdr:cNvSpPr/>
      </xdr:nvSpPr>
      <xdr:spPr>
        <a:xfrm>
          <a:off x="1763268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150</xdr:row>
      <xdr:rowOff>0</xdr:rowOff>
    </xdr:from>
    <xdr:to>
      <xdr:col>39</xdr:col>
      <xdr:colOff>83820</xdr:colOff>
      <xdr:row>150</xdr:row>
      <xdr:rowOff>114300</xdr:rowOff>
    </xdr:to>
    <xdr:sp macro="" textlink="">
      <xdr:nvSpPr>
        <xdr:cNvPr id="1059" name="Arrow: Down 1058">
          <a:extLst>
            <a:ext uri="{FF2B5EF4-FFF2-40B4-BE49-F238E27FC236}">
              <a16:creationId xmlns:a16="http://schemas.microsoft.com/office/drawing/2014/main" id="{F843677D-3463-41F8-AC81-603E614D66F0}"/>
            </a:ext>
          </a:extLst>
        </xdr:cNvPr>
        <xdr:cNvSpPr/>
      </xdr:nvSpPr>
      <xdr:spPr>
        <a:xfrm>
          <a:off x="8907780" y="27531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150</xdr:row>
      <xdr:rowOff>0</xdr:rowOff>
    </xdr:from>
    <xdr:to>
      <xdr:col>45</xdr:col>
      <xdr:colOff>83820</xdr:colOff>
      <xdr:row>150</xdr:row>
      <xdr:rowOff>114300</xdr:rowOff>
    </xdr:to>
    <xdr:sp macro="" textlink="">
      <xdr:nvSpPr>
        <xdr:cNvPr id="1060" name="Arrow: Down 1059">
          <a:extLst>
            <a:ext uri="{FF2B5EF4-FFF2-40B4-BE49-F238E27FC236}">
              <a16:creationId xmlns:a16="http://schemas.microsoft.com/office/drawing/2014/main" id="{51332D56-3D3F-4113-9247-1CD4BE8F6497}"/>
            </a:ext>
          </a:extLst>
        </xdr:cNvPr>
        <xdr:cNvSpPr/>
      </xdr:nvSpPr>
      <xdr:spPr>
        <a:xfrm>
          <a:off x="10553700" y="27531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151</xdr:row>
      <xdr:rowOff>0</xdr:rowOff>
    </xdr:from>
    <xdr:to>
      <xdr:col>5</xdr:col>
      <xdr:colOff>83820</xdr:colOff>
      <xdr:row>151</xdr:row>
      <xdr:rowOff>114300</xdr:rowOff>
    </xdr:to>
    <xdr:sp macro="" textlink="">
      <xdr:nvSpPr>
        <xdr:cNvPr id="1061" name="Arrow: Down 1060">
          <a:extLst>
            <a:ext uri="{FF2B5EF4-FFF2-40B4-BE49-F238E27FC236}">
              <a16:creationId xmlns:a16="http://schemas.microsoft.com/office/drawing/2014/main" id="{E7586464-DA52-4E4A-9BE8-4E78DC8E575F}"/>
            </a:ext>
          </a:extLst>
        </xdr:cNvPr>
        <xdr:cNvSpPr/>
      </xdr:nvSpPr>
      <xdr:spPr>
        <a:xfrm>
          <a:off x="19278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151</xdr:row>
      <xdr:rowOff>0</xdr:rowOff>
    </xdr:from>
    <xdr:to>
      <xdr:col>11</xdr:col>
      <xdr:colOff>83820</xdr:colOff>
      <xdr:row>151</xdr:row>
      <xdr:rowOff>114300</xdr:rowOff>
    </xdr:to>
    <xdr:sp macro="" textlink="">
      <xdr:nvSpPr>
        <xdr:cNvPr id="1062" name="Arrow: Down 1061">
          <a:extLst>
            <a:ext uri="{FF2B5EF4-FFF2-40B4-BE49-F238E27FC236}">
              <a16:creationId xmlns:a16="http://schemas.microsoft.com/office/drawing/2014/main" id="{6357EC59-39E4-4CC4-9211-6BBF44406899}"/>
            </a:ext>
          </a:extLst>
        </xdr:cNvPr>
        <xdr:cNvSpPr/>
      </xdr:nvSpPr>
      <xdr:spPr>
        <a:xfrm>
          <a:off x="36195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151</xdr:row>
      <xdr:rowOff>0</xdr:rowOff>
    </xdr:from>
    <xdr:to>
      <xdr:col>24</xdr:col>
      <xdr:colOff>83820</xdr:colOff>
      <xdr:row>151</xdr:row>
      <xdr:rowOff>114300</xdr:rowOff>
    </xdr:to>
    <xdr:sp macro="" textlink="">
      <xdr:nvSpPr>
        <xdr:cNvPr id="1063" name="Arrow: Down 1062">
          <a:extLst>
            <a:ext uri="{FF2B5EF4-FFF2-40B4-BE49-F238E27FC236}">
              <a16:creationId xmlns:a16="http://schemas.microsoft.com/office/drawing/2014/main" id="{85DBA42A-DDF6-4C23-9060-D0837A4B8115}"/>
            </a:ext>
          </a:extLst>
        </xdr:cNvPr>
        <xdr:cNvSpPr/>
      </xdr:nvSpPr>
      <xdr:spPr>
        <a:xfrm>
          <a:off x="55854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151</xdr:row>
      <xdr:rowOff>0</xdr:rowOff>
    </xdr:from>
    <xdr:to>
      <xdr:col>60</xdr:col>
      <xdr:colOff>83820</xdr:colOff>
      <xdr:row>151</xdr:row>
      <xdr:rowOff>114300</xdr:rowOff>
    </xdr:to>
    <xdr:sp macro="" textlink="">
      <xdr:nvSpPr>
        <xdr:cNvPr id="1064" name="Arrow: Down 1063">
          <a:extLst>
            <a:ext uri="{FF2B5EF4-FFF2-40B4-BE49-F238E27FC236}">
              <a16:creationId xmlns:a16="http://schemas.microsoft.com/office/drawing/2014/main" id="{35E7FFF8-CB19-4C73-8738-EF62D1B338C3}"/>
            </a:ext>
          </a:extLst>
        </xdr:cNvPr>
        <xdr:cNvSpPr/>
      </xdr:nvSpPr>
      <xdr:spPr>
        <a:xfrm>
          <a:off x="153162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151</xdr:row>
      <xdr:rowOff>0</xdr:rowOff>
    </xdr:from>
    <xdr:to>
      <xdr:col>71</xdr:col>
      <xdr:colOff>83820</xdr:colOff>
      <xdr:row>151</xdr:row>
      <xdr:rowOff>114300</xdr:rowOff>
    </xdr:to>
    <xdr:sp macro="" textlink="">
      <xdr:nvSpPr>
        <xdr:cNvPr id="1065" name="Arrow: Down 1064">
          <a:extLst>
            <a:ext uri="{FF2B5EF4-FFF2-40B4-BE49-F238E27FC236}">
              <a16:creationId xmlns:a16="http://schemas.microsoft.com/office/drawing/2014/main" id="{C286A619-A54D-46A0-B8FF-E454DD029FE0}"/>
            </a:ext>
          </a:extLst>
        </xdr:cNvPr>
        <xdr:cNvSpPr/>
      </xdr:nvSpPr>
      <xdr:spPr>
        <a:xfrm>
          <a:off x="1763268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151</xdr:row>
      <xdr:rowOff>0</xdr:rowOff>
    </xdr:from>
    <xdr:to>
      <xdr:col>45</xdr:col>
      <xdr:colOff>83820</xdr:colOff>
      <xdr:row>151</xdr:row>
      <xdr:rowOff>114300</xdr:rowOff>
    </xdr:to>
    <xdr:sp macro="" textlink="">
      <xdr:nvSpPr>
        <xdr:cNvPr id="1069" name="Arrow: Down 1068">
          <a:extLst>
            <a:ext uri="{FF2B5EF4-FFF2-40B4-BE49-F238E27FC236}">
              <a16:creationId xmlns:a16="http://schemas.microsoft.com/office/drawing/2014/main" id="{9F31AD6D-6379-43C7-BFE5-697F2264348B}"/>
            </a:ext>
          </a:extLst>
        </xdr:cNvPr>
        <xdr:cNvSpPr/>
      </xdr:nvSpPr>
      <xdr:spPr>
        <a:xfrm rot="10800000">
          <a:off x="1510284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151</xdr:row>
      <xdr:rowOff>0</xdr:rowOff>
    </xdr:from>
    <xdr:to>
      <xdr:col>39</xdr:col>
      <xdr:colOff>83820</xdr:colOff>
      <xdr:row>151</xdr:row>
      <xdr:rowOff>114300</xdr:rowOff>
    </xdr:to>
    <xdr:sp macro="" textlink="">
      <xdr:nvSpPr>
        <xdr:cNvPr id="1070" name="Arrow: Down 1069">
          <a:extLst>
            <a:ext uri="{FF2B5EF4-FFF2-40B4-BE49-F238E27FC236}">
              <a16:creationId xmlns:a16="http://schemas.microsoft.com/office/drawing/2014/main" id="{61B307C3-B3BA-4CD7-A194-5AD5D7AA66D8}"/>
            </a:ext>
          </a:extLst>
        </xdr:cNvPr>
        <xdr:cNvSpPr/>
      </xdr:nvSpPr>
      <xdr:spPr>
        <a:xfrm rot="10800000">
          <a:off x="1329690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152</xdr:row>
      <xdr:rowOff>0</xdr:rowOff>
    </xdr:from>
    <xdr:to>
      <xdr:col>71</xdr:col>
      <xdr:colOff>83820</xdr:colOff>
      <xdr:row>152</xdr:row>
      <xdr:rowOff>114300</xdr:rowOff>
    </xdr:to>
    <xdr:sp macro="" textlink="">
      <xdr:nvSpPr>
        <xdr:cNvPr id="1046" name="Arrow: Down 1045">
          <a:extLst>
            <a:ext uri="{FF2B5EF4-FFF2-40B4-BE49-F238E27FC236}">
              <a16:creationId xmlns:a16="http://schemas.microsoft.com/office/drawing/2014/main" id="{9F2F998A-9086-499C-B06A-E72BC33F21CB}"/>
            </a:ext>
          </a:extLst>
        </xdr:cNvPr>
        <xdr:cNvSpPr/>
      </xdr:nvSpPr>
      <xdr:spPr>
        <a:xfrm>
          <a:off x="1770126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152</xdr:row>
      <xdr:rowOff>0</xdr:rowOff>
    </xdr:from>
    <xdr:to>
      <xdr:col>45</xdr:col>
      <xdr:colOff>83820</xdr:colOff>
      <xdr:row>152</xdr:row>
      <xdr:rowOff>114300</xdr:rowOff>
    </xdr:to>
    <xdr:sp macro="" textlink="">
      <xdr:nvSpPr>
        <xdr:cNvPr id="1047" name="Arrow: Down 1046">
          <a:extLst>
            <a:ext uri="{FF2B5EF4-FFF2-40B4-BE49-F238E27FC236}">
              <a16:creationId xmlns:a16="http://schemas.microsoft.com/office/drawing/2014/main" id="{705F12C2-06D1-4F34-84BF-4A443110BF3F}"/>
            </a:ext>
          </a:extLst>
        </xdr:cNvPr>
        <xdr:cNvSpPr/>
      </xdr:nvSpPr>
      <xdr:spPr>
        <a:xfrm rot="10800000">
          <a:off x="1062228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152</xdr:row>
      <xdr:rowOff>0</xdr:rowOff>
    </xdr:from>
    <xdr:to>
      <xdr:col>39</xdr:col>
      <xdr:colOff>83820</xdr:colOff>
      <xdr:row>152</xdr:row>
      <xdr:rowOff>114300</xdr:rowOff>
    </xdr:to>
    <xdr:sp macro="" textlink="">
      <xdr:nvSpPr>
        <xdr:cNvPr id="1057" name="Arrow: Down 1056">
          <a:extLst>
            <a:ext uri="{FF2B5EF4-FFF2-40B4-BE49-F238E27FC236}">
              <a16:creationId xmlns:a16="http://schemas.microsoft.com/office/drawing/2014/main" id="{6EF9A5B9-FA7A-437A-BB16-B6337F8B4E8B}"/>
            </a:ext>
          </a:extLst>
        </xdr:cNvPr>
        <xdr:cNvSpPr/>
      </xdr:nvSpPr>
      <xdr:spPr>
        <a:xfrm rot="10800000">
          <a:off x="881634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152</xdr:row>
      <xdr:rowOff>0</xdr:rowOff>
    </xdr:from>
    <xdr:to>
      <xdr:col>24</xdr:col>
      <xdr:colOff>83820</xdr:colOff>
      <xdr:row>152</xdr:row>
      <xdr:rowOff>114300</xdr:rowOff>
    </xdr:to>
    <xdr:sp macro="" textlink="">
      <xdr:nvSpPr>
        <xdr:cNvPr id="1066" name="Arrow: Down 1065">
          <a:extLst>
            <a:ext uri="{FF2B5EF4-FFF2-40B4-BE49-F238E27FC236}">
              <a16:creationId xmlns:a16="http://schemas.microsoft.com/office/drawing/2014/main" id="{AA2DCD24-49F9-4D73-B71F-A057B19F69A5}"/>
            </a:ext>
          </a:extLst>
        </xdr:cNvPr>
        <xdr:cNvSpPr/>
      </xdr:nvSpPr>
      <xdr:spPr>
        <a:xfrm rot="10800000">
          <a:off x="565404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152</xdr:row>
      <xdr:rowOff>0</xdr:rowOff>
    </xdr:from>
    <xdr:to>
      <xdr:col>11</xdr:col>
      <xdr:colOff>83820</xdr:colOff>
      <xdr:row>152</xdr:row>
      <xdr:rowOff>114300</xdr:rowOff>
    </xdr:to>
    <xdr:sp macro="" textlink="">
      <xdr:nvSpPr>
        <xdr:cNvPr id="1068" name="Arrow: Down 1067">
          <a:extLst>
            <a:ext uri="{FF2B5EF4-FFF2-40B4-BE49-F238E27FC236}">
              <a16:creationId xmlns:a16="http://schemas.microsoft.com/office/drawing/2014/main" id="{A810EFBA-8063-4F3E-A132-BCBC84FA2C56}"/>
            </a:ext>
          </a:extLst>
        </xdr:cNvPr>
        <xdr:cNvSpPr/>
      </xdr:nvSpPr>
      <xdr:spPr>
        <a:xfrm rot="10800000">
          <a:off x="361950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152</xdr:row>
      <xdr:rowOff>0</xdr:rowOff>
    </xdr:from>
    <xdr:to>
      <xdr:col>5</xdr:col>
      <xdr:colOff>83820</xdr:colOff>
      <xdr:row>152</xdr:row>
      <xdr:rowOff>114300</xdr:rowOff>
    </xdr:to>
    <xdr:sp macro="" textlink="">
      <xdr:nvSpPr>
        <xdr:cNvPr id="1072" name="Arrow: Down 1071">
          <a:extLst>
            <a:ext uri="{FF2B5EF4-FFF2-40B4-BE49-F238E27FC236}">
              <a16:creationId xmlns:a16="http://schemas.microsoft.com/office/drawing/2014/main" id="{D79F8C88-0A50-4B80-A625-AC9FD7DFE109}"/>
            </a:ext>
          </a:extLst>
        </xdr:cNvPr>
        <xdr:cNvSpPr/>
      </xdr:nvSpPr>
      <xdr:spPr>
        <a:xfrm rot="10800000">
          <a:off x="192786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152</xdr:row>
      <xdr:rowOff>0</xdr:rowOff>
    </xdr:from>
    <xdr:to>
      <xdr:col>60</xdr:col>
      <xdr:colOff>83820</xdr:colOff>
      <xdr:row>152</xdr:row>
      <xdr:rowOff>114300</xdr:rowOff>
    </xdr:to>
    <xdr:sp macro="" textlink="">
      <xdr:nvSpPr>
        <xdr:cNvPr id="1073" name="Arrow: Down 1072">
          <a:extLst>
            <a:ext uri="{FF2B5EF4-FFF2-40B4-BE49-F238E27FC236}">
              <a16:creationId xmlns:a16="http://schemas.microsoft.com/office/drawing/2014/main" id="{8BD3D84C-2D6B-4486-9D1B-2F94715C6CA9}"/>
            </a:ext>
          </a:extLst>
        </xdr:cNvPr>
        <xdr:cNvSpPr/>
      </xdr:nvSpPr>
      <xdr:spPr>
        <a:xfrm rot="10800000">
          <a:off x="1538478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153</xdr:row>
      <xdr:rowOff>0</xdr:rowOff>
    </xdr:from>
    <xdr:to>
      <xdr:col>45</xdr:col>
      <xdr:colOff>83820</xdr:colOff>
      <xdr:row>153</xdr:row>
      <xdr:rowOff>114300</xdr:rowOff>
    </xdr:to>
    <xdr:sp macro="" textlink="">
      <xdr:nvSpPr>
        <xdr:cNvPr id="1075" name="Arrow: Down 1074">
          <a:extLst>
            <a:ext uri="{FF2B5EF4-FFF2-40B4-BE49-F238E27FC236}">
              <a16:creationId xmlns:a16="http://schemas.microsoft.com/office/drawing/2014/main" id="{A1FD34B2-F3F6-45B8-B325-9C27C29146B6}"/>
            </a:ext>
          </a:extLst>
        </xdr:cNvPr>
        <xdr:cNvSpPr/>
      </xdr:nvSpPr>
      <xdr:spPr>
        <a:xfrm rot="10800000">
          <a:off x="10713720" y="27896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153</xdr:row>
      <xdr:rowOff>0</xdr:rowOff>
    </xdr:from>
    <xdr:to>
      <xdr:col>24</xdr:col>
      <xdr:colOff>83820</xdr:colOff>
      <xdr:row>153</xdr:row>
      <xdr:rowOff>114300</xdr:rowOff>
    </xdr:to>
    <xdr:sp macro="" textlink="">
      <xdr:nvSpPr>
        <xdr:cNvPr id="1077" name="Arrow: Down 1076">
          <a:extLst>
            <a:ext uri="{FF2B5EF4-FFF2-40B4-BE49-F238E27FC236}">
              <a16:creationId xmlns:a16="http://schemas.microsoft.com/office/drawing/2014/main" id="{6F601A62-3962-4E80-A66F-01AFF4620B95}"/>
            </a:ext>
          </a:extLst>
        </xdr:cNvPr>
        <xdr:cNvSpPr/>
      </xdr:nvSpPr>
      <xdr:spPr>
        <a:xfrm rot="10800000">
          <a:off x="574548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153</xdr:row>
      <xdr:rowOff>0</xdr:rowOff>
    </xdr:from>
    <xdr:to>
      <xdr:col>11</xdr:col>
      <xdr:colOff>83820</xdr:colOff>
      <xdr:row>153</xdr:row>
      <xdr:rowOff>114300</xdr:rowOff>
    </xdr:to>
    <xdr:sp macro="" textlink="">
      <xdr:nvSpPr>
        <xdr:cNvPr id="1078" name="Arrow: Down 1077">
          <a:extLst>
            <a:ext uri="{FF2B5EF4-FFF2-40B4-BE49-F238E27FC236}">
              <a16:creationId xmlns:a16="http://schemas.microsoft.com/office/drawing/2014/main" id="{0686CF41-DD33-4A90-A2B4-4173DF37D4AC}"/>
            </a:ext>
          </a:extLst>
        </xdr:cNvPr>
        <xdr:cNvSpPr/>
      </xdr:nvSpPr>
      <xdr:spPr>
        <a:xfrm rot="10800000">
          <a:off x="361950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153</xdr:row>
      <xdr:rowOff>0</xdr:rowOff>
    </xdr:from>
    <xdr:to>
      <xdr:col>5</xdr:col>
      <xdr:colOff>83820</xdr:colOff>
      <xdr:row>153</xdr:row>
      <xdr:rowOff>114300</xdr:rowOff>
    </xdr:to>
    <xdr:sp macro="" textlink="">
      <xdr:nvSpPr>
        <xdr:cNvPr id="1079" name="Arrow: Down 1078">
          <a:extLst>
            <a:ext uri="{FF2B5EF4-FFF2-40B4-BE49-F238E27FC236}">
              <a16:creationId xmlns:a16="http://schemas.microsoft.com/office/drawing/2014/main" id="{89239040-334A-4AAD-A269-8D8F73CD20CA}"/>
            </a:ext>
          </a:extLst>
        </xdr:cNvPr>
        <xdr:cNvSpPr/>
      </xdr:nvSpPr>
      <xdr:spPr>
        <a:xfrm rot="10800000">
          <a:off x="192786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153</xdr:row>
      <xdr:rowOff>0</xdr:rowOff>
    </xdr:from>
    <xdr:to>
      <xdr:col>60</xdr:col>
      <xdr:colOff>83820</xdr:colOff>
      <xdr:row>153</xdr:row>
      <xdr:rowOff>114300</xdr:rowOff>
    </xdr:to>
    <xdr:sp macro="" textlink="">
      <xdr:nvSpPr>
        <xdr:cNvPr id="1080" name="Arrow: Down 1079">
          <a:extLst>
            <a:ext uri="{FF2B5EF4-FFF2-40B4-BE49-F238E27FC236}">
              <a16:creationId xmlns:a16="http://schemas.microsoft.com/office/drawing/2014/main" id="{623D81C6-7688-4C7B-AEAD-74DFB070D28B}"/>
            </a:ext>
          </a:extLst>
        </xdr:cNvPr>
        <xdr:cNvSpPr/>
      </xdr:nvSpPr>
      <xdr:spPr>
        <a:xfrm rot="10800000">
          <a:off x="1547622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153</xdr:row>
      <xdr:rowOff>0</xdr:rowOff>
    </xdr:from>
    <xdr:to>
      <xdr:col>39</xdr:col>
      <xdr:colOff>83820</xdr:colOff>
      <xdr:row>153</xdr:row>
      <xdr:rowOff>114300</xdr:rowOff>
    </xdr:to>
    <xdr:sp macro="" textlink="">
      <xdr:nvSpPr>
        <xdr:cNvPr id="1081" name="Arrow: Down 1080">
          <a:extLst>
            <a:ext uri="{FF2B5EF4-FFF2-40B4-BE49-F238E27FC236}">
              <a16:creationId xmlns:a16="http://schemas.microsoft.com/office/drawing/2014/main" id="{3BF5F3A0-3B37-47C9-B652-6A7975B42751}"/>
            </a:ext>
          </a:extLst>
        </xdr:cNvPr>
        <xdr:cNvSpPr/>
      </xdr:nvSpPr>
      <xdr:spPr>
        <a:xfrm>
          <a:off x="890778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153</xdr:row>
      <xdr:rowOff>0</xdr:rowOff>
    </xdr:from>
    <xdr:to>
      <xdr:col>71</xdr:col>
      <xdr:colOff>83820</xdr:colOff>
      <xdr:row>153</xdr:row>
      <xdr:rowOff>114300</xdr:rowOff>
    </xdr:to>
    <xdr:sp macro="" textlink="">
      <xdr:nvSpPr>
        <xdr:cNvPr id="1082" name="Arrow: Down 1081">
          <a:extLst>
            <a:ext uri="{FF2B5EF4-FFF2-40B4-BE49-F238E27FC236}">
              <a16:creationId xmlns:a16="http://schemas.microsoft.com/office/drawing/2014/main" id="{0AAE5BEB-5720-4888-84F9-6E27B593C71E}"/>
            </a:ext>
          </a:extLst>
        </xdr:cNvPr>
        <xdr:cNvSpPr/>
      </xdr:nvSpPr>
      <xdr:spPr>
        <a:xfrm rot="10800000">
          <a:off x="1779270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154</xdr:row>
      <xdr:rowOff>0</xdr:rowOff>
    </xdr:from>
    <xdr:to>
      <xdr:col>45</xdr:col>
      <xdr:colOff>83820</xdr:colOff>
      <xdr:row>154</xdr:row>
      <xdr:rowOff>114300</xdr:rowOff>
    </xdr:to>
    <xdr:sp macro="" textlink="">
      <xdr:nvSpPr>
        <xdr:cNvPr id="1034" name="Arrow: Down 1033">
          <a:extLst>
            <a:ext uri="{FF2B5EF4-FFF2-40B4-BE49-F238E27FC236}">
              <a16:creationId xmlns:a16="http://schemas.microsoft.com/office/drawing/2014/main" id="{ADFDE55C-4B52-48EF-A84F-B6FED378A06D}"/>
            </a:ext>
          </a:extLst>
        </xdr:cNvPr>
        <xdr:cNvSpPr/>
      </xdr:nvSpPr>
      <xdr:spPr>
        <a:xfrm rot="10800000">
          <a:off x="10713720" y="28079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154</xdr:row>
      <xdr:rowOff>0</xdr:rowOff>
    </xdr:from>
    <xdr:to>
      <xdr:col>60</xdr:col>
      <xdr:colOff>83820</xdr:colOff>
      <xdr:row>154</xdr:row>
      <xdr:rowOff>114300</xdr:rowOff>
    </xdr:to>
    <xdr:sp macro="" textlink="">
      <xdr:nvSpPr>
        <xdr:cNvPr id="1067" name="Arrow: Down 1066">
          <a:extLst>
            <a:ext uri="{FF2B5EF4-FFF2-40B4-BE49-F238E27FC236}">
              <a16:creationId xmlns:a16="http://schemas.microsoft.com/office/drawing/2014/main" id="{19A16703-8B07-44D3-882A-96842B94811F}"/>
            </a:ext>
          </a:extLst>
        </xdr:cNvPr>
        <xdr:cNvSpPr/>
      </xdr:nvSpPr>
      <xdr:spPr>
        <a:xfrm rot="10800000">
          <a:off x="1547622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154</xdr:row>
      <xdr:rowOff>0</xdr:rowOff>
    </xdr:from>
    <xdr:to>
      <xdr:col>71</xdr:col>
      <xdr:colOff>83820</xdr:colOff>
      <xdr:row>154</xdr:row>
      <xdr:rowOff>114300</xdr:rowOff>
    </xdr:to>
    <xdr:sp macro="" textlink="">
      <xdr:nvSpPr>
        <xdr:cNvPr id="1074" name="Arrow: Down 1073">
          <a:extLst>
            <a:ext uri="{FF2B5EF4-FFF2-40B4-BE49-F238E27FC236}">
              <a16:creationId xmlns:a16="http://schemas.microsoft.com/office/drawing/2014/main" id="{959BC2B3-2DF2-4DBD-B51A-0E12E6DB75D6}"/>
            </a:ext>
          </a:extLst>
        </xdr:cNvPr>
        <xdr:cNvSpPr/>
      </xdr:nvSpPr>
      <xdr:spPr>
        <a:xfrm rot="10800000">
          <a:off x="1779270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154</xdr:row>
      <xdr:rowOff>0</xdr:rowOff>
    </xdr:from>
    <xdr:to>
      <xdr:col>5</xdr:col>
      <xdr:colOff>83820</xdr:colOff>
      <xdr:row>154</xdr:row>
      <xdr:rowOff>114300</xdr:rowOff>
    </xdr:to>
    <xdr:sp macro="" textlink="">
      <xdr:nvSpPr>
        <xdr:cNvPr id="1076" name="Arrow: Down 1075">
          <a:extLst>
            <a:ext uri="{FF2B5EF4-FFF2-40B4-BE49-F238E27FC236}">
              <a16:creationId xmlns:a16="http://schemas.microsoft.com/office/drawing/2014/main" id="{B47D3B07-4B6E-4ADB-8F9C-0888685B8E9C}"/>
            </a:ext>
          </a:extLst>
        </xdr:cNvPr>
        <xdr:cNvSpPr/>
      </xdr:nvSpPr>
      <xdr:spPr>
        <a:xfrm>
          <a:off x="192786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154</xdr:row>
      <xdr:rowOff>0</xdr:rowOff>
    </xdr:from>
    <xdr:to>
      <xdr:col>11</xdr:col>
      <xdr:colOff>83820</xdr:colOff>
      <xdr:row>154</xdr:row>
      <xdr:rowOff>114300</xdr:rowOff>
    </xdr:to>
    <xdr:sp macro="" textlink="">
      <xdr:nvSpPr>
        <xdr:cNvPr id="1083" name="Arrow: Down 1082">
          <a:extLst>
            <a:ext uri="{FF2B5EF4-FFF2-40B4-BE49-F238E27FC236}">
              <a16:creationId xmlns:a16="http://schemas.microsoft.com/office/drawing/2014/main" id="{6B3750BE-3060-48EC-8351-240D4EA57817}"/>
            </a:ext>
          </a:extLst>
        </xdr:cNvPr>
        <xdr:cNvSpPr/>
      </xdr:nvSpPr>
      <xdr:spPr>
        <a:xfrm>
          <a:off x="361950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154</xdr:row>
      <xdr:rowOff>0</xdr:rowOff>
    </xdr:from>
    <xdr:to>
      <xdr:col>24</xdr:col>
      <xdr:colOff>83820</xdr:colOff>
      <xdr:row>154</xdr:row>
      <xdr:rowOff>114300</xdr:rowOff>
    </xdr:to>
    <xdr:sp macro="" textlink="">
      <xdr:nvSpPr>
        <xdr:cNvPr id="1084" name="Arrow: Down 1083">
          <a:extLst>
            <a:ext uri="{FF2B5EF4-FFF2-40B4-BE49-F238E27FC236}">
              <a16:creationId xmlns:a16="http://schemas.microsoft.com/office/drawing/2014/main" id="{3FE514D8-02BD-49BF-ABE3-2537BA5738E1}"/>
            </a:ext>
          </a:extLst>
        </xdr:cNvPr>
        <xdr:cNvSpPr/>
      </xdr:nvSpPr>
      <xdr:spPr>
        <a:xfrm>
          <a:off x="574548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154</xdr:row>
      <xdr:rowOff>0</xdr:rowOff>
    </xdr:from>
    <xdr:to>
      <xdr:col>39</xdr:col>
      <xdr:colOff>83820</xdr:colOff>
      <xdr:row>154</xdr:row>
      <xdr:rowOff>114300</xdr:rowOff>
    </xdr:to>
    <xdr:sp macro="" textlink="">
      <xdr:nvSpPr>
        <xdr:cNvPr id="1085" name="Arrow: Down 1084">
          <a:extLst>
            <a:ext uri="{FF2B5EF4-FFF2-40B4-BE49-F238E27FC236}">
              <a16:creationId xmlns:a16="http://schemas.microsoft.com/office/drawing/2014/main" id="{81A381BA-6ABE-4EF8-AF88-5A16F1955683}"/>
            </a:ext>
          </a:extLst>
        </xdr:cNvPr>
        <xdr:cNvSpPr/>
      </xdr:nvSpPr>
      <xdr:spPr>
        <a:xfrm rot="10800000">
          <a:off x="890778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155</xdr:row>
      <xdr:rowOff>0</xdr:rowOff>
    </xdr:from>
    <xdr:to>
      <xdr:col>45</xdr:col>
      <xdr:colOff>83820</xdr:colOff>
      <xdr:row>155</xdr:row>
      <xdr:rowOff>114300</xdr:rowOff>
    </xdr:to>
    <xdr:sp macro="" textlink="">
      <xdr:nvSpPr>
        <xdr:cNvPr id="1093" name="Arrow: Down 1092">
          <a:extLst>
            <a:ext uri="{FF2B5EF4-FFF2-40B4-BE49-F238E27FC236}">
              <a16:creationId xmlns:a16="http://schemas.microsoft.com/office/drawing/2014/main" id="{27FE9B1E-D941-4EC7-B68C-679E790ABCD3}"/>
            </a:ext>
          </a:extLst>
        </xdr:cNvPr>
        <xdr:cNvSpPr/>
      </xdr:nvSpPr>
      <xdr:spPr>
        <a:xfrm rot="10800000">
          <a:off x="1071372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155</xdr:row>
      <xdr:rowOff>0</xdr:rowOff>
    </xdr:from>
    <xdr:to>
      <xdr:col>24</xdr:col>
      <xdr:colOff>83820</xdr:colOff>
      <xdr:row>155</xdr:row>
      <xdr:rowOff>114300</xdr:rowOff>
    </xdr:to>
    <xdr:sp macro="" textlink="">
      <xdr:nvSpPr>
        <xdr:cNvPr id="1098" name="Arrow: Down 1097">
          <a:extLst>
            <a:ext uri="{FF2B5EF4-FFF2-40B4-BE49-F238E27FC236}">
              <a16:creationId xmlns:a16="http://schemas.microsoft.com/office/drawing/2014/main" id="{6F3F9720-2079-4F44-B430-5204D27B53CF}"/>
            </a:ext>
          </a:extLst>
        </xdr:cNvPr>
        <xdr:cNvSpPr/>
      </xdr:nvSpPr>
      <xdr:spPr>
        <a:xfrm>
          <a:off x="574548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155</xdr:row>
      <xdr:rowOff>0</xdr:rowOff>
    </xdr:from>
    <xdr:to>
      <xdr:col>11</xdr:col>
      <xdr:colOff>83820</xdr:colOff>
      <xdr:row>155</xdr:row>
      <xdr:rowOff>114300</xdr:rowOff>
    </xdr:to>
    <xdr:sp macro="" textlink="">
      <xdr:nvSpPr>
        <xdr:cNvPr id="1101" name="Arrow: Down 1100">
          <a:extLst>
            <a:ext uri="{FF2B5EF4-FFF2-40B4-BE49-F238E27FC236}">
              <a16:creationId xmlns:a16="http://schemas.microsoft.com/office/drawing/2014/main" id="{2F67B167-755A-4D77-A489-9BC527D39CEC}"/>
            </a:ext>
          </a:extLst>
        </xdr:cNvPr>
        <xdr:cNvSpPr/>
      </xdr:nvSpPr>
      <xdr:spPr>
        <a:xfrm rot="10800000">
          <a:off x="361950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155</xdr:row>
      <xdr:rowOff>0</xdr:rowOff>
    </xdr:from>
    <xdr:to>
      <xdr:col>5</xdr:col>
      <xdr:colOff>83820</xdr:colOff>
      <xdr:row>155</xdr:row>
      <xdr:rowOff>114300</xdr:rowOff>
    </xdr:to>
    <xdr:sp macro="" textlink="">
      <xdr:nvSpPr>
        <xdr:cNvPr id="1102" name="Arrow: Down 1101">
          <a:extLst>
            <a:ext uri="{FF2B5EF4-FFF2-40B4-BE49-F238E27FC236}">
              <a16:creationId xmlns:a16="http://schemas.microsoft.com/office/drawing/2014/main" id="{380E652E-2A60-4EDC-AF9C-5D1F20C12F75}"/>
            </a:ext>
          </a:extLst>
        </xdr:cNvPr>
        <xdr:cNvSpPr/>
      </xdr:nvSpPr>
      <xdr:spPr>
        <a:xfrm rot="10800000">
          <a:off x="192786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155</xdr:row>
      <xdr:rowOff>0</xdr:rowOff>
    </xdr:from>
    <xdr:to>
      <xdr:col>39</xdr:col>
      <xdr:colOff>83820</xdr:colOff>
      <xdr:row>155</xdr:row>
      <xdr:rowOff>114300</xdr:rowOff>
    </xdr:to>
    <xdr:sp macro="" textlink="">
      <xdr:nvSpPr>
        <xdr:cNvPr id="1104" name="Arrow: Down 1103">
          <a:extLst>
            <a:ext uri="{FF2B5EF4-FFF2-40B4-BE49-F238E27FC236}">
              <a16:creationId xmlns:a16="http://schemas.microsoft.com/office/drawing/2014/main" id="{F9460A0C-FD6E-4987-A5DD-90B370C4E453}"/>
            </a:ext>
          </a:extLst>
        </xdr:cNvPr>
        <xdr:cNvSpPr/>
      </xdr:nvSpPr>
      <xdr:spPr>
        <a:xfrm>
          <a:off x="890778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155</xdr:row>
      <xdr:rowOff>0</xdr:rowOff>
    </xdr:from>
    <xdr:to>
      <xdr:col>71</xdr:col>
      <xdr:colOff>83820</xdr:colOff>
      <xdr:row>155</xdr:row>
      <xdr:rowOff>114300</xdr:rowOff>
    </xdr:to>
    <xdr:sp macro="" textlink="">
      <xdr:nvSpPr>
        <xdr:cNvPr id="1105" name="Arrow: Down 1104">
          <a:extLst>
            <a:ext uri="{FF2B5EF4-FFF2-40B4-BE49-F238E27FC236}">
              <a16:creationId xmlns:a16="http://schemas.microsoft.com/office/drawing/2014/main" id="{A7679060-FC60-490F-9EE4-65F637126462}"/>
            </a:ext>
          </a:extLst>
        </xdr:cNvPr>
        <xdr:cNvSpPr/>
      </xdr:nvSpPr>
      <xdr:spPr>
        <a:xfrm>
          <a:off x="17792700" y="28445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155</xdr:row>
      <xdr:rowOff>0</xdr:rowOff>
    </xdr:from>
    <xdr:to>
      <xdr:col>60</xdr:col>
      <xdr:colOff>83820</xdr:colOff>
      <xdr:row>155</xdr:row>
      <xdr:rowOff>114300</xdr:rowOff>
    </xdr:to>
    <xdr:sp macro="" textlink="">
      <xdr:nvSpPr>
        <xdr:cNvPr id="1106" name="Arrow: Down 1105">
          <a:extLst>
            <a:ext uri="{FF2B5EF4-FFF2-40B4-BE49-F238E27FC236}">
              <a16:creationId xmlns:a16="http://schemas.microsoft.com/office/drawing/2014/main" id="{52BC06DD-F961-47C7-978A-A9B6501511B8}"/>
            </a:ext>
          </a:extLst>
        </xdr:cNvPr>
        <xdr:cNvSpPr/>
      </xdr:nvSpPr>
      <xdr:spPr>
        <a:xfrm>
          <a:off x="15476220" y="28445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156</xdr:row>
      <xdr:rowOff>0</xdr:rowOff>
    </xdr:from>
    <xdr:to>
      <xdr:col>45</xdr:col>
      <xdr:colOff>83820</xdr:colOff>
      <xdr:row>156</xdr:row>
      <xdr:rowOff>114300</xdr:rowOff>
    </xdr:to>
    <xdr:sp macro="" textlink="">
      <xdr:nvSpPr>
        <xdr:cNvPr id="1107" name="Arrow: Down 1106">
          <a:extLst>
            <a:ext uri="{FF2B5EF4-FFF2-40B4-BE49-F238E27FC236}">
              <a16:creationId xmlns:a16="http://schemas.microsoft.com/office/drawing/2014/main" id="{FE108345-2BC6-49B6-A5D6-807E877C466A}"/>
            </a:ext>
          </a:extLst>
        </xdr:cNvPr>
        <xdr:cNvSpPr/>
      </xdr:nvSpPr>
      <xdr:spPr>
        <a:xfrm rot="10800000">
          <a:off x="10713720" y="28445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156</xdr:row>
      <xdr:rowOff>0</xdr:rowOff>
    </xdr:from>
    <xdr:to>
      <xdr:col>24</xdr:col>
      <xdr:colOff>83820</xdr:colOff>
      <xdr:row>156</xdr:row>
      <xdr:rowOff>114300</xdr:rowOff>
    </xdr:to>
    <xdr:sp macro="" textlink="">
      <xdr:nvSpPr>
        <xdr:cNvPr id="1108" name="Arrow: Down 1107">
          <a:extLst>
            <a:ext uri="{FF2B5EF4-FFF2-40B4-BE49-F238E27FC236}">
              <a16:creationId xmlns:a16="http://schemas.microsoft.com/office/drawing/2014/main" id="{A536F20D-2441-4A86-946C-75BE47B5C2EB}"/>
            </a:ext>
          </a:extLst>
        </xdr:cNvPr>
        <xdr:cNvSpPr/>
      </xdr:nvSpPr>
      <xdr:spPr>
        <a:xfrm>
          <a:off x="5745480" y="28445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156</xdr:row>
      <xdr:rowOff>0</xdr:rowOff>
    </xdr:from>
    <xdr:to>
      <xdr:col>11</xdr:col>
      <xdr:colOff>83820</xdr:colOff>
      <xdr:row>156</xdr:row>
      <xdr:rowOff>114300</xdr:rowOff>
    </xdr:to>
    <xdr:sp macro="" textlink="">
      <xdr:nvSpPr>
        <xdr:cNvPr id="1109" name="Arrow: Down 1108">
          <a:extLst>
            <a:ext uri="{FF2B5EF4-FFF2-40B4-BE49-F238E27FC236}">
              <a16:creationId xmlns:a16="http://schemas.microsoft.com/office/drawing/2014/main" id="{2C4052DC-11CD-4FA1-903C-5F2671BD7E62}"/>
            </a:ext>
          </a:extLst>
        </xdr:cNvPr>
        <xdr:cNvSpPr/>
      </xdr:nvSpPr>
      <xdr:spPr>
        <a:xfrm rot="10800000">
          <a:off x="361950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156</xdr:row>
      <xdr:rowOff>0</xdr:rowOff>
    </xdr:from>
    <xdr:to>
      <xdr:col>5</xdr:col>
      <xdr:colOff>83820</xdr:colOff>
      <xdr:row>156</xdr:row>
      <xdr:rowOff>114300</xdr:rowOff>
    </xdr:to>
    <xdr:sp macro="" textlink="">
      <xdr:nvSpPr>
        <xdr:cNvPr id="1110" name="Arrow: Down 1109">
          <a:extLst>
            <a:ext uri="{FF2B5EF4-FFF2-40B4-BE49-F238E27FC236}">
              <a16:creationId xmlns:a16="http://schemas.microsoft.com/office/drawing/2014/main" id="{5AF9D44E-2C5D-4B51-A678-1670E65959FD}"/>
            </a:ext>
          </a:extLst>
        </xdr:cNvPr>
        <xdr:cNvSpPr/>
      </xdr:nvSpPr>
      <xdr:spPr>
        <a:xfrm rot="10800000">
          <a:off x="192786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156</xdr:row>
      <xdr:rowOff>0</xdr:rowOff>
    </xdr:from>
    <xdr:to>
      <xdr:col>39</xdr:col>
      <xdr:colOff>83820</xdr:colOff>
      <xdr:row>156</xdr:row>
      <xdr:rowOff>114300</xdr:rowOff>
    </xdr:to>
    <xdr:sp macro="" textlink="">
      <xdr:nvSpPr>
        <xdr:cNvPr id="1111" name="Arrow: Down 1110">
          <a:extLst>
            <a:ext uri="{FF2B5EF4-FFF2-40B4-BE49-F238E27FC236}">
              <a16:creationId xmlns:a16="http://schemas.microsoft.com/office/drawing/2014/main" id="{B1FF1969-27EE-4A4A-8B5A-C5AAA5F71E37}"/>
            </a:ext>
          </a:extLst>
        </xdr:cNvPr>
        <xdr:cNvSpPr/>
      </xdr:nvSpPr>
      <xdr:spPr>
        <a:xfrm>
          <a:off x="890778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156</xdr:row>
      <xdr:rowOff>0</xdr:rowOff>
    </xdr:from>
    <xdr:to>
      <xdr:col>71</xdr:col>
      <xdr:colOff>83820</xdr:colOff>
      <xdr:row>156</xdr:row>
      <xdr:rowOff>114300</xdr:rowOff>
    </xdr:to>
    <xdr:sp macro="" textlink="">
      <xdr:nvSpPr>
        <xdr:cNvPr id="1114" name="Arrow: Down 1113">
          <a:extLst>
            <a:ext uri="{FF2B5EF4-FFF2-40B4-BE49-F238E27FC236}">
              <a16:creationId xmlns:a16="http://schemas.microsoft.com/office/drawing/2014/main" id="{70B57DD7-E8B5-471A-B300-B356EB54A1D5}"/>
            </a:ext>
          </a:extLst>
        </xdr:cNvPr>
        <xdr:cNvSpPr/>
      </xdr:nvSpPr>
      <xdr:spPr>
        <a:xfrm rot="10800000">
          <a:off x="17792700" y="28628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156</xdr:row>
      <xdr:rowOff>0</xdr:rowOff>
    </xdr:from>
    <xdr:to>
      <xdr:col>60</xdr:col>
      <xdr:colOff>83820</xdr:colOff>
      <xdr:row>156</xdr:row>
      <xdr:rowOff>114300</xdr:rowOff>
    </xdr:to>
    <xdr:sp macro="" textlink="">
      <xdr:nvSpPr>
        <xdr:cNvPr id="1116" name="Arrow: Down 1115">
          <a:extLst>
            <a:ext uri="{FF2B5EF4-FFF2-40B4-BE49-F238E27FC236}">
              <a16:creationId xmlns:a16="http://schemas.microsoft.com/office/drawing/2014/main" id="{0D2DEFEC-6C84-4A2F-BB16-3EBD4EE2F53E}"/>
            </a:ext>
          </a:extLst>
        </xdr:cNvPr>
        <xdr:cNvSpPr/>
      </xdr:nvSpPr>
      <xdr:spPr>
        <a:xfrm rot="10800000">
          <a:off x="15476220" y="28628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157</xdr:row>
      <xdr:rowOff>0</xdr:rowOff>
    </xdr:from>
    <xdr:to>
      <xdr:col>45</xdr:col>
      <xdr:colOff>83820</xdr:colOff>
      <xdr:row>157</xdr:row>
      <xdr:rowOff>114300</xdr:rowOff>
    </xdr:to>
    <xdr:sp macro="" textlink="">
      <xdr:nvSpPr>
        <xdr:cNvPr id="1117" name="Arrow: Down 1116">
          <a:extLst>
            <a:ext uri="{FF2B5EF4-FFF2-40B4-BE49-F238E27FC236}">
              <a16:creationId xmlns:a16="http://schemas.microsoft.com/office/drawing/2014/main" id="{E512633E-7EC3-4E72-BAE6-B7159411DDF9}"/>
            </a:ext>
          </a:extLst>
        </xdr:cNvPr>
        <xdr:cNvSpPr/>
      </xdr:nvSpPr>
      <xdr:spPr>
        <a:xfrm rot="10800000">
          <a:off x="10713720" y="28628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157</xdr:row>
      <xdr:rowOff>0</xdr:rowOff>
    </xdr:from>
    <xdr:to>
      <xdr:col>24</xdr:col>
      <xdr:colOff>83820</xdr:colOff>
      <xdr:row>157</xdr:row>
      <xdr:rowOff>114300</xdr:rowOff>
    </xdr:to>
    <xdr:sp macro="" textlink="">
      <xdr:nvSpPr>
        <xdr:cNvPr id="1118" name="Arrow: Down 1117">
          <a:extLst>
            <a:ext uri="{FF2B5EF4-FFF2-40B4-BE49-F238E27FC236}">
              <a16:creationId xmlns:a16="http://schemas.microsoft.com/office/drawing/2014/main" id="{6EEE7B06-AF61-4CDE-B2D2-2E6851206E7B}"/>
            </a:ext>
          </a:extLst>
        </xdr:cNvPr>
        <xdr:cNvSpPr/>
      </xdr:nvSpPr>
      <xdr:spPr>
        <a:xfrm>
          <a:off x="5745480" y="28628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157</xdr:row>
      <xdr:rowOff>0</xdr:rowOff>
    </xdr:from>
    <xdr:to>
      <xdr:col>39</xdr:col>
      <xdr:colOff>83820</xdr:colOff>
      <xdr:row>157</xdr:row>
      <xdr:rowOff>114300</xdr:rowOff>
    </xdr:to>
    <xdr:sp macro="" textlink="">
      <xdr:nvSpPr>
        <xdr:cNvPr id="1121" name="Arrow: Down 1120">
          <a:extLst>
            <a:ext uri="{FF2B5EF4-FFF2-40B4-BE49-F238E27FC236}">
              <a16:creationId xmlns:a16="http://schemas.microsoft.com/office/drawing/2014/main" id="{A117081C-F00B-4346-BBB7-C92D4C126C58}"/>
            </a:ext>
          </a:extLst>
        </xdr:cNvPr>
        <xdr:cNvSpPr/>
      </xdr:nvSpPr>
      <xdr:spPr>
        <a:xfrm>
          <a:off x="8907780" y="28628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157</xdr:row>
      <xdr:rowOff>0</xdr:rowOff>
    </xdr:from>
    <xdr:to>
      <xdr:col>5</xdr:col>
      <xdr:colOff>83820</xdr:colOff>
      <xdr:row>157</xdr:row>
      <xdr:rowOff>114300</xdr:rowOff>
    </xdr:to>
    <xdr:sp macro="" textlink="">
      <xdr:nvSpPr>
        <xdr:cNvPr id="1124" name="Arrow: Down 1123">
          <a:extLst>
            <a:ext uri="{FF2B5EF4-FFF2-40B4-BE49-F238E27FC236}">
              <a16:creationId xmlns:a16="http://schemas.microsoft.com/office/drawing/2014/main" id="{2C59CCB7-323A-4ED1-AA93-3EAC98089B11}"/>
            </a:ext>
          </a:extLst>
        </xdr:cNvPr>
        <xdr:cNvSpPr/>
      </xdr:nvSpPr>
      <xdr:spPr>
        <a:xfrm>
          <a:off x="192786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157</xdr:row>
      <xdr:rowOff>0</xdr:rowOff>
    </xdr:from>
    <xdr:to>
      <xdr:col>11</xdr:col>
      <xdr:colOff>83820</xdr:colOff>
      <xdr:row>157</xdr:row>
      <xdr:rowOff>114300</xdr:rowOff>
    </xdr:to>
    <xdr:sp macro="" textlink="">
      <xdr:nvSpPr>
        <xdr:cNvPr id="1125" name="Arrow: Down 1124">
          <a:extLst>
            <a:ext uri="{FF2B5EF4-FFF2-40B4-BE49-F238E27FC236}">
              <a16:creationId xmlns:a16="http://schemas.microsoft.com/office/drawing/2014/main" id="{C22907D2-B0AB-4584-9716-45C511DE7B8C}"/>
            </a:ext>
          </a:extLst>
        </xdr:cNvPr>
        <xdr:cNvSpPr/>
      </xdr:nvSpPr>
      <xdr:spPr>
        <a:xfrm>
          <a:off x="361950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157</xdr:row>
      <xdr:rowOff>0</xdr:rowOff>
    </xdr:from>
    <xdr:to>
      <xdr:col>71</xdr:col>
      <xdr:colOff>83820</xdr:colOff>
      <xdr:row>157</xdr:row>
      <xdr:rowOff>114300</xdr:rowOff>
    </xdr:to>
    <xdr:sp macro="" textlink="">
      <xdr:nvSpPr>
        <xdr:cNvPr id="1127" name="Arrow: Down 1126">
          <a:extLst>
            <a:ext uri="{FF2B5EF4-FFF2-40B4-BE49-F238E27FC236}">
              <a16:creationId xmlns:a16="http://schemas.microsoft.com/office/drawing/2014/main" id="{BEE80141-CF21-469B-B5AB-1B0A146839D2}"/>
            </a:ext>
          </a:extLst>
        </xdr:cNvPr>
        <xdr:cNvSpPr/>
      </xdr:nvSpPr>
      <xdr:spPr>
        <a:xfrm>
          <a:off x="1779270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157</xdr:row>
      <xdr:rowOff>0</xdr:rowOff>
    </xdr:from>
    <xdr:to>
      <xdr:col>60</xdr:col>
      <xdr:colOff>83820</xdr:colOff>
      <xdr:row>157</xdr:row>
      <xdr:rowOff>114300</xdr:rowOff>
    </xdr:to>
    <xdr:sp macro="" textlink="">
      <xdr:nvSpPr>
        <xdr:cNvPr id="1128" name="Arrow: Down 1127">
          <a:extLst>
            <a:ext uri="{FF2B5EF4-FFF2-40B4-BE49-F238E27FC236}">
              <a16:creationId xmlns:a16="http://schemas.microsoft.com/office/drawing/2014/main" id="{BF7AFA04-6849-4924-A3CE-1D061222F6F4}"/>
            </a:ext>
          </a:extLst>
        </xdr:cNvPr>
        <xdr:cNvSpPr/>
      </xdr:nvSpPr>
      <xdr:spPr>
        <a:xfrm>
          <a:off x="1547622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158</xdr:row>
      <xdr:rowOff>0</xdr:rowOff>
    </xdr:from>
    <xdr:to>
      <xdr:col>24</xdr:col>
      <xdr:colOff>83820</xdr:colOff>
      <xdr:row>158</xdr:row>
      <xdr:rowOff>114300</xdr:rowOff>
    </xdr:to>
    <xdr:sp macro="" textlink="">
      <xdr:nvSpPr>
        <xdr:cNvPr id="1137" name="Arrow: Down 1136">
          <a:extLst>
            <a:ext uri="{FF2B5EF4-FFF2-40B4-BE49-F238E27FC236}">
              <a16:creationId xmlns:a16="http://schemas.microsoft.com/office/drawing/2014/main" id="{E9252220-8091-4C57-ADBA-C4765322EB17}"/>
            </a:ext>
          </a:extLst>
        </xdr:cNvPr>
        <xdr:cNvSpPr/>
      </xdr:nvSpPr>
      <xdr:spPr>
        <a:xfrm>
          <a:off x="584454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158</xdr:row>
      <xdr:rowOff>0</xdr:rowOff>
    </xdr:from>
    <xdr:to>
      <xdr:col>39</xdr:col>
      <xdr:colOff>83820</xdr:colOff>
      <xdr:row>158</xdr:row>
      <xdr:rowOff>114300</xdr:rowOff>
    </xdr:to>
    <xdr:sp macro="" textlink="">
      <xdr:nvSpPr>
        <xdr:cNvPr id="1138" name="Arrow: Down 1137">
          <a:extLst>
            <a:ext uri="{FF2B5EF4-FFF2-40B4-BE49-F238E27FC236}">
              <a16:creationId xmlns:a16="http://schemas.microsoft.com/office/drawing/2014/main" id="{8918CC03-EC41-4BBB-B20A-F122D181A951}"/>
            </a:ext>
          </a:extLst>
        </xdr:cNvPr>
        <xdr:cNvSpPr/>
      </xdr:nvSpPr>
      <xdr:spPr>
        <a:xfrm>
          <a:off x="9006840" y="28811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158</xdr:row>
      <xdr:rowOff>0</xdr:rowOff>
    </xdr:from>
    <xdr:to>
      <xdr:col>5</xdr:col>
      <xdr:colOff>83820</xdr:colOff>
      <xdr:row>158</xdr:row>
      <xdr:rowOff>114300</xdr:rowOff>
    </xdr:to>
    <xdr:sp macro="" textlink="">
      <xdr:nvSpPr>
        <xdr:cNvPr id="1139" name="Arrow: Down 1138">
          <a:extLst>
            <a:ext uri="{FF2B5EF4-FFF2-40B4-BE49-F238E27FC236}">
              <a16:creationId xmlns:a16="http://schemas.microsoft.com/office/drawing/2014/main" id="{951897A1-0D15-45EF-93F0-D154BB2F25A5}"/>
            </a:ext>
          </a:extLst>
        </xdr:cNvPr>
        <xdr:cNvSpPr/>
      </xdr:nvSpPr>
      <xdr:spPr>
        <a:xfrm>
          <a:off x="192786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158</xdr:row>
      <xdr:rowOff>0</xdr:rowOff>
    </xdr:from>
    <xdr:to>
      <xdr:col>11</xdr:col>
      <xdr:colOff>83820</xdr:colOff>
      <xdr:row>158</xdr:row>
      <xdr:rowOff>114300</xdr:rowOff>
    </xdr:to>
    <xdr:sp macro="" textlink="">
      <xdr:nvSpPr>
        <xdr:cNvPr id="1140" name="Arrow: Down 1139">
          <a:extLst>
            <a:ext uri="{FF2B5EF4-FFF2-40B4-BE49-F238E27FC236}">
              <a16:creationId xmlns:a16="http://schemas.microsoft.com/office/drawing/2014/main" id="{06C0199E-2186-4B4D-9046-4F94E0C4C43A}"/>
            </a:ext>
          </a:extLst>
        </xdr:cNvPr>
        <xdr:cNvSpPr/>
      </xdr:nvSpPr>
      <xdr:spPr>
        <a:xfrm>
          <a:off x="361950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158</xdr:row>
      <xdr:rowOff>0</xdr:rowOff>
    </xdr:from>
    <xdr:to>
      <xdr:col>71</xdr:col>
      <xdr:colOff>83820</xdr:colOff>
      <xdr:row>158</xdr:row>
      <xdr:rowOff>114300</xdr:rowOff>
    </xdr:to>
    <xdr:sp macro="" textlink="">
      <xdr:nvSpPr>
        <xdr:cNvPr id="1141" name="Arrow: Down 1140">
          <a:extLst>
            <a:ext uri="{FF2B5EF4-FFF2-40B4-BE49-F238E27FC236}">
              <a16:creationId xmlns:a16="http://schemas.microsoft.com/office/drawing/2014/main" id="{D7B90E48-27F4-4BAF-8278-F4C382091612}"/>
            </a:ext>
          </a:extLst>
        </xdr:cNvPr>
        <xdr:cNvSpPr/>
      </xdr:nvSpPr>
      <xdr:spPr>
        <a:xfrm>
          <a:off x="1789176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158</xdr:row>
      <xdr:rowOff>0</xdr:rowOff>
    </xdr:from>
    <xdr:to>
      <xdr:col>60</xdr:col>
      <xdr:colOff>83820</xdr:colOff>
      <xdr:row>158</xdr:row>
      <xdr:rowOff>114300</xdr:rowOff>
    </xdr:to>
    <xdr:sp macro="" textlink="">
      <xdr:nvSpPr>
        <xdr:cNvPr id="1142" name="Arrow: Down 1141">
          <a:extLst>
            <a:ext uri="{FF2B5EF4-FFF2-40B4-BE49-F238E27FC236}">
              <a16:creationId xmlns:a16="http://schemas.microsoft.com/office/drawing/2014/main" id="{3A5D3820-8CEF-4FA1-8080-9ECAFC86AD6D}"/>
            </a:ext>
          </a:extLst>
        </xdr:cNvPr>
        <xdr:cNvSpPr/>
      </xdr:nvSpPr>
      <xdr:spPr>
        <a:xfrm>
          <a:off x="1557528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36</xdr:col>
      <xdr:colOff>137160</xdr:colOff>
      <xdr:row>195</xdr:row>
      <xdr:rowOff>125730</xdr:rowOff>
    </xdr:from>
    <xdr:to>
      <xdr:col>52</xdr:col>
      <xdr:colOff>114300</xdr:colOff>
      <xdr:row>210</xdr:row>
      <xdr:rowOff>118110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D094808-04A9-4C9A-AA60-C78EFE37D4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45</xdr:col>
      <xdr:colOff>0</xdr:colOff>
      <xdr:row>158</xdr:row>
      <xdr:rowOff>0</xdr:rowOff>
    </xdr:from>
    <xdr:to>
      <xdr:col>45</xdr:col>
      <xdr:colOff>83820</xdr:colOff>
      <xdr:row>158</xdr:row>
      <xdr:rowOff>114300</xdr:rowOff>
    </xdr:to>
    <xdr:sp macro="" textlink="">
      <xdr:nvSpPr>
        <xdr:cNvPr id="1143" name="Arrow: Down 1142">
          <a:extLst>
            <a:ext uri="{FF2B5EF4-FFF2-40B4-BE49-F238E27FC236}">
              <a16:creationId xmlns:a16="http://schemas.microsoft.com/office/drawing/2014/main" id="{EDD95B55-342E-407E-8AFB-278AD7291DFB}"/>
            </a:ext>
          </a:extLst>
        </xdr:cNvPr>
        <xdr:cNvSpPr/>
      </xdr:nvSpPr>
      <xdr:spPr>
        <a:xfrm>
          <a:off x="11308080" y="28994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159</xdr:row>
      <xdr:rowOff>0</xdr:rowOff>
    </xdr:from>
    <xdr:to>
      <xdr:col>71</xdr:col>
      <xdr:colOff>83820</xdr:colOff>
      <xdr:row>159</xdr:row>
      <xdr:rowOff>114300</xdr:rowOff>
    </xdr:to>
    <xdr:sp macro="" textlink="">
      <xdr:nvSpPr>
        <xdr:cNvPr id="1148" name="Arrow: Down 1147">
          <a:extLst>
            <a:ext uri="{FF2B5EF4-FFF2-40B4-BE49-F238E27FC236}">
              <a16:creationId xmlns:a16="http://schemas.microsoft.com/office/drawing/2014/main" id="{A35610B0-B21F-4569-BDD6-AC388166066D}"/>
            </a:ext>
          </a:extLst>
        </xdr:cNvPr>
        <xdr:cNvSpPr/>
      </xdr:nvSpPr>
      <xdr:spPr>
        <a:xfrm>
          <a:off x="17853660" y="28994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159</xdr:row>
      <xdr:rowOff>0</xdr:rowOff>
    </xdr:from>
    <xdr:to>
      <xdr:col>39</xdr:col>
      <xdr:colOff>83820</xdr:colOff>
      <xdr:row>159</xdr:row>
      <xdr:rowOff>114300</xdr:rowOff>
    </xdr:to>
    <xdr:sp macro="" textlink="">
      <xdr:nvSpPr>
        <xdr:cNvPr id="1151" name="Arrow: Down 1150">
          <a:extLst>
            <a:ext uri="{FF2B5EF4-FFF2-40B4-BE49-F238E27FC236}">
              <a16:creationId xmlns:a16="http://schemas.microsoft.com/office/drawing/2014/main" id="{3B714D2A-CC58-4958-AC45-AB055E3D5B37}"/>
            </a:ext>
          </a:extLst>
        </xdr:cNvPr>
        <xdr:cNvSpPr/>
      </xdr:nvSpPr>
      <xdr:spPr>
        <a:xfrm rot="10800000">
          <a:off x="9014460" y="2917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159</xdr:row>
      <xdr:rowOff>0</xdr:rowOff>
    </xdr:from>
    <xdr:to>
      <xdr:col>45</xdr:col>
      <xdr:colOff>83820</xdr:colOff>
      <xdr:row>159</xdr:row>
      <xdr:rowOff>114300</xdr:rowOff>
    </xdr:to>
    <xdr:sp macro="" textlink="">
      <xdr:nvSpPr>
        <xdr:cNvPr id="1152" name="Arrow: Down 1151">
          <a:extLst>
            <a:ext uri="{FF2B5EF4-FFF2-40B4-BE49-F238E27FC236}">
              <a16:creationId xmlns:a16="http://schemas.microsoft.com/office/drawing/2014/main" id="{13EA6921-8BBC-410E-8EF6-A442D34CE5C4}"/>
            </a:ext>
          </a:extLst>
        </xdr:cNvPr>
        <xdr:cNvSpPr/>
      </xdr:nvSpPr>
      <xdr:spPr>
        <a:xfrm rot="10800000">
          <a:off x="10820400" y="2917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159</xdr:row>
      <xdr:rowOff>0</xdr:rowOff>
    </xdr:from>
    <xdr:to>
      <xdr:col>11</xdr:col>
      <xdr:colOff>83820</xdr:colOff>
      <xdr:row>159</xdr:row>
      <xdr:rowOff>114300</xdr:rowOff>
    </xdr:to>
    <xdr:sp macro="" textlink="">
      <xdr:nvSpPr>
        <xdr:cNvPr id="1153" name="Arrow: Down 1152">
          <a:extLst>
            <a:ext uri="{FF2B5EF4-FFF2-40B4-BE49-F238E27FC236}">
              <a16:creationId xmlns:a16="http://schemas.microsoft.com/office/drawing/2014/main" id="{53FCF9F4-288C-476E-BCC5-827C990D9DF4}"/>
            </a:ext>
          </a:extLst>
        </xdr:cNvPr>
        <xdr:cNvSpPr/>
      </xdr:nvSpPr>
      <xdr:spPr>
        <a:xfrm rot="10800000">
          <a:off x="361950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159</xdr:row>
      <xdr:rowOff>0</xdr:rowOff>
    </xdr:from>
    <xdr:to>
      <xdr:col>5</xdr:col>
      <xdr:colOff>83820</xdr:colOff>
      <xdr:row>159</xdr:row>
      <xdr:rowOff>114300</xdr:rowOff>
    </xdr:to>
    <xdr:sp macro="" textlink="">
      <xdr:nvSpPr>
        <xdr:cNvPr id="1154" name="Arrow: Down 1153">
          <a:extLst>
            <a:ext uri="{FF2B5EF4-FFF2-40B4-BE49-F238E27FC236}">
              <a16:creationId xmlns:a16="http://schemas.microsoft.com/office/drawing/2014/main" id="{0DCC5CE7-F79D-45E9-8F2D-C4825EE79F80}"/>
            </a:ext>
          </a:extLst>
        </xdr:cNvPr>
        <xdr:cNvSpPr/>
      </xdr:nvSpPr>
      <xdr:spPr>
        <a:xfrm rot="10800000">
          <a:off x="192786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159</xdr:row>
      <xdr:rowOff>0</xdr:rowOff>
    </xdr:from>
    <xdr:to>
      <xdr:col>24</xdr:col>
      <xdr:colOff>83820</xdr:colOff>
      <xdr:row>159</xdr:row>
      <xdr:rowOff>114300</xdr:rowOff>
    </xdr:to>
    <xdr:sp macro="" textlink="">
      <xdr:nvSpPr>
        <xdr:cNvPr id="1155" name="Arrow: Down 1154">
          <a:extLst>
            <a:ext uri="{FF2B5EF4-FFF2-40B4-BE49-F238E27FC236}">
              <a16:creationId xmlns:a16="http://schemas.microsoft.com/office/drawing/2014/main" id="{20B2ED51-BEE1-4446-8FC3-52150E2ED67C}"/>
            </a:ext>
          </a:extLst>
        </xdr:cNvPr>
        <xdr:cNvSpPr/>
      </xdr:nvSpPr>
      <xdr:spPr>
        <a:xfrm rot="10800000">
          <a:off x="585216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159</xdr:row>
      <xdr:rowOff>0</xdr:rowOff>
    </xdr:from>
    <xdr:to>
      <xdr:col>60</xdr:col>
      <xdr:colOff>83820</xdr:colOff>
      <xdr:row>159</xdr:row>
      <xdr:rowOff>114300</xdr:rowOff>
    </xdr:to>
    <xdr:sp macro="" textlink="">
      <xdr:nvSpPr>
        <xdr:cNvPr id="1157" name="Arrow: Down 1156">
          <a:extLst>
            <a:ext uri="{FF2B5EF4-FFF2-40B4-BE49-F238E27FC236}">
              <a16:creationId xmlns:a16="http://schemas.microsoft.com/office/drawing/2014/main" id="{B3885D79-93FF-4740-A74C-7A5F586516E3}"/>
            </a:ext>
          </a:extLst>
        </xdr:cNvPr>
        <xdr:cNvSpPr/>
      </xdr:nvSpPr>
      <xdr:spPr>
        <a:xfrm rot="10800000">
          <a:off x="1558290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160</xdr:row>
      <xdr:rowOff>0</xdr:rowOff>
    </xdr:from>
    <xdr:to>
      <xdr:col>71</xdr:col>
      <xdr:colOff>83820</xdr:colOff>
      <xdr:row>160</xdr:row>
      <xdr:rowOff>114300</xdr:rowOff>
    </xdr:to>
    <xdr:sp macro="" textlink="">
      <xdr:nvSpPr>
        <xdr:cNvPr id="1090" name="Arrow: Down 1089">
          <a:extLst>
            <a:ext uri="{FF2B5EF4-FFF2-40B4-BE49-F238E27FC236}">
              <a16:creationId xmlns:a16="http://schemas.microsoft.com/office/drawing/2014/main" id="{30EAA649-7085-4EB5-8EB5-036AE1A3BE38}"/>
            </a:ext>
          </a:extLst>
        </xdr:cNvPr>
        <xdr:cNvSpPr/>
      </xdr:nvSpPr>
      <xdr:spPr>
        <a:xfrm>
          <a:off x="17907000" y="2917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160</xdr:row>
      <xdr:rowOff>0</xdr:rowOff>
    </xdr:from>
    <xdr:to>
      <xdr:col>11</xdr:col>
      <xdr:colOff>83820</xdr:colOff>
      <xdr:row>160</xdr:row>
      <xdr:rowOff>114300</xdr:rowOff>
    </xdr:to>
    <xdr:sp macro="" textlink="">
      <xdr:nvSpPr>
        <xdr:cNvPr id="1094" name="Arrow: Down 1093">
          <a:extLst>
            <a:ext uri="{FF2B5EF4-FFF2-40B4-BE49-F238E27FC236}">
              <a16:creationId xmlns:a16="http://schemas.microsoft.com/office/drawing/2014/main" id="{54B782FB-01D0-4C40-8E10-B1413ECB7BF3}"/>
            </a:ext>
          </a:extLst>
        </xdr:cNvPr>
        <xdr:cNvSpPr/>
      </xdr:nvSpPr>
      <xdr:spPr>
        <a:xfrm rot="10800000">
          <a:off x="361950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160</xdr:row>
      <xdr:rowOff>0</xdr:rowOff>
    </xdr:from>
    <xdr:to>
      <xdr:col>5</xdr:col>
      <xdr:colOff>83820</xdr:colOff>
      <xdr:row>160</xdr:row>
      <xdr:rowOff>114300</xdr:rowOff>
    </xdr:to>
    <xdr:sp macro="" textlink="">
      <xdr:nvSpPr>
        <xdr:cNvPr id="1095" name="Arrow: Down 1094">
          <a:extLst>
            <a:ext uri="{FF2B5EF4-FFF2-40B4-BE49-F238E27FC236}">
              <a16:creationId xmlns:a16="http://schemas.microsoft.com/office/drawing/2014/main" id="{FC1AAE07-2E6E-44AA-A17E-54A7F75F34FD}"/>
            </a:ext>
          </a:extLst>
        </xdr:cNvPr>
        <xdr:cNvSpPr/>
      </xdr:nvSpPr>
      <xdr:spPr>
        <a:xfrm rot="10800000">
          <a:off x="192786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160</xdr:row>
      <xdr:rowOff>0</xdr:rowOff>
    </xdr:from>
    <xdr:to>
      <xdr:col>24</xdr:col>
      <xdr:colOff>83820</xdr:colOff>
      <xdr:row>160</xdr:row>
      <xdr:rowOff>114300</xdr:rowOff>
    </xdr:to>
    <xdr:sp macro="" textlink="">
      <xdr:nvSpPr>
        <xdr:cNvPr id="1096" name="Arrow: Down 1095">
          <a:extLst>
            <a:ext uri="{FF2B5EF4-FFF2-40B4-BE49-F238E27FC236}">
              <a16:creationId xmlns:a16="http://schemas.microsoft.com/office/drawing/2014/main" id="{450C50F7-63EC-4BE2-AEED-3A329FA73E23}"/>
            </a:ext>
          </a:extLst>
        </xdr:cNvPr>
        <xdr:cNvSpPr/>
      </xdr:nvSpPr>
      <xdr:spPr>
        <a:xfrm rot="10800000">
          <a:off x="585978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160</xdr:row>
      <xdr:rowOff>0</xdr:rowOff>
    </xdr:from>
    <xdr:to>
      <xdr:col>60</xdr:col>
      <xdr:colOff>83820</xdr:colOff>
      <xdr:row>160</xdr:row>
      <xdr:rowOff>114300</xdr:rowOff>
    </xdr:to>
    <xdr:sp macro="" textlink="">
      <xdr:nvSpPr>
        <xdr:cNvPr id="1097" name="Arrow: Down 1096">
          <a:extLst>
            <a:ext uri="{FF2B5EF4-FFF2-40B4-BE49-F238E27FC236}">
              <a16:creationId xmlns:a16="http://schemas.microsoft.com/office/drawing/2014/main" id="{3152EE92-07AD-443E-A94A-0CFCA06E41DB}"/>
            </a:ext>
          </a:extLst>
        </xdr:cNvPr>
        <xdr:cNvSpPr/>
      </xdr:nvSpPr>
      <xdr:spPr>
        <a:xfrm rot="10800000">
          <a:off x="1559052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160</xdr:row>
      <xdr:rowOff>0</xdr:rowOff>
    </xdr:from>
    <xdr:to>
      <xdr:col>39</xdr:col>
      <xdr:colOff>83820</xdr:colOff>
      <xdr:row>160</xdr:row>
      <xdr:rowOff>114300</xdr:rowOff>
    </xdr:to>
    <xdr:sp macro="" textlink="">
      <xdr:nvSpPr>
        <xdr:cNvPr id="1099" name="Arrow: Down 1098">
          <a:extLst>
            <a:ext uri="{FF2B5EF4-FFF2-40B4-BE49-F238E27FC236}">
              <a16:creationId xmlns:a16="http://schemas.microsoft.com/office/drawing/2014/main" id="{434CFD95-D4D5-4205-AA9F-2BB785548CD7}"/>
            </a:ext>
          </a:extLst>
        </xdr:cNvPr>
        <xdr:cNvSpPr/>
      </xdr:nvSpPr>
      <xdr:spPr>
        <a:xfrm>
          <a:off x="8953500" y="2935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160</xdr:row>
      <xdr:rowOff>0</xdr:rowOff>
    </xdr:from>
    <xdr:to>
      <xdr:col>45</xdr:col>
      <xdr:colOff>83820</xdr:colOff>
      <xdr:row>160</xdr:row>
      <xdr:rowOff>114300</xdr:rowOff>
    </xdr:to>
    <xdr:sp macro="" textlink="">
      <xdr:nvSpPr>
        <xdr:cNvPr id="1103" name="Arrow: Down 1102">
          <a:extLst>
            <a:ext uri="{FF2B5EF4-FFF2-40B4-BE49-F238E27FC236}">
              <a16:creationId xmlns:a16="http://schemas.microsoft.com/office/drawing/2014/main" id="{76F5291A-1E09-454C-B39C-EA4BE05BA272}"/>
            </a:ext>
          </a:extLst>
        </xdr:cNvPr>
        <xdr:cNvSpPr/>
      </xdr:nvSpPr>
      <xdr:spPr>
        <a:xfrm rot="10800000">
          <a:off x="10759440" y="29359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83820</xdr:colOff>
      <xdr:row>59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519D918-43BE-4897-AB65-9C0931A9E0F4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83820</xdr:colOff>
      <xdr:row>60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26BC2468-B871-46D0-827B-D3F733B4421D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83820</xdr:colOff>
      <xdr:row>61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21B96964-1BA0-4633-9467-B26CA1BB036C}"/>
            </a:ext>
          </a:extLst>
        </xdr:cNvPr>
        <xdr:cNvSpPr/>
      </xdr:nvSpPr>
      <xdr:spPr>
        <a:xfrm>
          <a:off x="5006340" y="11170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83820</xdr:colOff>
      <xdr:row>62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61CC480B-AE91-4DBF-A733-0F8A31E99597}"/>
            </a:ext>
          </a:extLst>
        </xdr:cNvPr>
        <xdr:cNvSpPr/>
      </xdr:nvSpPr>
      <xdr:spPr>
        <a:xfrm>
          <a:off x="5082540" y="1135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14</xdr:col>
      <xdr:colOff>83820</xdr:colOff>
      <xdr:row>63</xdr:row>
      <xdr:rowOff>114300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2FC1A549-DB0F-487C-9DF0-55126AAB853F}"/>
            </a:ext>
          </a:extLst>
        </xdr:cNvPr>
        <xdr:cNvSpPr/>
      </xdr:nvSpPr>
      <xdr:spPr>
        <a:xfrm>
          <a:off x="5082540" y="11536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64</xdr:row>
      <xdr:rowOff>0</xdr:rowOff>
    </xdr:from>
    <xdr:to>
      <xdr:col>14</xdr:col>
      <xdr:colOff>83820</xdr:colOff>
      <xdr:row>64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54BB3E82-36C5-49EF-AD45-FCBB78447340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65</xdr:row>
      <xdr:rowOff>0</xdr:rowOff>
    </xdr:from>
    <xdr:to>
      <xdr:col>14</xdr:col>
      <xdr:colOff>83820</xdr:colOff>
      <xdr:row>65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5EBF3AD6-9370-4041-9940-B1725AA2AC07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83820</xdr:colOff>
      <xdr:row>66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307B6ECF-BD13-44E5-9CE2-A9B5FE29CA76}"/>
            </a:ext>
          </a:extLst>
        </xdr:cNvPr>
        <xdr:cNvSpPr/>
      </xdr:nvSpPr>
      <xdr:spPr>
        <a:xfrm rot="10800000">
          <a:off x="5082540" y="12085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83820</xdr:colOff>
      <xdr:row>67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7F810F10-CF2E-4DC7-9003-C701F8E957C3}"/>
            </a:ext>
          </a:extLst>
        </xdr:cNvPr>
        <xdr:cNvSpPr/>
      </xdr:nvSpPr>
      <xdr:spPr>
        <a:xfrm>
          <a:off x="5082540" y="12451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83820</xdr:colOff>
      <xdr:row>68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23AEE374-7E45-441F-AFAD-F8EBCBD99530}"/>
            </a:ext>
          </a:extLst>
        </xdr:cNvPr>
        <xdr:cNvSpPr/>
      </xdr:nvSpPr>
      <xdr:spPr>
        <a:xfrm rot="10800000">
          <a:off x="5082540" y="1263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69</xdr:row>
      <xdr:rowOff>0</xdr:rowOff>
    </xdr:from>
    <xdr:to>
      <xdr:col>14</xdr:col>
      <xdr:colOff>83820</xdr:colOff>
      <xdr:row>69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BC3AEB07-4654-4C4A-AF6E-A5321D8955F2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70</xdr:row>
      <xdr:rowOff>0</xdr:rowOff>
    </xdr:from>
    <xdr:to>
      <xdr:col>14</xdr:col>
      <xdr:colOff>83820</xdr:colOff>
      <xdr:row>70</xdr:row>
      <xdr:rowOff>114300</xdr:rowOff>
    </xdr:to>
    <xdr:sp macro="" textlink="">
      <xdr:nvSpPr>
        <xdr:cNvPr id="60" name="Arrow: Down 59">
          <a:extLst>
            <a:ext uri="{FF2B5EF4-FFF2-40B4-BE49-F238E27FC236}">
              <a16:creationId xmlns:a16="http://schemas.microsoft.com/office/drawing/2014/main" id="{D705722B-9E53-435B-BD5A-96948BEA050C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71</xdr:row>
      <xdr:rowOff>0</xdr:rowOff>
    </xdr:from>
    <xdr:to>
      <xdr:col>14</xdr:col>
      <xdr:colOff>83820</xdr:colOff>
      <xdr:row>71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C28CD217-6925-4407-BDD6-164027085198}"/>
            </a:ext>
          </a:extLst>
        </xdr:cNvPr>
        <xdr:cNvSpPr/>
      </xdr:nvSpPr>
      <xdr:spPr>
        <a:xfrm rot="10800000">
          <a:off x="5082540" y="13182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72</xdr:row>
      <xdr:rowOff>0</xdr:rowOff>
    </xdr:from>
    <xdr:to>
      <xdr:col>14</xdr:col>
      <xdr:colOff>83820</xdr:colOff>
      <xdr:row>72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6FF394F2-45BE-4EDD-A497-3532F732A6FC}"/>
            </a:ext>
          </a:extLst>
        </xdr:cNvPr>
        <xdr:cNvSpPr/>
      </xdr:nvSpPr>
      <xdr:spPr>
        <a:xfrm>
          <a:off x="5082540" y="13365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160020</xdr:colOff>
      <xdr:row>73</xdr:row>
      <xdr:rowOff>99060</xdr:rowOff>
    </xdr:to>
    <xdr:sp macro="" textlink="">
      <xdr:nvSpPr>
        <xdr:cNvPr id="69" name="Minus Sign 68">
          <a:extLst>
            <a:ext uri="{FF2B5EF4-FFF2-40B4-BE49-F238E27FC236}">
              <a16:creationId xmlns:a16="http://schemas.microsoft.com/office/drawing/2014/main" id="{E72BD40E-7465-4A80-975A-01813230B197}"/>
            </a:ext>
          </a:extLst>
        </xdr:cNvPr>
        <xdr:cNvSpPr/>
      </xdr:nvSpPr>
      <xdr:spPr>
        <a:xfrm>
          <a:off x="5082540" y="135483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83820</xdr:colOff>
      <xdr:row>74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492DE6-98F2-496A-AFC8-5BA216A28394}"/>
            </a:ext>
          </a:extLst>
        </xdr:cNvPr>
        <xdr:cNvSpPr/>
      </xdr:nvSpPr>
      <xdr:spPr>
        <a:xfrm>
          <a:off x="5082540" y="13731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75</xdr:row>
      <xdr:rowOff>0</xdr:rowOff>
    </xdr:from>
    <xdr:to>
      <xdr:col>14</xdr:col>
      <xdr:colOff>83820</xdr:colOff>
      <xdr:row>75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3FC724EE-FCB6-44F4-948F-A6AAD484196B}"/>
            </a:ext>
          </a:extLst>
        </xdr:cNvPr>
        <xdr:cNvSpPr/>
      </xdr:nvSpPr>
      <xdr:spPr>
        <a:xfrm rot="10800000">
          <a:off x="5082540" y="1391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76</xdr:row>
      <xdr:rowOff>0</xdr:rowOff>
    </xdr:from>
    <xdr:to>
      <xdr:col>14</xdr:col>
      <xdr:colOff>83820</xdr:colOff>
      <xdr:row>76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FAC249DF-B675-42AA-A69C-1F5A5FE7F45B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83820</xdr:colOff>
      <xdr:row>77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F7AA644C-D224-4FA7-8C90-9552BF85A043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83820</xdr:colOff>
      <xdr:row>78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618C9C22-0379-4049-99FB-B8113314C760}"/>
            </a:ext>
          </a:extLst>
        </xdr:cNvPr>
        <xdr:cNvSpPr/>
      </xdr:nvSpPr>
      <xdr:spPr>
        <a:xfrm>
          <a:off x="5082540" y="14279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79</xdr:row>
      <xdr:rowOff>0</xdr:rowOff>
    </xdr:from>
    <xdr:to>
      <xdr:col>14</xdr:col>
      <xdr:colOff>83820</xdr:colOff>
      <xdr:row>79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DFCA3371-94B9-47BB-9CA4-5ACADA0B9C72}"/>
            </a:ext>
          </a:extLst>
        </xdr:cNvPr>
        <xdr:cNvSpPr/>
      </xdr:nvSpPr>
      <xdr:spPr>
        <a:xfrm rot="10800000">
          <a:off x="5082540" y="14645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80</xdr:row>
      <xdr:rowOff>0</xdr:rowOff>
    </xdr:from>
    <xdr:to>
      <xdr:col>14</xdr:col>
      <xdr:colOff>83820</xdr:colOff>
      <xdr:row>80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715CB796-F244-423A-B531-7FEB6D2A31BC}"/>
            </a:ext>
          </a:extLst>
        </xdr:cNvPr>
        <xdr:cNvSpPr/>
      </xdr:nvSpPr>
      <xdr:spPr>
        <a:xfrm rot="10800000">
          <a:off x="5082540" y="14828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81</xdr:row>
      <xdr:rowOff>0</xdr:rowOff>
    </xdr:from>
    <xdr:to>
      <xdr:col>14</xdr:col>
      <xdr:colOff>83820</xdr:colOff>
      <xdr:row>81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54A7C60E-6C90-488A-81C8-03E887264E90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82</xdr:row>
      <xdr:rowOff>0</xdr:rowOff>
    </xdr:from>
    <xdr:to>
      <xdr:col>14</xdr:col>
      <xdr:colOff>83820</xdr:colOff>
      <xdr:row>82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EE82C698-C11E-4701-840F-D41BA0A394D1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83</xdr:row>
      <xdr:rowOff>0</xdr:rowOff>
    </xdr:from>
    <xdr:to>
      <xdr:col>14</xdr:col>
      <xdr:colOff>83820</xdr:colOff>
      <xdr:row>83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1817C29-0A4C-42C8-A80E-5526D5EB0467}"/>
            </a:ext>
          </a:extLst>
        </xdr:cNvPr>
        <xdr:cNvSpPr/>
      </xdr:nvSpPr>
      <xdr:spPr>
        <a:xfrm>
          <a:off x="5082540" y="15194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84</xdr:row>
      <xdr:rowOff>0</xdr:rowOff>
    </xdr:from>
    <xdr:to>
      <xdr:col>14</xdr:col>
      <xdr:colOff>83820</xdr:colOff>
      <xdr:row>84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787FA6AC-8298-4CD3-A286-249E411F2AEB}"/>
            </a:ext>
          </a:extLst>
        </xdr:cNvPr>
        <xdr:cNvSpPr/>
      </xdr:nvSpPr>
      <xdr:spPr>
        <a:xfrm rot="10800000">
          <a:off x="5082540" y="15560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85</xdr:row>
      <xdr:rowOff>0</xdr:rowOff>
    </xdr:from>
    <xdr:to>
      <xdr:col>14</xdr:col>
      <xdr:colOff>83820</xdr:colOff>
      <xdr:row>85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BB160FA1-8782-48B1-8749-74A69A37655D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86</xdr:row>
      <xdr:rowOff>0</xdr:rowOff>
    </xdr:from>
    <xdr:to>
      <xdr:col>14</xdr:col>
      <xdr:colOff>83820</xdr:colOff>
      <xdr:row>86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7634BCDA-2B24-45FB-BE50-E96898DCF855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83820</xdr:colOff>
      <xdr:row>87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C03C094C-01DF-4258-BA84-DC0FD49CB1AF}"/>
            </a:ext>
          </a:extLst>
        </xdr:cNvPr>
        <xdr:cNvSpPr/>
      </xdr:nvSpPr>
      <xdr:spPr>
        <a:xfrm rot="10800000">
          <a:off x="5082540" y="1610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88</xdr:row>
      <xdr:rowOff>0</xdr:rowOff>
    </xdr:from>
    <xdr:to>
      <xdr:col>14</xdr:col>
      <xdr:colOff>83820</xdr:colOff>
      <xdr:row>88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CB9B1833-EAE2-4F17-BA0E-54D23E6464B4}"/>
            </a:ext>
          </a:extLst>
        </xdr:cNvPr>
        <xdr:cNvSpPr/>
      </xdr:nvSpPr>
      <xdr:spPr>
        <a:xfrm>
          <a:off x="5082540" y="16291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83820</xdr:colOff>
      <xdr:row>89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941EFDA-7BBB-4E48-AB77-E4A36FD1982A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83820</xdr:colOff>
      <xdr:row>90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BBFFDB97-553B-42F0-85C7-FCC2F9FDDF32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91</xdr:row>
      <xdr:rowOff>0</xdr:rowOff>
    </xdr:from>
    <xdr:to>
      <xdr:col>14</xdr:col>
      <xdr:colOff>83820</xdr:colOff>
      <xdr:row>91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1B9F9666-7C48-4BFF-87A7-B4E500D4F13C}"/>
            </a:ext>
          </a:extLst>
        </xdr:cNvPr>
        <xdr:cNvSpPr/>
      </xdr:nvSpPr>
      <xdr:spPr>
        <a:xfrm>
          <a:off x="5082540" y="16657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83820</xdr:colOff>
      <xdr:row>92</xdr:row>
      <xdr:rowOff>114300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77261AC-317B-4110-AC25-09461968121A}"/>
            </a:ext>
          </a:extLst>
        </xdr:cNvPr>
        <xdr:cNvSpPr/>
      </xdr:nvSpPr>
      <xdr:spPr>
        <a:xfrm rot="10800000">
          <a:off x="5082540" y="17023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93</xdr:row>
      <xdr:rowOff>0</xdr:rowOff>
    </xdr:from>
    <xdr:to>
      <xdr:col>14</xdr:col>
      <xdr:colOff>83820</xdr:colOff>
      <xdr:row>93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36D99E6E-DBF7-4527-9F53-EA05BD2DB7BC}"/>
            </a:ext>
          </a:extLst>
        </xdr:cNvPr>
        <xdr:cNvSpPr/>
      </xdr:nvSpPr>
      <xdr:spPr>
        <a:xfrm>
          <a:off x="5082540" y="17205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94</xdr:row>
      <xdr:rowOff>0</xdr:rowOff>
    </xdr:from>
    <xdr:to>
      <xdr:col>14</xdr:col>
      <xdr:colOff>83820</xdr:colOff>
      <xdr:row>94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A107EF32-21D2-4F2E-9FD0-28117DB8E476}"/>
            </a:ext>
          </a:extLst>
        </xdr:cNvPr>
        <xdr:cNvSpPr/>
      </xdr:nvSpPr>
      <xdr:spPr>
        <a:xfrm>
          <a:off x="5082540" y="17388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95</xdr:row>
      <xdr:rowOff>0</xdr:rowOff>
    </xdr:from>
    <xdr:to>
      <xdr:col>14</xdr:col>
      <xdr:colOff>83820</xdr:colOff>
      <xdr:row>95</xdr:row>
      <xdr:rowOff>114300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07AAC6AB-90EF-4F61-8480-BBD5FC83C023}"/>
            </a:ext>
          </a:extLst>
        </xdr:cNvPr>
        <xdr:cNvSpPr/>
      </xdr:nvSpPr>
      <xdr:spPr>
        <a:xfrm rot="10800000">
          <a:off x="5082540" y="17571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96</xdr:row>
      <xdr:rowOff>0</xdr:rowOff>
    </xdr:from>
    <xdr:to>
      <xdr:col>14</xdr:col>
      <xdr:colOff>83820</xdr:colOff>
      <xdr:row>96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1AD402FA-539A-4F7B-B08B-A13AB48BBD16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83820</xdr:colOff>
      <xdr:row>97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1DADD566-91C1-4A58-B0D0-C6E2F0192EC0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98</xdr:row>
      <xdr:rowOff>0</xdr:rowOff>
    </xdr:from>
    <xdr:to>
      <xdr:col>14</xdr:col>
      <xdr:colOff>83820</xdr:colOff>
      <xdr:row>98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D6FFD4B5-DEB3-4B72-8F9E-10F29BE3452E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99</xdr:row>
      <xdr:rowOff>0</xdr:rowOff>
    </xdr:from>
    <xdr:to>
      <xdr:col>14</xdr:col>
      <xdr:colOff>83820</xdr:colOff>
      <xdr:row>99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EDD53DE7-D9F0-42D6-AA3E-097FB7C0839D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83820</xdr:colOff>
      <xdr:row>100</xdr:row>
      <xdr:rowOff>114300</xdr:rowOff>
    </xdr:to>
    <xdr:sp macro="" textlink="">
      <xdr:nvSpPr>
        <xdr:cNvPr id="100" name="Arrow: Down 99">
          <a:extLst>
            <a:ext uri="{FF2B5EF4-FFF2-40B4-BE49-F238E27FC236}">
              <a16:creationId xmlns:a16="http://schemas.microsoft.com/office/drawing/2014/main" id="{AB388407-0DA7-49FA-9E7F-86EE4D8FD10F}"/>
            </a:ext>
          </a:extLst>
        </xdr:cNvPr>
        <xdr:cNvSpPr/>
      </xdr:nvSpPr>
      <xdr:spPr>
        <a:xfrm rot="10800000">
          <a:off x="50825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101</xdr:row>
      <xdr:rowOff>0</xdr:rowOff>
    </xdr:from>
    <xdr:to>
      <xdr:col>14</xdr:col>
      <xdr:colOff>83820</xdr:colOff>
      <xdr:row>101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F937C85-1CFA-4D1D-ABC1-BE5ED4111A9A}"/>
            </a:ext>
          </a:extLst>
        </xdr:cNvPr>
        <xdr:cNvSpPr/>
      </xdr:nvSpPr>
      <xdr:spPr>
        <a:xfrm rot="10800000">
          <a:off x="51587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102</xdr:row>
      <xdr:rowOff>0</xdr:rowOff>
    </xdr:from>
    <xdr:to>
      <xdr:col>14</xdr:col>
      <xdr:colOff>83820</xdr:colOff>
      <xdr:row>102</xdr:row>
      <xdr:rowOff>114300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FA62DC81-AA8E-45C9-9EF8-487D5A5E80CE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103</xdr:row>
      <xdr:rowOff>0</xdr:rowOff>
    </xdr:from>
    <xdr:to>
      <xdr:col>14</xdr:col>
      <xdr:colOff>83820</xdr:colOff>
      <xdr:row>103</xdr:row>
      <xdr:rowOff>114300</xdr:rowOff>
    </xdr:to>
    <xdr:sp macro="" textlink="">
      <xdr:nvSpPr>
        <xdr:cNvPr id="96" name="Arrow: Down 95">
          <a:extLst>
            <a:ext uri="{FF2B5EF4-FFF2-40B4-BE49-F238E27FC236}">
              <a16:creationId xmlns:a16="http://schemas.microsoft.com/office/drawing/2014/main" id="{E2198E63-B681-4AF2-9CBF-CD3508440130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104</xdr:row>
      <xdr:rowOff>0</xdr:rowOff>
    </xdr:from>
    <xdr:to>
      <xdr:col>14</xdr:col>
      <xdr:colOff>83820</xdr:colOff>
      <xdr:row>104</xdr:row>
      <xdr:rowOff>114300</xdr:rowOff>
    </xdr:to>
    <xdr:sp macro="" textlink="">
      <xdr:nvSpPr>
        <xdr:cNvPr id="98" name="Arrow: Down 97">
          <a:extLst>
            <a:ext uri="{FF2B5EF4-FFF2-40B4-BE49-F238E27FC236}">
              <a16:creationId xmlns:a16="http://schemas.microsoft.com/office/drawing/2014/main" id="{EFA8F11D-1F24-4B40-AB03-1BFE283469B7}"/>
            </a:ext>
          </a:extLst>
        </xdr:cNvPr>
        <xdr:cNvSpPr/>
      </xdr:nvSpPr>
      <xdr:spPr>
        <a:xfrm>
          <a:off x="5158740" y="190347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105</xdr:row>
      <xdr:rowOff>7620</xdr:rowOff>
    </xdr:from>
    <xdr:to>
      <xdr:col>14</xdr:col>
      <xdr:colOff>83820</xdr:colOff>
      <xdr:row>105</xdr:row>
      <xdr:rowOff>114300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76BE8343-2EE7-4A7D-91B3-7951AD754447}"/>
            </a:ext>
          </a:extLst>
        </xdr:cNvPr>
        <xdr:cNvSpPr/>
      </xdr:nvSpPr>
      <xdr:spPr>
        <a:xfrm rot="10800000">
          <a:off x="5158740" y="194081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83820</xdr:colOff>
      <xdr:row>106</xdr:row>
      <xdr:rowOff>114300</xdr:rowOff>
    </xdr:to>
    <xdr:sp macro="" textlink="">
      <xdr:nvSpPr>
        <xdr:cNvPr id="104" name="Arrow: Down 103">
          <a:extLst>
            <a:ext uri="{FF2B5EF4-FFF2-40B4-BE49-F238E27FC236}">
              <a16:creationId xmlns:a16="http://schemas.microsoft.com/office/drawing/2014/main" id="{0FBD3FE6-74A9-43E5-AD70-226D01B883D8}"/>
            </a:ext>
          </a:extLst>
        </xdr:cNvPr>
        <xdr:cNvSpPr/>
      </xdr:nvSpPr>
      <xdr:spPr>
        <a:xfrm>
          <a:off x="5158740" y="19583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107</xdr:row>
      <xdr:rowOff>0</xdr:rowOff>
    </xdr:from>
    <xdr:to>
      <xdr:col>14</xdr:col>
      <xdr:colOff>83820</xdr:colOff>
      <xdr:row>107</xdr:row>
      <xdr:rowOff>106680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91BDE189-10DF-4868-BDED-90554109F461}"/>
            </a:ext>
          </a:extLst>
        </xdr:cNvPr>
        <xdr:cNvSpPr/>
      </xdr:nvSpPr>
      <xdr:spPr>
        <a:xfrm rot="10800000">
          <a:off x="5158740" y="19766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83820</xdr:colOff>
      <xdr:row>108</xdr:row>
      <xdr:rowOff>106680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56A0AD15-0EA9-434D-8A74-345C2A50898F}"/>
            </a:ext>
          </a:extLst>
        </xdr:cNvPr>
        <xdr:cNvSpPr/>
      </xdr:nvSpPr>
      <xdr:spPr>
        <a:xfrm rot="10800000">
          <a:off x="5158740" y="19766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109</xdr:row>
      <xdr:rowOff>0</xdr:rowOff>
    </xdr:from>
    <xdr:to>
      <xdr:col>14</xdr:col>
      <xdr:colOff>83820</xdr:colOff>
      <xdr:row>109</xdr:row>
      <xdr:rowOff>114300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4C3CC9B9-9520-4860-9FB5-888DBE991D18}"/>
            </a:ext>
          </a:extLst>
        </xdr:cNvPr>
        <xdr:cNvSpPr/>
      </xdr:nvSpPr>
      <xdr:spPr>
        <a:xfrm>
          <a:off x="5158740" y="20132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83820</xdr:colOff>
      <xdr:row>110</xdr:row>
      <xdr:rowOff>106680</xdr:rowOff>
    </xdr:to>
    <xdr:sp macro="" textlink="">
      <xdr:nvSpPr>
        <xdr:cNvPr id="106" name="Arrow: Down 105">
          <a:extLst>
            <a:ext uri="{FF2B5EF4-FFF2-40B4-BE49-F238E27FC236}">
              <a16:creationId xmlns:a16="http://schemas.microsoft.com/office/drawing/2014/main" id="{B4436ACF-0653-4C1D-9136-9067C0CFB6E0}"/>
            </a:ext>
          </a:extLst>
        </xdr:cNvPr>
        <xdr:cNvSpPr/>
      </xdr:nvSpPr>
      <xdr:spPr>
        <a:xfrm rot="10800000">
          <a:off x="5158740" y="203149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83820</xdr:colOff>
      <xdr:row>111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63F0651F-B0F7-4119-9CBD-DC1C8FFD9A8D}"/>
            </a:ext>
          </a:extLst>
        </xdr:cNvPr>
        <xdr:cNvSpPr/>
      </xdr:nvSpPr>
      <xdr:spPr>
        <a:xfrm>
          <a:off x="5158740" y="2049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112</xdr:row>
      <xdr:rowOff>0</xdr:rowOff>
    </xdr:from>
    <xdr:to>
      <xdr:col>14</xdr:col>
      <xdr:colOff>83820</xdr:colOff>
      <xdr:row>112</xdr:row>
      <xdr:rowOff>114300</xdr:rowOff>
    </xdr:to>
    <xdr:sp macro="" textlink="">
      <xdr:nvSpPr>
        <xdr:cNvPr id="99" name="Arrow: Down 98">
          <a:extLst>
            <a:ext uri="{FF2B5EF4-FFF2-40B4-BE49-F238E27FC236}">
              <a16:creationId xmlns:a16="http://schemas.microsoft.com/office/drawing/2014/main" id="{84EA86D9-5A57-4084-8E2C-9903C1532CCF}"/>
            </a:ext>
          </a:extLst>
        </xdr:cNvPr>
        <xdr:cNvSpPr/>
      </xdr:nvSpPr>
      <xdr:spPr>
        <a:xfrm>
          <a:off x="5158740" y="2049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83820</xdr:colOff>
      <xdr:row>113</xdr:row>
      <xdr:rowOff>106680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D580A448-4E00-427E-A72E-740CC3A35FBD}"/>
            </a:ext>
          </a:extLst>
        </xdr:cNvPr>
        <xdr:cNvSpPr/>
      </xdr:nvSpPr>
      <xdr:spPr>
        <a:xfrm rot="10800000">
          <a:off x="5158740" y="208635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114</xdr:row>
      <xdr:rowOff>0</xdr:rowOff>
    </xdr:from>
    <xdr:to>
      <xdr:col>14</xdr:col>
      <xdr:colOff>83820</xdr:colOff>
      <xdr:row>114</xdr:row>
      <xdr:rowOff>106680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9827D83B-5FE2-4D79-BA7F-33F33394AEA8}"/>
            </a:ext>
          </a:extLst>
        </xdr:cNvPr>
        <xdr:cNvSpPr/>
      </xdr:nvSpPr>
      <xdr:spPr>
        <a:xfrm rot="10800000">
          <a:off x="5158740" y="210464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115</xdr:row>
      <xdr:rowOff>0</xdr:rowOff>
    </xdr:from>
    <xdr:to>
      <xdr:col>14</xdr:col>
      <xdr:colOff>83820</xdr:colOff>
      <xdr:row>115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E42D6F89-84AB-4364-B045-2AC353C5DF2E}"/>
            </a:ext>
          </a:extLst>
        </xdr:cNvPr>
        <xdr:cNvSpPr/>
      </xdr:nvSpPr>
      <xdr:spPr>
        <a:xfrm>
          <a:off x="5158740" y="2122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83820</xdr:colOff>
      <xdr:row>116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74A48665-B129-4919-9C2A-53BCA977B06E}"/>
            </a:ext>
          </a:extLst>
        </xdr:cNvPr>
        <xdr:cNvSpPr/>
      </xdr:nvSpPr>
      <xdr:spPr>
        <a:xfrm>
          <a:off x="5158740" y="2122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83820</xdr:colOff>
      <xdr:row>117</xdr:row>
      <xdr:rowOff>106680</xdr:rowOff>
    </xdr:to>
    <xdr:sp macro="" textlink="">
      <xdr:nvSpPr>
        <xdr:cNvPr id="131" name="Arrow: Down 130">
          <a:extLst>
            <a:ext uri="{FF2B5EF4-FFF2-40B4-BE49-F238E27FC236}">
              <a16:creationId xmlns:a16="http://schemas.microsoft.com/office/drawing/2014/main" id="{43E7F4AD-B4CA-4C70-BC66-3FCBA45A6D95}"/>
            </a:ext>
          </a:extLst>
        </xdr:cNvPr>
        <xdr:cNvSpPr/>
      </xdr:nvSpPr>
      <xdr:spPr>
        <a:xfrm rot="10800000">
          <a:off x="5158740" y="215950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118</xdr:row>
      <xdr:rowOff>0</xdr:rowOff>
    </xdr:from>
    <xdr:to>
      <xdr:col>14</xdr:col>
      <xdr:colOff>83820</xdr:colOff>
      <xdr:row>118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172E9803-D878-4ADD-A69F-CE2A15CCAC1D}"/>
            </a:ext>
          </a:extLst>
        </xdr:cNvPr>
        <xdr:cNvSpPr/>
      </xdr:nvSpPr>
      <xdr:spPr>
        <a:xfrm>
          <a:off x="5158740" y="2177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119</xdr:row>
      <xdr:rowOff>0</xdr:rowOff>
    </xdr:from>
    <xdr:to>
      <xdr:col>14</xdr:col>
      <xdr:colOff>83820</xdr:colOff>
      <xdr:row>119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F493B878-4B0F-4756-AB9F-4B28A96F81BF}"/>
            </a:ext>
          </a:extLst>
        </xdr:cNvPr>
        <xdr:cNvSpPr/>
      </xdr:nvSpPr>
      <xdr:spPr>
        <a:xfrm>
          <a:off x="5158740" y="2177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120</xdr:row>
      <xdr:rowOff>0</xdr:rowOff>
    </xdr:from>
    <xdr:to>
      <xdr:col>14</xdr:col>
      <xdr:colOff>83820</xdr:colOff>
      <xdr:row>120</xdr:row>
      <xdr:rowOff>114300</xdr:rowOff>
    </xdr:to>
    <xdr:sp macro="" textlink="">
      <xdr:nvSpPr>
        <xdr:cNvPr id="112" name="Arrow: Down 111">
          <a:extLst>
            <a:ext uri="{FF2B5EF4-FFF2-40B4-BE49-F238E27FC236}">
              <a16:creationId xmlns:a16="http://schemas.microsoft.com/office/drawing/2014/main" id="{0E5191D3-238B-4908-A8A0-4499EAFAD4CF}"/>
            </a:ext>
          </a:extLst>
        </xdr:cNvPr>
        <xdr:cNvSpPr/>
      </xdr:nvSpPr>
      <xdr:spPr>
        <a:xfrm>
          <a:off x="5158740" y="221437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121</xdr:row>
      <xdr:rowOff>0</xdr:rowOff>
    </xdr:from>
    <xdr:to>
      <xdr:col>14</xdr:col>
      <xdr:colOff>83820</xdr:colOff>
      <xdr:row>121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DBFDC0D2-A286-4A11-A264-595E9BAB904A}"/>
            </a:ext>
          </a:extLst>
        </xdr:cNvPr>
        <xdr:cNvSpPr/>
      </xdr:nvSpPr>
      <xdr:spPr>
        <a:xfrm>
          <a:off x="5158740" y="22326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122</xdr:row>
      <xdr:rowOff>0</xdr:rowOff>
    </xdr:from>
    <xdr:to>
      <xdr:col>14</xdr:col>
      <xdr:colOff>83820</xdr:colOff>
      <xdr:row>122</xdr:row>
      <xdr:rowOff>106680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6392B6D0-CE3C-46B7-A61C-C14B5C17A0EF}"/>
            </a:ext>
          </a:extLst>
        </xdr:cNvPr>
        <xdr:cNvSpPr/>
      </xdr:nvSpPr>
      <xdr:spPr>
        <a:xfrm rot="10800000">
          <a:off x="5158740" y="225094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123</xdr:row>
      <xdr:rowOff>0</xdr:rowOff>
    </xdr:from>
    <xdr:to>
      <xdr:col>14</xdr:col>
      <xdr:colOff>83820</xdr:colOff>
      <xdr:row>123</xdr:row>
      <xdr:rowOff>114300</xdr:rowOff>
    </xdr:to>
    <xdr:sp macro="" textlink="">
      <xdr:nvSpPr>
        <xdr:cNvPr id="111" name="Arrow: Down 110">
          <a:extLst>
            <a:ext uri="{FF2B5EF4-FFF2-40B4-BE49-F238E27FC236}">
              <a16:creationId xmlns:a16="http://schemas.microsoft.com/office/drawing/2014/main" id="{56B5A93C-D1EB-4424-B28D-64463C11AAD3}"/>
            </a:ext>
          </a:extLst>
        </xdr:cNvPr>
        <xdr:cNvSpPr/>
      </xdr:nvSpPr>
      <xdr:spPr>
        <a:xfrm>
          <a:off x="5158740" y="22692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124</xdr:row>
      <xdr:rowOff>0</xdr:rowOff>
    </xdr:from>
    <xdr:to>
      <xdr:col>14</xdr:col>
      <xdr:colOff>83820</xdr:colOff>
      <xdr:row>124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3494FB12-9F44-4C93-B953-5E744E56E395}"/>
            </a:ext>
          </a:extLst>
        </xdr:cNvPr>
        <xdr:cNvSpPr/>
      </xdr:nvSpPr>
      <xdr:spPr>
        <a:xfrm>
          <a:off x="5158740" y="22692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125</xdr:row>
      <xdr:rowOff>0</xdr:rowOff>
    </xdr:from>
    <xdr:to>
      <xdr:col>14</xdr:col>
      <xdr:colOff>83820</xdr:colOff>
      <xdr:row>125</xdr:row>
      <xdr:rowOff>106680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0500F4BF-7C74-4757-AF04-06611CAD9ADE}"/>
            </a:ext>
          </a:extLst>
        </xdr:cNvPr>
        <xdr:cNvSpPr/>
      </xdr:nvSpPr>
      <xdr:spPr>
        <a:xfrm rot="10800000">
          <a:off x="5158740" y="230581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126</xdr:row>
      <xdr:rowOff>0</xdr:rowOff>
    </xdr:from>
    <xdr:to>
      <xdr:col>14</xdr:col>
      <xdr:colOff>83820</xdr:colOff>
      <xdr:row>126</xdr:row>
      <xdr:rowOff>106680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3FFA67C6-A879-42B2-98B5-191183626840}"/>
            </a:ext>
          </a:extLst>
        </xdr:cNvPr>
        <xdr:cNvSpPr/>
      </xdr:nvSpPr>
      <xdr:spPr>
        <a:xfrm rot="10800000">
          <a:off x="5158740" y="232410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83820</xdr:colOff>
      <xdr:row>127</xdr:row>
      <xdr:rowOff>106680</xdr:rowOff>
    </xdr:to>
    <xdr:sp macro="" textlink="">
      <xdr:nvSpPr>
        <xdr:cNvPr id="116" name="Arrow: Down 115">
          <a:extLst>
            <a:ext uri="{FF2B5EF4-FFF2-40B4-BE49-F238E27FC236}">
              <a16:creationId xmlns:a16="http://schemas.microsoft.com/office/drawing/2014/main" id="{E39B9FCB-ABA8-44F5-96EE-C6C08C848D48}"/>
            </a:ext>
          </a:extLst>
        </xdr:cNvPr>
        <xdr:cNvSpPr/>
      </xdr:nvSpPr>
      <xdr:spPr>
        <a:xfrm rot="10800000">
          <a:off x="5158740" y="234238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128</xdr:row>
      <xdr:rowOff>0</xdr:rowOff>
    </xdr:from>
    <xdr:to>
      <xdr:col>14</xdr:col>
      <xdr:colOff>83820</xdr:colOff>
      <xdr:row>128</xdr:row>
      <xdr:rowOff>106680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AD8D530B-1014-4000-8E43-850CFD9156BF}"/>
            </a:ext>
          </a:extLst>
        </xdr:cNvPr>
        <xdr:cNvSpPr/>
      </xdr:nvSpPr>
      <xdr:spPr>
        <a:xfrm rot="10800000">
          <a:off x="5158740" y="234238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130</xdr:row>
      <xdr:rowOff>0</xdr:rowOff>
    </xdr:from>
    <xdr:to>
      <xdr:col>14</xdr:col>
      <xdr:colOff>83820</xdr:colOff>
      <xdr:row>130</xdr:row>
      <xdr:rowOff>106680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56C90FFF-E144-4A5F-B680-18FBBC253A3A}"/>
            </a:ext>
          </a:extLst>
        </xdr:cNvPr>
        <xdr:cNvSpPr/>
      </xdr:nvSpPr>
      <xdr:spPr>
        <a:xfrm rot="10800000">
          <a:off x="5158740" y="237896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129</xdr:row>
      <xdr:rowOff>0</xdr:rowOff>
    </xdr:from>
    <xdr:to>
      <xdr:col>14</xdr:col>
      <xdr:colOff>83820</xdr:colOff>
      <xdr:row>129</xdr:row>
      <xdr:rowOff>114300</xdr:rowOff>
    </xdr:to>
    <xdr:sp macro="" textlink="">
      <xdr:nvSpPr>
        <xdr:cNvPr id="118" name="Arrow: Down 117">
          <a:extLst>
            <a:ext uri="{FF2B5EF4-FFF2-40B4-BE49-F238E27FC236}">
              <a16:creationId xmlns:a16="http://schemas.microsoft.com/office/drawing/2014/main" id="{0EE7A466-D247-4B24-ABCC-520B0DEE8D55}"/>
            </a:ext>
          </a:extLst>
        </xdr:cNvPr>
        <xdr:cNvSpPr/>
      </xdr:nvSpPr>
      <xdr:spPr>
        <a:xfrm>
          <a:off x="5158740" y="23789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131</xdr:row>
      <xdr:rowOff>0</xdr:rowOff>
    </xdr:from>
    <xdr:to>
      <xdr:col>14</xdr:col>
      <xdr:colOff>83820</xdr:colOff>
      <xdr:row>131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62E90C99-C367-4E2A-BDF6-D2A9708511ED}"/>
            </a:ext>
          </a:extLst>
        </xdr:cNvPr>
        <xdr:cNvSpPr/>
      </xdr:nvSpPr>
      <xdr:spPr>
        <a:xfrm>
          <a:off x="5158740" y="24155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132</xdr:row>
      <xdr:rowOff>0</xdr:rowOff>
    </xdr:from>
    <xdr:to>
      <xdr:col>14</xdr:col>
      <xdr:colOff>83820</xdr:colOff>
      <xdr:row>132</xdr:row>
      <xdr:rowOff>106680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C492A977-746E-49C1-9B01-734CF8C8D1C7}"/>
            </a:ext>
          </a:extLst>
        </xdr:cNvPr>
        <xdr:cNvSpPr/>
      </xdr:nvSpPr>
      <xdr:spPr>
        <a:xfrm rot="10800000">
          <a:off x="5158740" y="24338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133</xdr:row>
      <xdr:rowOff>0</xdr:rowOff>
    </xdr:from>
    <xdr:to>
      <xdr:col>14</xdr:col>
      <xdr:colOff>83820</xdr:colOff>
      <xdr:row>133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D0B1C446-9DB0-46F1-A12E-45FD1939F0C0}"/>
            </a:ext>
          </a:extLst>
        </xdr:cNvPr>
        <xdr:cNvSpPr/>
      </xdr:nvSpPr>
      <xdr:spPr>
        <a:xfrm>
          <a:off x="5158740" y="24521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134</xdr:row>
      <xdr:rowOff>0</xdr:rowOff>
    </xdr:from>
    <xdr:to>
      <xdr:col>14</xdr:col>
      <xdr:colOff>83820</xdr:colOff>
      <xdr:row>134</xdr:row>
      <xdr:rowOff>106680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BC244D08-593A-408E-B723-287FEAA915C1}"/>
            </a:ext>
          </a:extLst>
        </xdr:cNvPr>
        <xdr:cNvSpPr/>
      </xdr:nvSpPr>
      <xdr:spPr>
        <a:xfrm rot="10800000">
          <a:off x="5158740" y="247040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135</xdr:row>
      <xdr:rowOff>0</xdr:rowOff>
    </xdr:from>
    <xdr:to>
      <xdr:col>14</xdr:col>
      <xdr:colOff>83820</xdr:colOff>
      <xdr:row>135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FF66B8B8-8A79-42D3-AD28-DFAC85131088}"/>
            </a:ext>
          </a:extLst>
        </xdr:cNvPr>
        <xdr:cNvSpPr/>
      </xdr:nvSpPr>
      <xdr:spPr>
        <a:xfrm>
          <a:off x="5158740" y="24886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136</xdr:row>
      <xdr:rowOff>0</xdr:rowOff>
    </xdr:from>
    <xdr:to>
      <xdr:col>14</xdr:col>
      <xdr:colOff>83820</xdr:colOff>
      <xdr:row>136</xdr:row>
      <xdr:rowOff>106680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12C28A4A-2328-442F-A71D-3F6B05D5DCB4}"/>
            </a:ext>
          </a:extLst>
        </xdr:cNvPr>
        <xdr:cNvSpPr/>
      </xdr:nvSpPr>
      <xdr:spPr>
        <a:xfrm rot="10800000">
          <a:off x="5158740" y="250698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137</xdr:row>
      <xdr:rowOff>0</xdr:rowOff>
    </xdr:from>
    <xdr:to>
      <xdr:col>14</xdr:col>
      <xdr:colOff>83820</xdr:colOff>
      <xdr:row>137</xdr:row>
      <xdr:rowOff>114300</xdr:rowOff>
    </xdr:to>
    <xdr:sp macro="" textlink="">
      <xdr:nvSpPr>
        <xdr:cNvPr id="135" name="Arrow: Down 134">
          <a:extLst>
            <a:ext uri="{FF2B5EF4-FFF2-40B4-BE49-F238E27FC236}">
              <a16:creationId xmlns:a16="http://schemas.microsoft.com/office/drawing/2014/main" id="{C865E383-DE38-42C5-8698-B8EE40DB471D}"/>
            </a:ext>
          </a:extLst>
        </xdr:cNvPr>
        <xdr:cNvSpPr/>
      </xdr:nvSpPr>
      <xdr:spPr>
        <a:xfrm>
          <a:off x="5158740" y="25252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138</xdr:row>
      <xdr:rowOff>0</xdr:rowOff>
    </xdr:from>
    <xdr:to>
      <xdr:col>14</xdr:col>
      <xdr:colOff>83820</xdr:colOff>
      <xdr:row>138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E98166D0-C5F7-4B67-BAA5-4C65FD6062B5}"/>
            </a:ext>
          </a:extLst>
        </xdr:cNvPr>
        <xdr:cNvSpPr/>
      </xdr:nvSpPr>
      <xdr:spPr>
        <a:xfrm>
          <a:off x="5158740" y="25252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139</xdr:row>
      <xdr:rowOff>0</xdr:rowOff>
    </xdr:from>
    <xdr:to>
      <xdr:col>14</xdr:col>
      <xdr:colOff>83820</xdr:colOff>
      <xdr:row>139</xdr:row>
      <xdr:rowOff>106680</xdr:rowOff>
    </xdr:to>
    <xdr:sp macro="" textlink="">
      <xdr:nvSpPr>
        <xdr:cNvPr id="139" name="Arrow: Down 138">
          <a:extLst>
            <a:ext uri="{FF2B5EF4-FFF2-40B4-BE49-F238E27FC236}">
              <a16:creationId xmlns:a16="http://schemas.microsoft.com/office/drawing/2014/main" id="{93147313-B904-443D-BB3C-ABAC7E8AD0EE}"/>
            </a:ext>
          </a:extLst>
        </xdr:cNvPr>
        <xdr:cNvSpPr/>
      </xdr:nvSpPr>
      <xdr:spPr>
        <a:xfrm rot="10800000">
          <a:off x="5158740" y="256184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140</xdr:row>
      <xdr:rowOff>0</xdr:rowOff>
    </xdr:from>
    <xdr:to>
      <xdr:col>14</xdr:col>
      <xdr:colOff>83820</xdr:colOff>
      <xdr:row>140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63D5775A-996D-477A-AC03-41AD7DA2578D}"/>
            </a:ext>
          </a:extLst>
        </xdr:cNvPr>
        <xdr:cNvSpPr/>
      </xdr:nvSpPr>
      <xdr:spPr>
        <a:xfrm>
          <a:off x="5158740" y="25801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141</xdr:row>
      <xdr:rowOff>0</xdr:rowOff>
    </xdr:from>
    <xdr:to>
      <xdr:col>14</xdr:col>
      <xdr:colOff>83820</xdr:colOff>
      <xdr:row>141</xdr:row>
      <xdr:rowOff>106680</xdr:rowOff>
    </xdr:to>
    <xdr:sp macro="" textlink="">
      <xdr:nvSpPr>
        <xdr:cNvPr id="141" name="Arrow: Down 140">
          <a:extLst>
            <a:ext uri="{FF2B5EF4-FFF2-40B4-BE49-F238E27FC236}">
              <a16:creationId xmlns:a16="http://schemas.microsoft.com/office/drawing/2014/main" id="{493CA8B5-EB76-4F73-B10E-C377B4F4A422}"/>
            </a:ext>
          </a:extLst>
        </xdr:cNvPr>
        <xdr:cNvSpPr/>
      </xdr:nvSpPr>
      <xdr:spPr>
        <a:xfrm rot="10800000">
          <a:off x="5158740" y="259842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142</xdr:row>
      <xdr:rowOff>0</xdr:rowOff>
    </xdr:from>
    <xdr:to>
      <xdr:col>14</xdr:col>
      <xdr:colOff>83820</xdr:colOff>
      <xdr:row>142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C8A5454B-5E27-4C3C-ADA3-5C526FCE8327}"/>
            </a:ext>
          </a:extLst>
        </xdr:cNvPr>
        <xdr:cNvSpPr/>
      </xdr:nvSpPr>
      <xdr:spPr>
        <a:xfrm>
          <a:off x="5158740" y="26167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143</xdr:row>
      <xdr:rowOff>0</xdr:rowOff>
    </xdr:from>
    <xdr:to>
      <xdr:col>14</xdr:col>
      <xdr:colOff>83820</xdr:colOff>
      <xdr:row>143</xdr:row>
      <xdr:rowOff>106680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84DB2A74-F2E5-4F41-A85B-33F1F0721E55}"/>
            </a:ext>
          </a:extLst>
        </xdr:cNvPr>
        <xdr:cNvSpPr/>
      </xdr:nvSpPr>
      <xdr:spPr>
        <a:xfrm rot="10800000">
          <a:off x="5158740" y="263499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144</xdr:row>
      <xdr:rowOff>0</xdr:rowOff>
    </xdr:from>
    <xdr:to>
      <xdr:col>14</xdr:col>
      <xdr:colOff>83820</xdr:colOff>
      <xdr:row>144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47C47B60-28C8-440F-A197-466A75CECC6A}"/>
            </a:ext>
          </a:extLst>
        </xdr:cNvPr>
        <xdr:cNvSpPr/>
      </xdr:nvSpPr>
      <xdr:spPr>
        <a:xfrm>
          <a:off x="5158740" y="26532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145</xdr:row>
      <xdr:rowOff>0</xdr:rowOff>
    </xdr:from>
    <xdr:to>
      <xdr:col>14</xdr:col>
      <xdr:colOff>83820</xdr:colOff>
      <xdr:row>145</xdr:row>
      <xdr:rowOff>106680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CFE3979E-0D29-44FC-BB57-065C5529D0F0}"/>
            </a:ext>
          </a:extLst>
        </xdr:cNvPr>
        <xdr:cNvSpPr/>
      </xdr:nvSpPr>
      <xdr:spPr>
        <a:xfrm rot="10800000">
          <a:off x="5158740" y="267157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146</xdr:row>
      <xdr:rowOff>0</xdr:rowOff>
    </xdr:from>
    <xdr:to>
      <xdr:col>14</xdr:col>
      <xdr:colOff>83820</xdr:colOff>
      <xdr:row>146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9502C296-0D87-4277-BFA5-0B5233685F8D}"/>
            </a:ext>
          </a:extLst>
        </xdr:cNvPr>
        <xdr:cNvSpPr/>
      </xdr:nvSpPr>
      <xdr:spPr>
        <a:xfrm>
          <a:off x="5158740" y="26898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147</xdr:row>
      <xdr:rowOff>0</xdr:rowOff>
    </xdr:from>
    <xdr:to>
      <xdr:col>14</xdr:col>
      <xdr:colOff>83820</xdr:colOff>
      <xdr:row>147</xdr:row>
      <xdr:rowOff>114300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516ACED6-BFF0-406D-B664-169EC0F1937F}"/>
            </a:ext>
          </a:extLst>
        </xdr:cNvPr>
        <xdr:cNvSpPr/>
      </xdr:nvSpPr>
      <xdr:spPr>
        <a:xfrm>
          <a:off x="5158740" y="26898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148</xdr:row>
      <xdr:rowOff>0</xdr:rowOff>
    </xdr:from>
    <xdr:to>
      <xdr:col>14</xdr:col>
      <xdr:colOff>83820</xdr:colOff>
      <xdr:row>148</xdr:row>
      <xdr:rowOff>106680</xdr:rowOff>
    </xdr:to>
    <xdr:sp macro="" textlink="">
      <xdr:nvSpPr>
        <xdr:cNvPr id="138" name="Arrow: Down 137">
          <a:extLst>
            <a:ext uri="{FF2B5EF4-FFF2-40B4-BE49-F238E27FC236}">
              <a16:creationId xmlns:a16="http://schemas.microsoft.com/office/drawing/2014/main" id="{9ED87667-DDC8-4EAE-92AA-F5DD0A0A29D2}"/>
            </a:ext>
          </a:extLst>
        </xdr:cNvPr>
        <xdr:cNvSpPr/>
      </xdr:nvSpPr>
      <xdr:spPr>
        <a:xfrm rot="10800000">
          <a:off x="5158740" y="272643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149</xdr:row>
      <xdr:rowOff>0</xdr:rowOff>
    </xdr:from>
    <xdr:to>
      <xdr:col>14</xdr:col>
      <xdr:colOff>83820</xdr:colOff>
      <xdr:row>149</xdr:row>
      <xdr:rowOff>114300</xdr:rowOff>
    </xdr:to>
    <xdr:sp macro="" textlink="">
      <xdr:nvSpPr>
        <xdr:cNvPr id="142" name="Arrow: Down 141">
          <a:extLst>
            <a:ext uri="{FF2B5EF4-FFF2-40B4-BE49-F238E27FC236}">
              <a16:creationId xmlns:a16="http://schemas.microsoft.com/office/drawing/2014/main" id="{28F8B4B3-9D66-4F41-A3BF-5D5F1BDDA80F}"/>
            </a:ext>
          </a:extLst>
        </xdr:cNvPr>
        <xdr:cNvSpPr/>
      </xdr:nvSpPr>
      <xdr:spPr>
        <a:xfrm>
          <a:off x="5158740" y="27447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150</xdr:row>
      <xdr:rowOff>0</xdr:rowOff>
    </xdr:from>
    <xdr:to>
      <xdr:col>14</xdr:col>
      <xdr:colOff>83820</xdr:colOff>
      <xdr:row>150</xdr:row>
      <xdr:rowOff>106680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28E706FB-DBCE-4A18-8C52-947CD0390502}"/>
            </a:ext>
          </a:extLst>
        </xdr:cNvPr>
        <xdr:cNvSpPr/>
      </xdr:nvSpPr>
      <xdr:spPr>
        <a:xfrm rot="10800000">
          <a:off x="5158740" y="276301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151</xdr:row>
      <xdr:rowOff>0</xdr:rowOff>
    </xdr:from>
    <xdr:to>
      <xdr:col>14</xdr:col>
      <xdr:colOff>83820</xdr:colOff>
      <xdr:row>151</xdr:row>
      <xdr:rowOff>114300</xdr:rowOff>
    </xdr:to>
    <xdr:sp macro="" textlink="">
      <xdr:nvSpPr>
        <xdr:cNvPr id="140" name="Arrow: Down 139">
          <a:extLst>
            <a:ext uri="{FF2B5EF4-FFF2-40B4-BE49-F238E27FC236}">
              <a16:creationId xmlns:a16="http://schemas.microsoft.com/office/drawing/2014/main" id="{4FE82227-58A4-47DB-905B-95E84C022E2C}"/>
            </a:ext>
          </a:extLst>
        </xdr:cNvPr>
        <xdr:cNvSpPr/>
      </xdr:nvSpPr>
      <xdr:spPr>
        <a:xfrm>
          <a:off x="5158740" y="27813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152</xdr:row>
      <xdr:rowOff>0</xdr:rowOff>
    </xdr:from>
    <xdr:to>
      <xdr:col>14</xdr:col>
      <xdr:colOff>83820</xdr:colOff>
      <xdr:row>152</xdr:row>
      <xdr:rowOff>114300</xdr:rowOff>
    </xdr:to>
    <xdr:sp macro="" textlink="">
      <xdr:nvSpPr>
        <xdr:cNvPr id="144" name="Arrow: Down 143">
          <a:extLst>
            <a:ext uri="{FF2B5EF4-FFF2-40B4-BE49-F238E27FC236}">
              <a16:creationId xmlns:a16="http://schemas.microsoft.com/office/drawing/2014/main" id="{D8A09293-B671-4A31-8E65-22CF7FEBA569}"/>
            </a:ext>
          </a:extLst>
        </xdr:cNvPr>
        <xdr:cNvSpPr/>
      </xdr:nvSpPr>
      <xdr:spPr>
        <a:xfrm>
          <a:off x="5158740" y="27813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153</xdr:row>
      <xdr:rowOff>0</xdr:rowOff>
    </xdr:from>
    <xdr:to>
      <xdr:col>14</xdr:col>
      <xdr:colOff>83820</xdr:colOff>
      <xdr:row>153</xdr:row>
      <xdr:rowOff>106680</xdr:rowOff>
    </xdr:to>
    <xdr:sp macro="" textlink="">
      <xdr:nvSpPr>
        <xdr:cNvPr id="148" name="Arrow: Down 147">
          <a:extLst>
            <a:ext uri="{FF2B5EF4-FFF2-40B4-BE49-F238E27FC236}">
              <a16:creationId xmlns:a16="http://schemas.microsoft.com/office/drawing/2014/main" id="{523E66BC-7E5F-4C5D-BEC9-6ED7861BE0CB}"/>
            </a:ext>
          </a:extLst>
        </xdr:cNvPr>
        <xdr:cNvSpPr/>
      </xdr:nvSpPr>
      <xdr:spPr>
        <a:xfrm rot="10800000">
          <a:off x="5158740" y="281787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154</xdr:row>
      <xdr:rowOff>0</xdr:rowOff>
    </xdr:from>
    <xdr:to>
      <xdr:col>14</xdr:col>
      <xdr:colOff>83820</xdr:colOff>
      <xdr:row>154</xdr:row>
      <xdr:rowOff>106680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D6F35777-728B-4E77-963B-988F668B6A56}"/>
            </a:ext>
          </a:extLst>
        </xdr:cNvPr>
        <xdr:cNvSpPr/>
      </xdr:nvSpPr>
      <xdr:spPr>
        <a:xfrm rot="10800000">
          <a:off x="5158740" y="281787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155</xdr:row>
      <xdr:rowOff>0</xdr:rowOff>
    </xdr:from>
    <xdr:to>
      <xdr:col>14</xdr:col>
      <xdr:colOff>83820</xdr:colOff>
      <xdr:row>155</xdr:row>
      <xdr:rowOff>106680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AAA204D1-EFCF-48F2-B8C2-141E56A7A1CB}"/>
            </a:ext>
          </a:extLst>
        </xdr:cNvPr>
        <xdr:cNvSpPr/>
      </xdr:nvSpPr>
      <xdr:spPr>
        <a:xfrm rot="10800000">
          <a:off x="5158740" y="283616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156</xdr:row>
      <xdr:rowOff>0</xdr:rowOff>
    </xdr:from>
    <xdr:to>
      <xdr:col>14</xdr:col>
      <xdr:colOff>83820</xdr:colOff>
      <xdr:row>156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A90E2376-A98D-4338-85EC-E2E4C4B66F98}"/>
            </a:ext>
          </a:extLst>
        </xdr:cNvPr>
        <xdr:cNvSpPr/>
      </xdr:nvSpPr>
      <xdr:spPr>
        <a:xfrm>
          <a:off x="5158740" y="28727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157</xdr:row>
      <xdr:rowOff>0</xdr:rowOff>
    </xdr:from>
    <xdr:to>
      <xdr:col>14</xdr:col>
      <xdr:colOff>83820</xdr:colOff>
      <xdr:row>157</xdr:row>
      <xdr:rowOff>106680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1C98999E-DE2C-470C-9758-E368BDB11213}"/>
            </a:ext>
          </a:extLst>
        </xdr:cNvPr>
        <xdr:cNvSpPr/>
      </xdr:nvSpPr>
      <xdr:spPr>
        <a:xfrm rot="10800000">
          <a:off x="5158740" y="28910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158</xdr:row>
      <xdr:rowOff>0</xdr:rowOff>
    </xdr:from>
    <xdr:to>
      <xdr:col>14</xdr:col>
      <xdr:colOff>83820</xdr:colOff>
      <xdr:row>158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A07EFA90-AA1E-438E-AFA4-88FA88D8FB41}"/>
            </a:ext>
          </a:extLst>
        </xdr:cNvPr>
        <xdr:cNvSpPr/>
      </xdr:nvSpPr>
      <xdr:spPr>
        <a:xfrm>
          <a:off x="5158740" y="29093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159</xdr:row>
      <xdr:rowOff>0</xdr:rowOff>
    </xdr:from>
    <xdr:to>
      <xdr:col>14</xdr:col>
      <xdr:colOff>83820</xdr:colOff>
      <xdr:row>159</xdr:row>
      <xdr:rowOff>114300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D9221195-111A-4883-9C07-1598B9921D65}"/>
            </a:ext>
          </a:extLst>
        </xdr:cNvPr>
        <xdr:cNvSpPr/>
      </xdr:nvSpPr>
      <xdr:spPr>
        <a:xfrm>
          <a:off x="5158740" y="29093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160</xdr:row>
      <xdr:rowOff>0</xdr:rowOff>
    </xdr:from>
    <xdr:to>
      <xdr:col>14</xdr:col>
      <xdr:colOff>83820</xdr:colOff>
      <xdr:row>160</xdr:row>
      <xdr:rowOff>106680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8765F376-BF34-4327-8B42-62C7DF066E40}"/>
            </a:ext>
          </a:extLst>
        </xdr:cNvPr>
        <xdr:cNvSpPr/>
      </xdr:nvSpPr>
      <xdr:spPr>
        <a:xfrm rot="10800000">
          <a:off x="5158740" y="294589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161</xdr:row>
      <xdr:rowOff>0</xdr:rowOff>
    </xdr:from>
    <xdr:to>
      <xdr:col>14</xdr:col>
      <xdr:colOff>83820</xdr:colOff>
      <xdr:row>161</xdr:row>
      <xdr:rowOff>114300</xdr:rowOff>
    </xdr:to>
    <xdr:sp macro="" textlink="">
      <xdr:nvSpPr>
        <xdr:cNvPr id="152" name="Arrow: Down 151">
          <a:extLst>
            <a:ext uri="{FF2B5EF4-FFF2-40B4-BE49-F238E27FC236}">
              <a16:creationId xmlns:a16="http://schemas.microsoft.com/office/drawing/2014/main" id="{3B2C3C34-EF05-4131-9B40-03E395ADA4E7}"/>
            </a:ext>
          </a:extLst>
        </xdr:cNvPr>
        <xdr:cNvSpPr/>
      </xdr:nvSpPr>
      <xdr:spPr>
        <a:xfrm>
          <a:off x="5158740" y="2964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6</xdr:row>
      <xdr:rowOff>0</xdr:rowOff>
    </xdr:from>
    <xdr:to>
      <xdr:col>34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34</xdr:col>
      <xdr:colOff>0</xdr:colOff>
      <xdr:row>7</xdr:row>
      <xdr:rowOff>0</xdr:rowOff>
    </xdr:from>
    <xdr:to>
      <xdr:col>34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</xdr:row>
      <xdr:rowOff>0</xdr:rowOff>
    </xdr:from>
    <xdr:to>
      <xdr:col>28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</xdr:row>
      <xdr:rowOff>0</xdr:rowOff>
    </xdr:from>
    <xdr:to>
      <xdr:col>28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</xdr:row>
      <xdr:rowOff>0</xdr:rowOff>
    </xdr:from>
    <xdr:to>
      <xdr:col>28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</xdr:row>
      <xdr:rowOff>0</xdr:rowOff>
    </xdr:from>
    <xdr:to>
      <xdr:col>28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</xdr:row>
      <xdr:rowOff>0</xdr:rowOff>
    </xdr:from>
    <xdr:to>
      <xdr:col>28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</xdr:row>
      <xdr:rowOff>0</xdr:rowOff>
    </xdr:from>
    <xdr:to>
      <xdr:col>28</xdr:col>
      <xdr:colOff>83820</xdr:colOff>
      <xdr:row>13</xdr:row>
      <xdr:rowOff>114300</xdr:rowOff>
    </xdr:to>
    <xdr:sp macro="" textlink="">
      <xdr:nvSpPr>
        <xdr:cNvPr id="23" name="Arrow: Down 22">
          <a:extLst>
            <a:ext uri="{FF2B5EF4-FFF2-40B4-BE49-F238E27FC236}">
              <a16:creationId xmlns:a16="http://schemas.microsoft.com/office/drawing/2014/main" id="{29F8C385-F8CB-4463-BE55-EE19EFB84384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</xdr:row>
      <xdr:rowOff>0</xdr:rowOff>
    </xdr:from>
    <xdr:to>
      <xdr:col>28</xdr:col>
      <xdr:colOff>83820</xdr:colOff>
      <xdr:row>14</xdr:row>
      <xdr:rowOff>114300</xdr:rowOff>
    </xdr:to>
    <xdr:sp macro="" textlink="">
      <xdr:nvSpPr>
        <xdr:cNvPr id="21" name="Arrow: Down 20">
          <a:extLst>
            <a:ext uri="{FF2B5EF4-FFF2-40B4-BE49-F238E27FC236}">
              <a16:creationId xmlns:a16="http://schemas.microsoft.com/office/drawing/2014/main" id="{E3CB6E84-6396-4387-99EB-B81B0A2667F3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</xdr:row>
      <xdr:rowOff>0</xdr:rowOff>
    </xdr:from>
    <xdr:to>
      <xdr:col>28</xdr:col>
      <xdr:colOff>83820</xdr:colOff>
      <xdr:row>15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54FE7436-90E7-466A-A9C5-6523F5A66D51}"/>
            </a:ext>
          </a:extLst>
        </xdr:cNvPr>
        <xdr:cNvSpPr/>
      </xdr:nvSpPr>
      <xdr:spPr>
        <a:xfrm>
          <a:off x="10111740" y="2788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</xdr:row>
      <xdr:rowOff>0</xdr:rowOff>
    </xdr:from>
    <xdr:to>
      <xdr:col>28</xdr:col>
      <xdr:colOff>83820</xdr:colOff>
      <xdr:row>16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87A68717-5342-484C-B24F-E5CAD3DE43A5}"/>
            </a:ext>
          </a:extLst>
        </xdr:cNvPr>
        <xdr:cNvSpPr/>
      </xdr:nvSpPr>
      <xdr:spPr>
        <a:xfrm>
          <a:off x="10111740" y="297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17</xdr:row>
      <xdr:rowOff>0</xdr:rowOff>
    </xdr:from>
    <xdr:to>
      <xdr:col>28</xdr:col>
      <xdr:colOff>83820</xdr:colOff>
      <xdr:row>17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FF10AB23-76FB-4A4D-B3DB-8D0CD75BC378}"/>
            </a:ext>
          </a:extLst>
        </xdr:cNvPr>
        <xdr:cNvSpPr/>
      </xdr:nvSpPr>
      <xdr:spPr>
        <a:xfrm>
          <a:off x="10111740" y="3154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18</xdr:row>
      <xdr:rowOff>0</xdr:rowOff>
    </xdr:from>
    <xdr:to>
      <xdr:col>28</xdr:col>
      <xdr:colOff>83820</xdr:colOff>
      <xdr:row>18</xdr:row>
      <xdr:rowOff>114300</xdr:rowOff>
    </xdr:to>
    <xdr:sp macro="" textlink="">
      <xdr:nvSpPr>
        <xdr:cNvPr id="22" name="Arrow: Down 21">
          <a:extLst>
            <a:ext uri="{FF2B5EF4-FFF2-40B4-BE49-F238E27FC236}">
              <a16:creationId xmlns:a16="http://schemas.microsoft.com/office/drawing/2014/main" id="{777638DC-EA5B-4401-915A-ED454BBEDEC3}"/>
            </a:ext>
          </a:extLst>
        </xdr:cNvPr>
        <xdr:cNvSpPr/>
      </xdr:nvSpPr>
      <xdr:spPr>
        <a:xfrm>
          <a:off x="10111740" y="3345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19</xdr:row>
      <xdr:rowOff>0</xdr:rowOff>
    </xdr:from>
    <xdr:to>
      <xdr:col>28</xdr:col>
      <xdr:colOff>83820</xdr:colOff>
      <xdr:row>19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1E0A250E-6E49-44AF-92B8-34A228617572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20</xdr:row>
      <xdr:rowOff>0</xdr:rowOff>
    </xdr:from>
    <xdr:to>
      <xdr:col>28</xdr:col>
      <xdr:colOff>83820</xdr:colOff>
      <xdr:row>20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4D91081E-327E-419C-BC3C-7C47BE9E64CC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21</xdr:row>
      <xdr:rowOff>0</xdr:rowOff>
    </xdr:from>
    <xdr:to>
      <xdr:col>28</xdr:col>
      <xdr:colOff>83820</xdr:colOff>
      <xdr:row>21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8E5CD8F9-1F98-448C-8E66-831197EE08B7}"/>
            </a:ext>
          </a:extLst>
        </xdr:cNvPr>
        <xdr:cNvSpPr/>
      </xdr:nvSpPr>
      <xdr:spPr>
        <a:xfrm>
          <a:off x="10111740" y="390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83820</xdr:colOff>
      <xdr:row>22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14038397-6260-489F-AC40-7615895AE53D}"/>
            </a:ext>
          </a:extLst>
        </xdr:cNvPr>
        <xdr:cNvSpPr/>
      </xdr:nvSpPr>
      <xdr:spPr>
        <a:xfrm>
          <a:off x="10111740" y="427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23</xdr:row>
      <xdr:rowOff>0</xdr:rowOff>
    </xdr:from>
    <xdr:to>
      <xdr:col>28</xdr:col>
      <xdr:colOff>83820</xdr:colOff>
      <xdr:row>23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6580D11E-99F1-4BA9-896E-0ADC19E8943B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24</xdr:row>
      <xdr:rowOff>0</xdr:rowOff>
    </xdr:from>
    <xdr:to>
      <xdr:col>28</xdr:col>
      <xdr:colOff>83820</xdr:colOff>
      <xdr:row>24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323BEF39-EC82-4B89-85BE-11C77719DD13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25</xdr:row>
      <xdr:rowOff>0</xdr:rowOff>
    </xdr:from>
    <xdr:to>
      <xdr:col>28</xdr:col>
      <xdr:colOff>83820</xdr:colOff>
      <xdr:row>25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77A3E097-F54B-4197-BC1D-AC714843F65E}"/>
            </a:ext>
          </a:extLst>
        </xdr:cNvPr>
        <xdr:cNvSpPr/>
      </xdr:nvSpPr>
      <xdr:spPr>
        <a:xfrm>
          <a:off x="10111740" y="464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83820</xdr:colOff>
      <xdr:row>26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7DDFBDA7-F0C6-4AE5-8779-A2A0D2413B93}"/>
            </a:ext>
          </a:extLst>
        </xdr:cNvPr>
        <xdr:cNvSpPr/>
      </xdr:nvSpPr>
      <xdr:spPr>
        <a:xfrm>
          <a:off x="10111740" y="4823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27</xdr:row>
      <xdr:rowOff>0</xdr:rowOff>
    </xdr:from>
    <xdr:to>
      <xdr:col>28</xdr:col>
      <xdr:colOff>83820</xdr:colOff>
      <xdr:row>27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FE1FAE1E-6BAE-490A-83F5-B755D3345EE3}"/>
            </a:ext>
          </a:extLst>
        </xdr:cNvPr>
        <xdr:cNvSpPr/>
      </xdr:nvSpPr>
      <xdr:spPr>
        <a:xfrm>
          <a:off x="10355580" y="500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83820</xdr:colOff>
      <xdr:row>28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603C9D4C-844E-4E3B-9CB3-F766EF3611D6}"/>
            </a:ext>
          </a:extLst>
        </xdr:cNvPr>
        <xdr:cNvSpPr/>
      </xdr:nvSpPr>
      <xdr:spPr>
        <a:xfrm>
          <a:off x="10355580" y="519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83820</xdr:colOff>
      <xdr:row>29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F14D1C4D-A1BC-44C6-8BC6-C708E6A23B94}"/>
            </a:ext>
          </a:extLst>
        </xdr:cNvPr>
        <xdr:cNvSpPr/>
      </xdr:nvSpPr>
      <xdr:spPr>
        <a:xfrm>
          <a:off x="10355580" y="5394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30</xdr:row>
      <xdr:rowOff>0</xdr:rowOff>
    </xdr:from>
    <xdr:to>
      <xdr:col>28</xdr:col>
      <xdr:colOff>83820</xdr:colOff>
      <xdr:row>30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47B24F3D-8B27-48FF-B432-46660CC335C0}"/>
            </a:ext>
          </a:extLst>
        </xdr:cNvPr>
        <xdr:cNvSpPr/>
      </xdr:nvSpPr>
      <xdr:spPr>
        <a:xfrm rot="10800000">
          <a:off x="10355580" y="5783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31</xdr:row>
      <xdr:rowOff>0</xdr:rowOff>
    </xdr:from>
    <xdr:to>
      <xdr:col>28</xdr:col>
      <xdr:colOff>83820</xdr:colOff>
      <xdr:row>31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CF4B3D71-1749-4D8B-973E-31F4A89FCAC6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32</xdr:row>
      <xdr:rowOff>0</xdr:rowOff>
    </xdr:from>
    <xdr:to>
      <xdr:col>28</xdr:col>
      <xdr:colOff>83820</xdr:colOff>
      <xdr:row>32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FEEC7A05-FAFB-4884-8F5B-CAC7A6BBBBA1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33</xdr:row>
      <xdr:rowOff>0</xdr:rowOff>
    </xdr:from>
    <xdr:to>
      <xdr:col>28</xdr:col>
      <xdr:colOff>83820</xdr:colOff>
      <xdr:row>33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B8B7987E-6543-407E-8004-97397046E6F9}"/>
            </a:ext>
          </a:extLst>
        </xdr:cNvPr>
        <xdr:cNvSpPr/>
      </xdr:nvSpPr>
      <xdr:spPr>
        <a:xfrm>
          <a:off x="10355580" y="61722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34</xdr:row>
      <xdr:rowOff>0</xdr:rowOff>
    </xdr:from>
    <xdr:to>
      <xdr:col>28</xdr:col>
      <xdr:colOff>83820</xdr:colOff>
      <xdr:row>34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B5518BD5-0567-446A-8AA3-A96A5FDD0D72}"/>
            </a:ext>
          </a:extLst>
        </xdr:cNvPr>
        <xdr:cNvSpPr/>
      </xdr:nvSpPr>
      <xdr:spPr>
        <a:xfrm>
          <a:off x="10355580" y="6355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35</xdr:row>
      <xdr:rowOff>0</xdr:rowOff>
    </xdr:from>
    <xdr:to>
      <xdr:col>28</xdr:col>
      <xdr:colOff>83820</xdr:colOff>
      <xdr:row>35</xdr:row>
      <xdr:rowOff>114300</xdr:rowOff>
    </xdr:to>
    <xdr:sp macro="" textlink="">
      <xdr:nvSpPr>
        <xdr:cNvPr id="43" name="Arrow: Down 42">
          <a:extLst>
            <a:ext uri="{FF2B5EF4-FFF2-40B4-BE49-F238E27FC236}">
              <a16:creationId xmlns:a16="http://schemas.microsoft.com/office/drawing/2014/main" id="{B7FC846B-4393-4EA0-BA61-BA45C68E1546}"/>
            </a:ext>
          </a:extLst>
        </xdr:cNvPr>
        <xdr:cNvSpPr/>
      </xdr:nvSpPr>
      <xdr:spPr>
        <a:xfrm>
          <a:off x="10355580" y="653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36</xdr:row>
      <xdr:rowOff>0</xdr:rowOff>
    </xdr:from>
    <xdr:to>
      <xdr:col>28</xdr:col>
      <xdr:colOff>83820</xdr:colOff>
      <xdr:row>36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D6D82D71-1F58-42F1-A0C8-505E07B46646}"/>
            </a:ext>
          </a:extLst>
        </xdr:cNvPr>
        <xdr:cNvSpPr/>
      </xdr:nvSpPr>
      <xdr:spPr>
        <a:xfrm>
          <a:off x="10355580" y="6720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37</xdr:row>
      <xdr:rowOff>0</xdr:rowOff>
    </xdr:from>
    <xdr:to>
      <xdr:col>28</xdr:col>
      <xdr:colOff>83820</xdr:colOff>
      <xdr:row>37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A29313D3-7EC1-4F3B-A24C-6D35D7AAA4FF}"/>
            </a:ext>
          </a:extLst>
        </xdr:cNvPr>
        <xdr:cNvSpPr/>
      </xdr:nvSpPr>
      <xdr:spPr>
        <a:xfrm rot="10800000">
          <a:off x="10668000" y="710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38</xdr:row>
      <xdr:rowOff>0</xdr:rowOff>
    </xdr:from>
    <xdr:to>
      <xdr:col>28</xdr:col>
      <xdr:colOff>83820</xdr:colOff>
      <xdr:row>38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C68760EF-6EB4-424E-8888-38215BECC906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39</xdr:row>
      <xdr:rowOff>0</xdr:rowOff>
    </xdr:from>
    <xdr:to>
      <xdr:col>28</xdr:col>
      <xdr:colOff>83820</xdr:colOff>
      <xdr:row>39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0E31F7B2-0D46-47BD-8186-CF58E3B8CF42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40</xdr:row>
      <xdr:rowOff>0</xdr:rowOff>
    </xdr:from>
    <xdr:to>
      <xdr:col>28</xdr:col>
      <xdr:colOff>83820</xdr:colOff>
      <xdr:row>40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0745A72D-2767-49A8-8BA1-698E6CE5BB78}"/>
            </a:ext>
          </a:extLst>
        </xdr:cNvPr>
        <xdr:cNvSpPr/>
      </xdr:nvSpPr>
      <xdr:spPr>
        <a:xfrm>
          <a:off x="10668000" y="747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41</xdr:row>
      <xdr:rowOff>0</xdr:rowOff>
    </xdr:from>
    <xdr:to>
      <xdr:col>28</xdr:col>
      <xdr:colOff>83820</xdr:colOff>
      <xdr:row>41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28D54AC1-DAC7-4498-961B-05A1931F48AF}"/>
            </a:ext>
          </a:extLst>
        </xdr:cNvPr>
        <xdr:cNvSpPr/>
      </xdr:nvSpPr>
      <xdr:spPr>
        <a:xfrm rot="10800000">
          <a:off x="10668000" y="7856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42</xdr:row>
      <xdr:rowOff>0</xdr:rowOff>
    </xdr:from>
    <xdr:to>
      <xdr:col>28</xdr:col>
      <xdr:colOff>83820</xdr:colOff>
      <xdr:row>42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6121BE24-FB54-40DD-8A63-A4823407A37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43</xdr:row>
      <xdr:rowOff>0</xdr:rowOff>
    </xdr:from>
    <xdr:to>
      <xdr:col>28</xdr:col>
      <xdr:colOff>83820</xdr:colOff>
      <xdr:row>43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32BA1133-B51B-4795-9482-A41737FEDA2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44</xdr:row>
      <xdr:rowOff>0</xdr:rowOff>
    </xdr:from>
    <xdr:to>
      <xdr:col>28</xdr:col>
      <xdr:colOff>83820</xdr:colOff>
      <xdr:row>44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0C78A928-A2BD-4243-BD58-237FA2E0772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45</xdr:row>
      <xdr:rowOff>0</xdr:rowOff>
    </xdr:from>
    <xdr:to>
      <xdr:col>28</xdr:col>
      <xdr:colOff>83820</xdr:colOff>
      <xdr:row>45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D1186F85-EDF9-4A8A-BAB8-ED74D04191E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46</xdr:row>
      <xdr:rowOff>0</xdr:rowOff>
    </xdr:from>
    <xdr:to>
      <xdr:col>28</xdr:col>
      <xdr:colOff>83820</xdr:colOff>
      <xdr:row>46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C679AE4C-85EF-4E36-A360-DD2F13D2229F}"/>
            </a:ext>
          </a:extLst>
        </xdr:cNvPr>
        <xdr:cNvSpPr/>
      </xdr:nvSpPr>
      <xdr:spPr>
        <a:xfrm>
          <a:off x="10668000" y="8595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47</xdr:row>
      <xdr:rowOff>0</xdr:rowOff>
    </xdr:from>
    <xdr:to>
      <xdr:col>28</xdr:col>
      <xdr:colOff>83820</xdr:colOff>
      <xdr:row>47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1AEF285E-0B4B-4CA3-8A3B-7FD0A9AD5788}"/>
            </a:ext>
          </a:extLst>
        </xdr:cNvPr>
        <xdr:cNvSpPr/>
      </xdr:nvSpPr>
      <xdr:spPr>
        <a:xfrm>
          <a:off x="10668000" y="8778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48</xdr:row>
      <xdr:rowOff>0</xdr:rowOff>
    </xdr:from>
    <xdr:to>
      <xdr:col>28</xdr:col>
      <xdr:colOff>83820</xdr:colOff>
      <xdr:row>48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34E1BD0A-ECA8-406E-AAC7-6CF9B092A02F}"/>
            </a:ext>
          </a:extLst>
        </xdr:cNvPr>
        <xdr:cNvSpPr/>
      </xdr:nvSpPr>
      <xdr:spPr>
        <a:xfrm rot="10800000">
          <a:off x="10668000" y="9144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49</xdr:row>
      <xdr:rowOff>0</xdr:rowOff>
    </xdr:from>
    <xdr:to>
      <xdr:col>28</xdr:col>
      <xdr:colOff>83820</xdr:colOff>
      <xdr:row>49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4CC6B6DA-D731-41BD-B2B9-B29A8A6DC3E6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50</xdr:row>
      <xdr:rowOff>0</xdr:rowOff>
    </xdr:from>
    <xdr:to>
      <xdr:col>28</xdr:col>
      <xdr:colOff>83820</xdr:colOff>
      <xdr:row>50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ED457425-10C3-4575-8068-7BE3B3B2CE9C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51</xdr:row>
      <xdr:rowOff>0</xdr:rowOff>
    </xdr:from>
    <xdr:to>
      <xdr:col>28</xdr:col>
      <xdr:colOff>83820</xdr:colOff>
      <xdr:row>51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12DE48BE-8EF0-4B68-8D05-FF1AB56472F1}"/>
            </a:ext>
          </a:extLst>
        </xdr:cNvPr>
        <xdr:cNvSpPr/>
      </xdr:nvSpPr>
      <xdr:spPr>
        <a:xfrm>
          <a:off x="10668000" y="951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52</xdr:row>
      <xdr:rowOff>0</xdr:rowOff>
    </xdr:from>
    <xdr:to>
      <xdr:col>28</xdr:col>
      <xdr:colOff>83820</xdr:colOff>
      <xdr:row>52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C1A55307-F3E5-4C84-90BF-7057AEB5ED67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53</xdr:row>
      <xdr:rowOff>0</xdr:rowOff>
    </xdr:from>
    <xdr:to>
      <xdr:col>28</xdr:col>
      <xdr:colOff>83820</xdr:colOff>
      <xdr:row>53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DFD4C6C7-08E4-437F-9738-FECB9DC9C93D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12</xdr:col>
      <xdr:colOff>45720</xdr:colOff>
      <xdr:row>27</xdr:row>
      <xdr:rowOff>30480</xdr:rowOff>
    </xdr:from>
    <xdr:to>
      <xdr:col>12</xdr:col>
      <xdr:colOff>160020</xdr:colOff>
      <xdr:row>27</xdr:row>
      <xdr:rowOff>175260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CCF61E6-6E39-4151-9FD1-60DE711A4915}"/>
            </a:ext>
          </a:extLst>
        </xdr:cNvPr>
        <xdr:cNvSpPr/>
      </xdr:nvSpPr>
      <xdr:spPr>
        <a:xfrm rot="10800000">
          <a:off x="5059680" y="5227320"/>
          <a:ext cx="114300" cy="14478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54</xdr:row>
      <xdr:rowOff>0</xdr:rowOff>
    </xdr:from>
    <xdr:to>
      <xdr:col>28</xdr:col>
      <xdr:colOff>83820</xdr:colOff>
      <xdr:row>54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88D9FED3-A2E1-4AE8-8F51-C1E9ECAC16EC}"/>
            </a:ext>
          </a:extLst>
        </xdr:cNvPr>
        <xdr:cNvSpPr/>
      </xdr:nvSpPr>
      <xdr:spPr>
        <a:xfrm rot="10800000">
          <a:off x="10668000" y="1010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55</xdr:row>
      <xdr:rowOff>0</xdr:rowOff>
    </xdr:from>
    <xdr:to>
      <xdr:col>28</xdr:col>
      <xdr:colOff>83820</xdr:colOff>
      <xdr:row>55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BB7805AE-09FA-4962-B3D3-A061B54992DB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56</xdr:row>
      <xdr:rowOff>0</xdr:rowOff>
    </xdr:from>
    <xdr:to>
      <xdr:col>28</xdr:col>
      <xdr:colOff>83820</xdr:colOff>
      <xdr:row>56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42123A6A-D946-4FA2-B400-D11B45B0A3FC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33</xdr:col>
      <xdr:colOff>441960</xdr:colOff>
      <xdr:row>28</xdr:row>
      <xdr:rowOff>38100</xdr:rowOff>
    </xdr:from>
    <xdr:to>
      <xdr:col>33</xdr:col>
      <xdr:colOff>548640</xdr:colOff>
      <xdr:row>28</xdr:row>
      <xdr:rowOff>167640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6D469EA8-3AD2-414F-8C94-D6731866E791}"/>
            </a:ext>
          </a:extLst>
        </xdr:cNvPr>
        <xdr:cNvSpPr/>
      </xdr:nvSpPr>
      <xdr:spPr>
        <a:xfrm>
          <a:off x="14371320" y="5433060"/>
          <a:ext cx="106680" cy="12954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59</xdr:row>
      <xdr:rowOff>0</xdr:rowOff>
    </xdr:from>
    <xdr:to>
      <xdr:col>28</xdr:col>
      <xdr:colOff>83820</xdr:colOff>
      <xdr:row>59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EE6CEAD4-3CF5-44E1-A1E1-220BB8DEE570}"/>
            </a:ext>
          </a:extLst>
        </xdr:cNvPr>
        <xdr:cNvSpPr/>
      </xdr:nvSpPr>
      <xdr:spPr>
        <a:xfrm rot="10800000">
          <a:off x="10668000" y="11041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60</xdr:row>
      <xdr:rowOff>0</xdr:rowOff>
    </xdr:from>
    <xdr:to>
      <xdr:col>28</xdr:col>
      <xdr:colOff>83820</xdr:colOff>
      <xdr:row>60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3DEC3632-B8C4-4AA6-889F-FC72C03AE990}"/>
            </a:ext>
          </a:extLst>
        </xdr:cNvPr>
        <xdr:cNvSpPr/>
      </xdr:nvSpPr>
      <xdr:spPr>
        <a:xfrm rot="10800000">
          <a:off x="11430000" y="11231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61</xdr:row>
      <xdr:rowOff>0</xdr:rowOff>
    </xdr:from>
    <xdr:to>
      <xdr:col>28</xdr:col>
      <xdr:colOff>83820</xdr:colOff>
      <xdr:row>61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73AC904E-9F94-462A-9213-DBF3142E1451}"/>
            </a:ext>
          </a:extLst>
        </xdr:cNvPr>
        <xdr:cNvSpPr/>
      </xdr:nvSpPr>
      <xdr:spPr>
        <a:xfrm rot="10800000">
          <a:off x="11430000" y="11422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58</xdr:row>
      <xdr:rowOff>0</xdr:rowOff>
    </xdr:from>
    <xdr:to>
      <xdr:col>28</xdr:col>
      <xdr:colOff>83820</xdr:colOff>
      <xdr:row>58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621C4801-37C3-4469-AE6F-D244BA01948F}"/>
            </a:ext>
          </a:extLst>
        </xdr:cNvPr>
        <xdr:cNvSpPr/>
      </xdr:nvSpPr>
      <xdr:spPr>
        <a:xfrm>
          <a:off x="11430000" y="1104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57</xdr:row>
      <xdr:rowOff>0</xdr:rowOff>
    </xdr:from>
    <xdr:to>
      <xdr:col>28</xdr:col>
      <xdr:colOff>83820</xdr:colOff>
      <xdr:row>57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21A7A62A-4797-4DBD-A74B-B420436CB953}"/>
            </a:ext>
          </a:extLst>
        </xdr:cNvPr>
        <xdr:cNvSpPr/>
      </xdr:nvSpPr>
      <xdr:spPr>
        <a:xfrm rot="10800000">
          <a:off x="11430000" y="10858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62</xdr:row>
      <xdr:rowOff>0</xdr:rowOff>
    </xdr:from>
    <xdr:to>
      <xdr:col>28</xdr:col>
      <xdr:colOff>83820</xdr:colOff>
      <xdr:row>62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1A7D7757-A742-4CC5-B742-17E122A59EFD}"/>
            </a:ext>
          </a:extLst>
        </xdr:cNvPr>
        <xdr:cNvSpPr/>
      </xdr:nvSpPr>
      <xdr:spPr>
        <a:xfrm rot="10800000">
          <a:off x="11430000" y="11612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63</xdr:row>
      <xdr:rowOff>0</xdr:rowOff>
    </xdr:from>
    <xdr:to>
      <xdr:col>28</xdr:col>
      <xdr:colOff>83820</xdr:colOff>
      <xdr:row>63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079E28-6E66-44FA-969C-D7874955C1C5}"/>
            </a:ext>
          </a:extLst>
        </xdr:cNvPr>
        <xdr:cNvSpPr/>
      </xdr:nvSpPr>
      <xdr:spPr>
        <a:xfrm rot="10800000">
          <a:off x="11430000" y="11811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64</xdr:row>
      <xdr:rowOff>0</xdr:rowOff>
    </xdr:from>
    <xdr:to>
      <xdr:col>28</xdr:col>
      <xdr:colOff>83820</xdr:colOff>
      <xdr:row>64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1CFEE201-9B04-4FB8-B73E-A6B5CD310C17}"/>
            </a:ext>
          </a:extLst>
        </xdr:cNvPr>
        <xdr:cNvSpPr/>
      </xdr:nvSpPr>
      <xdr:spPr>
        <a:xfrm rot="10800000">
          <a:off x="11430000" y="12001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65</xdr:row>
      <xdr:rowOff>0</xdr:rowOff>
    </xdr:from>
    <xdr:to>
      <xdr:col>28</xdr:col>
      <xdr:colOff>83820</xdr:colOff>
      <xdr:row>65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2E46D07B-F4DD-4D26-B1D3-C50BBC57E745}"/>
            </a:ext>
          </a:extLst>
        </xdr:cNvPr>
        <xdr:cNvSpPr/>
      </xdr:nvSpPr>
      <xdr:spPr>
        <a:xfrm rot="10800000">
          <a:off x="11430000" y="12192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66</xdr:row>
      <xdr:rowOff>0</xdr:rowOff>
    </xdr:from>
    <xdr:to>
      <xdr:col>28</xdr:col>
      <xdr:colOff>83820</xdr:colOff>
      <xdr:row>66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96986A11-CFE9-4A58-972B-1B3BD33E178C}"/>
            </a:ext>
          </a:extLst>
        </xdr:cNvPr>
        <xdr:cNvSpPr/>
      </xdr:nvSpPr>
      <xdr:spPr>
        <a:xfrm rot="10800000">
          <a:off x="11430000" y="12374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67</xdr:row>
      <xdr:rowOff>0</xdr:rowOff>
    </xdr:from>
    <xdr:to>
      <xdr:col>28</xdr:col>
      <xdr:colOff>83820</xdr:colOff>
      <xdr:row>67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9A184AE2-8A40-494B-A9AC-D3CD46BBEF7C}"/>
            </a:ext>
          </a:extLst>
        </xdr:cNvPr>
        <xdr:cNvSpPr/>
      </xdr:nvSpPr>
      <xdr:spPr>
        <a:xfrm rot="10800000">
          <a:off x="11430000" y="12557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68</xdr:row>
      <xdr:rowOff>0</xdr:rowOff>
    </xdr:from>
    <xdr:to>
      <xdr:col>28</xdr:col>
      <xdr:colOff>83820</xdr:colOff>
      <xdr:row>68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04F35C61-85CA-4830-9698-7360ADB2B517}"/>
            </a:ext>
          </a:extLst>
        </xdr:cNvPr>
        <xdr:cNvSpPr/>
      </xdr:nvSpPr>
      <xdr:spPr>
        <a:xfrm rot="10800000">
          <a:off x="11430000" y="12740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69</xdr:row>
      <xdr:rowOff>0</xdr:rowOff>
    </xdr:from>
    <xdr:to>
      <xdr:col>28</xdr:col>
      <xdr:colOff>83820</xdr:colOff>
      <xdr:row>69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2DF279E2-6664-4F6C-91C9-94AC05593C1D}"/>
            </a:ext>
          </a:extLst>
        </xdr:cNvPr>
        <xdr:cNvSpPr/>
      </xdr:nvSpPr>
      <xdr:spPr>
        <a:xfrm rot="10800000">
          <a:off x="11430000" y="1293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70</xdr:row>
      <xdr:rowOff>0</xdr:rowOff>
    </xdr:from>
    <xdr:to>
      <xdr:col>28</xdr:col>
      <xdr:colOff>83820</xdr:colOff>
      <xdr:row>70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39282826-DC55-4589-9D00-E93B4D8A6857}"/>
            </a:ext>
          </a:extLst>
        </xdr:cNvPr>
        <xdr:cNvSpPr/>
      </xdr:nvSpPr>
      <xdr:spPr>
        <a:xfrm rot="10800000">
          <a:off x="11430000" y="1311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71</xdr:row>
      <xdr:rowOff>0</xdr:rowOff>
    </xdr:from>
    <xdr:to>
      <xdr:col>28</xdr:col>
      <xdr:colOff>83820</xdr:colOff>
      <xdr:row>71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0CDBB2C4-0FE4-4127-9C0F-836B7CBAC3CA}"/>
            </a:ext>
          </a:extLst>
        </xdr:cNvPr>
        <xdr:cNvSpPr/>
      </xdr:nvSpPr>
      <xdr:spPr>
        <a:xfrm rot="10800000">
          <a:off x="11430000" y="1329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72</xdr:row>
      <xdr:rowOff>0</xdr:rowOff>
    </xdr:from>
    <xdr:to>
      <xdr:col>28</xdr:col>
      <xdr:colOff>83820</xdr:colOff>
      <xdr:row>72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174D2146-EC83-47B0-A60B-AB23B97F5CA5}"/>
            </a:ext>
          </a:extLst>
        </xdr:cNvPr>
        <xdr:cNvSpPr/>
      </xdr:nvSpPr>
      <xdr:spPr>
        <a:xfrm rot="10800000">
          <a:off x="11430000" y="13487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73</xdr:row>
      <xdr:rowOff>0</xdr:rowOff>
    </xdr:from>
    <xdr:to>
      <xdr:col>28</xdr:col>
      <xdr:colOff>83820</xdr:colOff>
      <xdr:row>73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FD41DD27-E053-4EBA-9E8F-D056CE8E4A81}"/>
            </a:ext>
          </a:extLst>
        </xdr:cNvPr>
        <xdr:cNvSpPr/>
      </xdr:nvSpPr>
      <xdr:spPr>
        <a:xfrm rot="10800000">
          <a:off x="11430000" y="13677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74</xdr:row>
      <xdr:rowOff>0</xdr:rowOff>
    </xdr:from>
    <xdr:to>
      <xdr:col>28</xdr:col>
      <xdr:colOff>83820</xdr:colOff>
      <xdr:row>74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743AF66E-3087-4C2E-9F9A-4655BF6A5963}"/>
            </a:ext>
          </a:extLst>
        </xdr:cNvPr>
        <xdr:cNvSpPr/>
      </xdr:nvSpPr>
      <xdr:spPr>
        <a:xfrm rot="10800000">
          <a:off x="11430000" y="1386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75</xdr:row>
      <xdr:rowOff>0</xdr:rowOff>
    </xdr:from>
    <xdr:to>
      <xdr:col>28</xdr:col>
      <xdr:colOff>83820</xdr:colOff>
      <xdr:row>75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14EE3FE2-D562-4FED-A2D9-F17D5B5FA654}"/>
            </a:ext>
          </a:extLst>
        </xdr:cNvPr>
        <xdr:cNvSpPr/>
      </xdr:nvSpPr>
      <xdr:spPr>
        <a:xfrm rot="10800000">
          <a:off x="11430000" y="1405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76</xdr:row>
      <xdr:rowOff>0</xdr:rowOff>
    </xdr:from>
    <xdr:to>
      <xdr:col>28</xdr:col>
      <xdr:colOff>83820</xdr:colOff>
      <xdr:row>76</xdr:row>
      <xdr:rowOff>114300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4D1EBFC9-F0E7-457F-AA63-6DAFEA11683F}"/>
            </a:ext>
          </a:extLst>
        </xdr:cNvPr>
        <xdr:cNvSpPr/>
      </xdr:nvSpPr>
      <xdr:spPr>
        <a:xfrm rot="10800000">
          <a:off x="11430000" y="1423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77</xdr:row>
      <xdr:rowOff>0</xdr:rowOff>
    </xdr:from>
    <xdr:to>
      <xdr:col>28</xdr:col>
      <xdr:colOff>83820</xdr:colOff>
      <xdr:row>77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F1B56A0D-E5C3-47FB-9CA0-5659AF8C6B83}"/>
            </a:ext>
          </a:extLst>
        </xdr:cNvPr>
        <xdr:cNvSpPr/>
      </xdr:nvSpPr>
      <xdr:spPr>
        <a:xfrm rot="10800000">
          <a:off x="11430000" y="1441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78</xdr:row>
      <xdr:rowOff>0</xdr:rowOff>
    </xdr:from>
    <xdr:to>
      <xdr:col>28</xdr:col>
      <xdr:colOff>83820</xdr:colOff>
      <xdr:row>78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3FD6C278-EB4E-4685-883E-82DF66A75EA4}"/>
            </a:ext>
          </a:extLst>
        </xdr:cNvPr>
        <xdr:cNvSpPr/>
      </xdr:nvSpPr>
      <xdr:spPr>
        <a:xfrm rot="10800000">
          <a:off x="11430000" y="1459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79</xdr:row>
      <xdr:rowOff>0</xdr:rowOff>
    </xdr:from>
    <xdr:to>
      <xdr:col>28</xdr:col>
      <xdr:colOff>83820</xdr:colOff>
      <xdr:row>79</xdr:row>
      <xdr:rowOff>114300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6943DD06-8287-44FF-802B-B4819DA278E0}"/>
            </a:ext>
          </a:extLst>
        </xdr:cNvPr>
        <xdr:cNvSpPr/>
      </xdr:nvSpPr>
      <xdr:spPr>
        <a:xfrm rot="10800000">
          <a:off x="11612880" y="1478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80</xdr:row>
      <xdr:rowOff>0</xdr:rowOff>
    </xdr:from>
    <xdr:to>
      <xdr:col>28</xdr:col>
      <xdr:colOff>83820</xdr:colOff>
      <xdr:row>80</xdr:row>
      <xdr:rowOff>114300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33253388-9ADF-49C6-8437-FE7758963339}"/>
            </a:ext>
          </a:extLst>
        </xdr:cNvPr>
        <xdr:cNvSpPr/>
      </xdr:nvSpPr>
      <xdr:spPr>
        <a:xfrm rot="10800000">
          <a:off x="11612880" y="1496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81</xdr:row>
      <xdr:rowOff>0</xdr:rowOff>
    </xdr:from>
    <xdr:to>
      <xdr:col>28</xdr:col>
      <xdr:colOff>83820</xdr:colOff>
      <xdr:row>81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FE111041-65D6-49E3-BB5F-C5EC9246C73C}"/>
            </a:ext>
          </a:extLst>
        </xdr:cNvPr>
        <xdr:cNvSpPr/>
      </xdr:nvSpPr>
      <xdr:spPr>
        <a:xfrm rot="10800000">
          <a:off x="11612880" y="1514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82</xdr:row>
      <xdr:rowOff>0</xdr:rowOff>
    </xdr:from>
    <xdr:to>
      <xdr:col>28</xdr:col>
      <xdr:colOff>83820</xdr:colOff>
      <xdr:row>82</xdr:row>
      <xdr:rowOff>114300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07C901A3-A957-4AB9-AF7D-E83C4A262861}"/>
            </a:ext>
          </a:extLst>
        </xdr:cNvPr>
        <xdr:cNvSpPr/>
      </xdr:nvSpPr>
      <xdr:spPr>
        <a:xfrm rot="10800000">
          <a:off x="11612880" y="1533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83</xdr:row>
      <xdr:rowOff>0</xdr:rowOff>
    </xdr:from>
    <xdr:to>
      <xdr:col>28</xdr:col>
      <xdr:colOff>83820</xdr:colOff>
      <xdr:row>83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C29D740F-96A2-4B7F-9864-186F40C24CAD}"/>
            </a:ext>
          </a:extLst>
        </xdr:cNvPr>
        <xdr:cNvSpPr/>
      </xdr:nvSpPr>
      <xdr:spPr>
        <a:xfrm rot="10800000">
          <a:off x="11612880" y="15537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84</xdr:row>
      <xdr:rowOff>0</xdr:rowOff>
    </xdr:from>
    <xdr:to>
      <xdr:col>28</xdr:col>
      <xdr:colOff>83820</xdr:colOff>
      <xdr:row>84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A59AB5D6-B694-49B7-A53D-3E333701720A}"/>
            </a:ext>
          </a:extLst>
        </xdr:cNvPr>
        <xdr:cNvSpPr/>
      </xdr:nvSpPr>
      <xdr:spPr>
        <a:xfrm rot="10800000">
          <a:off x="11612880" y="1573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85</xdr:row>
      <xdr:rowOff>0</xdr:rowOff>
    </xdr:from>
    <xdr:to>
      <xdr:col>28</xdr:col>
      <xdr:colOff>83820</xdr:colOff>
      <xdr:row>85</xdr:row>
      <xdr:rowOff>114300</xdr:rowOff>
    </xdr:to>
    <xdr:sp macro="" textlink="">
      <xdr:nvSpPr>
        <xdr:cNvPr id="98" name="Arrow: Down 97">
          <a:extLst>
            <a:ext uri="{FF2B5EF4-FFF2-40B4-BE49-F238E27FC236}">
              <a16:creationId xmlns:a16="http://schemas.microsoft.com/office/drawing/2014/main" id="{3247D568-6607-4EB0-90B0-426766102067}"/>
            </a:ext>
          </a:extLst>
        </xdr:cNvPr>
        <xdr:cNvSpPr/>
      </xdr:nvSpPr>
      <xdr:spPr>
        <a:xfrm rot="10800000">
          <a:off x="11612880" y="15918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86</xdr:row>
      <xdr:rowOff>0</xdr:rowOff>
    </xdr:from>
    <xdr:to>
      <xdr:col>28</xdr:col>
      <xdr:colOff>83820</xdr:colOff>
      <xdr:row>86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640D2FC6-A766-4A4E-A7EF-DEE4CF19647D}"/>
            </a:ext>
          </a:extLst>
        </xdr:cNvPr>
        <xdr:cNvSpPr/>
      </xdr:nvSpPr>
      <xdr:spPr>
        <a:xfrm>
          <a:off x="11612880" y="1628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87</xdr:row>
      <xdr:rowOff>0</xdr:rowOff>
    </xdr:from>
    <xdr:to>
      <xdr:col>28</xdr:col>
      <xdr:colOff>83820</xdr:colOff>
      <xdr:row>87</xdr:row>
      <xdr:rowOff>114300</xdr:rowOff>
    </xdr:to>
    <xdr:sp macro="" textlink="">
      <xdr:nvSpPr>
        <xdr:cNvPr id="96" name="Arrow: Down 95">
          <a:extLst>
            <a:ext uri="{FF2B5EF4-FFF2-40B4-BE49-F238E27FC236}">
              <a16:creationId xmlns:a16="http://schemas.microsoft.com/office/drawing/2014/main" id="{BA0A0827-6DE6-4E3E-B382-3045EFFABB32}"/>
            </a:ext>
          </a:extLst>
        </xdr:cNvPr>
        <xdr:cNvSpPr/>
      </xdr:nvSpPr>
      <xdr:spPr>
        <a:xfrm>
          <a:off x="11612880" y="1628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88</xdr:row>
      <xdr:rowOff>0</xdr:rowOff>
    </xdr:from>
    <xdr:to>
      <xdr:col>28</xdr:col>
      <xdr:colOff>83820</xdr:colOff>
      <xdr:row>88</xdr:row>
      <xdr:rowOff>114300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544421F5-0F30-43A3-8B82-7AF3B0567B48}"/>
            </a:ext>
          </a:extLst>
        </xdr:cNvPr>
        <xdr:cNvSpPr/>
      </xdr:nvSpPr>
      <xdr:spPr>
        <a:xfrm rot="10800000">
          <a:off x="11612880" y="1664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89</xdr:row>
      <xdr:rowOff>0</xdr:rowOff>
    </xdr:from>
    <xdr:to>
      <xdr:col>28</xdr:col>
      <xdr:colOff>83820</xdr:colOff>
      <xdr:row>89</xdr:row>
      <xdr:rowOff>114300</xdr:rowOff>
    </xdr:to>
    <xdr:sp macro="" textlink="">
      <xdr:nvSpPr>
        <xdr:cNvPr id="99" name="Arrow: Down 98">
          <a:extLst>
            <a:ext uri="{FF2B5EF4-FFF2-40B4-BE49-F238E27FC236}">
              <a16:creationId xmlns:a16="http://schemas.microsoft.com/office/drawing/2014/main" id="{12CEA806-8C89-4DB7-8EC7-E4924D43B6FB}"/>
            </a:ext>
          </a:extLst>
        </xdr:cNvPr>
        <xdr:cNvSpPr/>
      </xdr:nvSpPr>
      <xdr:spPr>
        <a:xfrm rot="10800000">
          <a:off x="11612880" y="1664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90</xdr:row>
      <xdr:rowOff>0</xdr:rowOff>
    </xdr:from>
    <xdr:to>
      <xdr:col>28</xdr:col>
      <xdr:colOff>83820</xdr:colOff>
      <xdr:row>90</xdr:row>
      <xdr:rowOff>114300</xdr:rowOff>
    </xdr:to>
    <xdr:sp macro="" textlink="">
      <xdr:nvSpPr>
        <xdr:cNvPr id="100" name="Arrow: Down 99">
          <a:extLst>
            <a:ext uri="{FF2B5EF4-FFF2-40B4-BE49-F238E27FC236}">
              <a16:creationId xmlns:a16="http://schemas.microsoft.com/office/drawing/2014/main" id="{AF40614E-6EFC-4C96-96E4-31D8502791C9}"/>
            </a:ext>
          </a:extLst>
        </xdr:cNvPr>
        <xdr:cNvSpPr/>
      </xdr:nvSpPr>
      <xdr:spPr>
        <a:xfrm rot="10800000">
          <a:off x="11612880" y="16832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91</xdr:row>
      <xdr:rowOff>0</xdr:rowOff>
    </xdr:from>
    <xdr:to>
      <xdr:col>28</xdr:col>
      <xdr:colOff>83820</xdr:colOff>
      <xdr:row>91</xdr:row>
      <xdr:rowOff>114300</xdr:rowOff>
    </xdr:to>
    <xdr:sp macro="" textlink="">
      <xdr:nvSpPr>
        <xdr:cNvPr id="104" name="Arrow: Down 103">
          <a:extLst>
            <a:ext uri="{FF2B5EF4-FFF2-40B4-BE49-F238E27FC236}">
              <a16:creationId xmlns:a16="http://schemas.microsoft.com/office/drawing/2014/main" id="{D331026C-DF8F-4967-ADC1-FF548A66FCF6}"/>
            </a:ext>
          </a:extLst>
        </xdr:cNvPr>
        <xdr:cNvSpPr/>
      </xdr:nvSpPr>
      <xdr:spPr>
        <a:xfrm rot="10800000">
          <a:off x="11612880" y="1701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92</xdr:row>
      <xdr:rowOff>0</xdr:rowOff>
    </xdr:from>
    <xdr:to>
      <xdr:col>28</xdr:col>
      <xdr:colOff>83820</xdr:colOff>
      <xdr:row>92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7B966DE7-D619-4358-89D3-F17782EEB327}"/>
            </a:ext>
          </a:extLst>
        </xdr:cNvPr>
        <xdr:cNvSpPr/>
      </xdr:nvSpPr>
      <xdr:spPr>
        <a:xfrm>
          <a:off x="11612880" y="17388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93</xdr:row>
      <xdr:rowOff>0</xdr:rowOff>
    </xdr:from>
    <xdr:to>
      <xdr:col>28</xdr:col>
      <xdr:colOff>83820</xdr:colOff>
      <xdr:row>93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47EECA7C-C20F-4BA7-83BE-633A52919536}"/>
            </a:ext>
          </a:extLst>
        </xdr:cNvPr>
        <xdr:cNvSpPr/>
      </xdr:nvSpPr>
      <xdr:spPr>
        <a:xfrm>
          <a:off x="11612880" y="1738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94</xdr:row>
      <xdr:rowOff>0</xdr:rowOff>
    </xdr:from>
    <xdr:to>
      <xdr:col>28</xdr:col>
      <xdr:colOff>83820</xdr:colOff>
      <xdr:row>94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EF07D103-A5A8-4642-ABD3-CC78B307FA0A}"/>
            </a:ext>
          </a:extLst>
        </xdr:cNvPr>
        <xdr:cNvSpPr/>
      </xdr:nvSpPr>
      <xdr:spPr>
        <a:xfrm>
          <a:off x="11612880" y="1774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95</xdr:row>
      <xdr:rowOff>0</xdr:rowOff>
    </xdr:from>
    <xdr:to>
      <xdr:col>28</xdr:col>
      <xdr:colOff>83820</xdr:colOff>
      <xdr:row>95</xdr:row>
      <xdr:rowOff>114300</xdr:rowOff>
    </xdr:to>
    <xdr:sp macro="" textlink="">
      <xdr:nvSpPr>
        <xdr:cNvPr id="106" name="Arrow: Down 105">
          <a:extLst>
            <a:ext uri="{FF2B5EF4-FFF2-40B4-BE49-F238E27FC236}">
              <a16:creationId xmlns:a16="http://schemas.microsoft.com/office/drawing/2014/main" id="{252B8931-8A02-4BD8-8FEA-9A7E8039C915}"/>
            </a:ext>
          </a:extLst>
        </xdr:cNvPr>
        <xdr:cNvSpPr/>
      </xdr:nvSpPr>
      <xdr:spPr>
        <a:xfrm rot="10800000">
          <a:off x="11612880" y="1792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96</xdr:row>
      <xdr:rowOff>0</xdr:rowOff>
    </xdr:from>
    <xdr:to>
      <xdr:col>28</xdr:col>
      <xdr:colOff>83820</xdr:colOff>
      <xdr:row>96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80843F92-C6E3-4872-85D6-01F129A8B45F}"/>
            </a:ext>
          </a:extLst>
        </xdr:cNvPr>
        <xdr:cNvSpPr/>
      </xdr:nvSpPr>
      <xdr:spPr>
        <a:xfrm rot="10800000">
          <a:off x="11612880" y="1792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97</xdr:row>
      <xdr:rowOff>0</xdr:rowOff>
    </xdr:from>
    <xdr:to>
      <xdr:col>28</xdr:col>
      <xdr:colOff>83820</xdr:colOff>
      <xdr:row>97</xdr:row>
      <xdr:rowOff>114300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B203A764-4AC8-43FE-86C3-0BBCD1F3CB79}"/>
            </a:ext>
          </a:extLst>
        </xdr:cNvPr>
        <xdr:cNvSpPr/>
      </xdr:nvSpPr>
      <xdr:spPr>
        <a:xfrm rot="10800000">
          <a:off x="11612880" y="1811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98</xdr:row>
      <xdr:rowOff>0</xdr:rowOff>
    </xdr:from>
    <xdr:to>
      <xdr:col>28</xdr:col>
      <xdr:colOff>83820</xdr:colOff>
      <xdr:row>98</xdr:row>
      <xdr:rowOff>114300</xdr:rowOff>
    </xdr:to>
    <xdr:sp macro="" textlink="">
      <xdr:nvSpPr>
        <xdr:cNvPr id="112" name="Arrow: Down 111">
          <a:extLst>
            <a:ext uri="{FF2B5EF4-FFF2-40B4-BE49-F238E27FC236}">
              <a16:creationId xmlns:a16="http://schemas.microsoft.com/office/drawing/2014/main" id="{305A3BE3-82E9-4896-AA2B-F7059E12D317}"/>
            </a:ext>
          </a:extLst>
        </xdr:cNvPr>
        <xdr:cNvSpPr/>
      </xdr:nvSpPr>
      <xdr:spPr>
        <a:xfrm>
          <a:off x="11612880" y="1847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99</xdr:row>
      <xdr:rowOff>0</xdr:rowOff>
    </xdr:from>
    <xdr:to>
      <xdr:col>28</xdr:col>
      <xdr:colOff>83820</xdr:colOff>
      <xdr:row>99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28B87D41-8C52-45E0-86DD-48F54F219C77}"/>
            </a:ext>
          </a:extLst>
        </xdr:cNvPr>
        <xdr:cNvSpPr/>
      </xdr:nvSpPr>
      <xdr:spPr>
        <a:xfrm>
          <a:off x="11612880" y="1847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100</xdr:row>
      <xdr:rowOff>0</xdr:rowOff>
    </xdr:from>
    <xdr:to>
      <xdr:col>28</xdr:col>
      <xdr:colOff>83820</xdr:colOff>
      <xdr:row>100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E2BDB706-C169-40FC-92C9-D94EC45B51F9}"/>
            </a:ext>
          </a:extLst>
        </xdr:cNvPr>
        <xdr:cNvSpPr/>
      </xdr:nvSpPr>
      <xdr:spPr>
        <a:xfrm>
          <a:off x="11612880" y="1866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101</xdr:row>
      <xdr:rowOff>0</xdr:rowOff>
    </xdr:from>
    <xdr:to>
      <xdr:col>28</xdr:col>
      <xdr:colOff>83820</xdr:colOff>
      <xdr:row>101</xdr:row>
      <xdr:rowOff>114300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B5D23E5D-058C-46AF-935D-A9B47370B6F8}"/>
            </a:ext>
          </a:extLst>
        </xdr:cNvPr>
        <xdr:cNvSpPr/>
      </xdr:nvSpPr>
      <xdr:spPr>
        <a:xfrm>
          <a:off x="11612880" y="18844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102</xdr:row>
      <xdr:rowOff>0</xdr:rowOff>
    </xdr:from>
    <xdr:to>
      <xdr:col>28</xdr:col>
      <xdr:colOff>83820</xdr:colOff>
      <xdr:row>102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64E031A-D09E-449F-A73D-B0B234C5757E}"/>
            </a:ext>
          </a:extLst>
        </xdr:cNvPr>
        <xdr:cNvSpPr/>
      </xdr:nvSpPr>
      <xdr:spPr>
        <a:xfrm>
          <a:off x="11803380" y="19027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103</xdr:row>
      <xdr:rowOff>0</xdr:rowOff>
    </xdr:from>
    <xdr:to>
      <xdr:col>28</xdr:col>
      <xdr:colOff>83820</xdr:colOff>
      <xdr:row>103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C418EDFA-18FA-49C5-B326-3ED9858D7B8E}"/>
            </a:ext>
          </a:extLst>
        </xdr:cNvPr>
        <xdr:cNvSpPr/>
      </xdr:nvSpPr>
      <xdr:spPr>
        <a:xfrm>
          <a:off x="11803380" y="1921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104</xdr:row>
      <xdr:rowOff>0</xdr:rowOff>
    </xdr:from>
    <xdr:to>
      <xdr:col>28</xdr:col>
      <xdr:colOff>83820</xdr:colOff>
      <xdr:row>104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04F05858-D19D-4933-BC4B-8323FAF2A278}"/>
            </a:ext>
          </a:extLst>
        </xdr:cNvPr>
        <xdr:cNvSpPr/>
      </xdr:nvSpPr>
      <xdr:spPr>
        <a:xfrm>
          <a:off x="11803380" y="1939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105</xdr:row>
      <xdr:rowOff>0</xdr:rowOff>
    </xdr:from>
    <xdr:to>
      <xdr:col>28</xdr:col>
      <xdr:colOff>83820</xdr:colOff>
      <xdr:row>105</xdr:row>
      <xdr:rowOff>114300</xdr:rowOff>
    </xdr:to>
    <xdr:sp macro="" textlink="">
      <xdr:nvSpPr>
        <xdr:cNvPr id="111" name="Arrow: Down 110">
          <a:extLst>
            <a:ext uri="{FF2B5EF4-FFF2-40B4-BE49-F238E27FC236}">
              <a16:creationId xmlns:a16="http://schemas.microsoft.com/office/drawing/2014/main" id="{9B117132-D902-434D-AD6A-8CA56B4EEF36}"/>
            </a:ext>
          </a:extLst>
        </xdr:cNvPr>
        <xdr:cNvSpPr/>
      </xdr:nvSpPr>
      <xdr:spPr>
        <a:xfrm>
          <a:off x="11803380" y="19575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106</xdr:row>
      <xdr:rowOff>0</xdr:rowOff>
    </xdr:from>
    <xdr:to>
      <xdr:col>28</xdr:col>
      <xdr:colOff>83820</xdr:colOff>
      <xdr:row>106</xdr:row>
      <xdr:rowOff>114300</xdr:rowOff>
    </xdr:to>
    <xdr:sp macro="" textlink="">
      <xdr:nvSpPr>
        <xdr:cNvPr id="116" name="Arrow: Down 115">
          <a:extLst>
            <a:ext uri="{FF2B5EF4-FFF2-40B4-BE49-F238E27FC236}">
              <a16:creationId xmlns:a16="http://schemas.microsoft.com/office/drawing/2014/main" id="{0B7B67E6-2B97-45F3-A298-67CEA040ABBC}"/>
            </a:ext>
          </a:extLst>
        </xdr:cNvPr>
        <xdr:cNvSpPr/>
      </xdr:nvSpPr>
      <xdr:spPr>
        <a:xfrm>
          <a:off x="11803380" y="19758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107</xdr:row>
      <xdr:rowOff>0</xdr:rowOff>
    </xdr:from>
    <xdr:to>
      <xdr:col>28</xdr:col>
      <xdr:colOff>83820</xdr:colOff>
      <xdr:row>107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603C2505-9E1B-42B6-BD77-4584261B6FF4}"/>
            </a:ext>
          </a:extLst>
        </xdr:cNvPr>
        <xdr:cNvSpPr/>
      </xdr:nvSpPr>
      <xdr:spPr>
        <a:xfrm>
          <a:off x="11803380" y="1994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108</xdr:row>
      <xdr:rowOff>0</xdr:rowOff>
    </xdr:from>
    <xdr:to>
      <xdr:col>28</xdr:col>
      <xdr:colOff>83820</xdr:colOff>
      <xdr:row>108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AA181258-B002-48E9-9826-C3B027497B9B}"/>
            </a:ext>
          </a:extLst>
        </xdr:cNvPr>
        <xdr:cNvSpPr/>
      </xdr:nvSpPr>
      <xdr:spPr>
        <a:xfrm>
          <a:off x="11803380" y="20124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109</xdr:row>
      <xdr:rowOff>0</xdr:rowOff>
    </xdr:from>
    <xdr:to>
      <xdr:col>28</xdr:col>
      <xdr:colOff>83820</xdr:colOff>
      <xdr:row>109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D3B696C3-35C6-4C00-A30F-A2F366FCA776}"/>
            </a:ext>
          </a:extLst>
        </xdr:cNvPr>
        <xdr:cNvSpPr/>
      </xdr:nvSpPr>
      <xdr:spPr>
        <a:xfrm rot="10800000">
          <a:off x="11803380" y="20490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110</xdr:row>
      <xdr:rowOff>0</xdr:rowOff>
    </xdr:from>
    <xdr:to>
      <xdr:col>28</xdr:col>
      <xdr:colOff>83820</xdr:colOff>
      <xdr:row>110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9F7C1D66-D8B3-4802-8212-69DBF79C159F}"/>
            </a:ext>
          </a:extLst>
        </xdr:cNvPr>
        <xdr:cNvSpPr/>
      </xdr:nvSpPr>
      <xdr:spPr>
        <a:xfrm rot="10800000">
          <a:off x="11803380" y="20490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111</xdr:row>
      <xdr:rowOff>0</xdr:rowOff>
    </xdr:from>
    <xdr:to>
      <xdr:col>28</xdr:col>
      <xdr:colOff>83820</xdr:colOff>
      <xdr:row>111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E91D113C-8087-4306-A44E-860AF9B9D0F3}"/>
            </a:ext>
          </a:extLst>
        </xdr:cNvPr>
        <xdr:cNvSpPr/>
      </xdr:nvSpPr>
      <xdr:spPr>
        <a:xfrm rot="10800000">
          <a:off x="11803380" y="2067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112</xdr:row>
      <xdr:rowOff>0</xdr:rowOff>
    </xdr:from>
    <xdr:to>
      <xdr:col>28</xdr:col>
      <xdr:colOff>83820</xdr:colOff>
      <xdr:row>112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EC2C4429-A4B8-462C-9502-E7A63530B69F}"/>
            </a:ext>
          </a:extLst>
        </xdr:cNvPr>
        <xdr:cNvSpPr/>
      </xdr:nvSpPr>
      <xdr:spPr>
        <a:xfrm>
          <a:off x="11803380" y="2103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113</xdr:row>
      <xdr:rowOff>0</xdr:rowOff>
    </xdr:from>
    <xdr:to>
      <xdr:col>28</xdr:col>
      <xdr:colOff>83820</xdr:colOff>
      <xdr:row>113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2B564377-EA76-41D7-8675-BBCD221DD470}"/>
            </a:ext>
          </a:extLst>
        </xdr:cNvPr>
        <xdr:cNvSpPr/>
      </xdr:nvSpPr>
      <xdr:spPr>
        <a:xfrm>
          <a:off x="11803380" y="2103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114</xdr:row>
      <xdr:rowOff>0</xdr:rowOff>
    </xdr:from>
    <xdr:to>
      <xdr:col>28</xdr:col>
      <xdr:colOff>83820</xdr:colOff>
      <xdr:row>114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91722AF9-9694-4DB4-9820-705A5B6D81E3}"/>
            </a:ext>
          </a:extLst>
        </xdr:cNvPr>
        <xdr:cNvSpPr/>
      </xdr:nvSpPr>
      <xdr:spPr>
        <a:xfrm>
          <a:off x="11803380" y="2122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115</xdr:row>
      <xdr:rowOff>0</xdr:rowOff>
    </xdr:from>
    <xdr:to>
      <xdr:col>28</xdr:col>
      <xdr:colOff>83820</xdr:colOff>
      <xdr:row>115</xdr:row>
      <xdr:rowOff>114300</xdr:rowOff>
    </xdr:to>
    <xdr:sp macro="" textlink="">
      <xdr:nvSpPr>
        <xdr:cNvPr id="118" name="Arrow: Down 117">
          <a:extLst>
            <a:ext uri="{FF2B5EF4-FFF2-40B4-BE49-F238E27FC236}">
              <a16:creationId xmlns:a16="http://schemas.microsoft.com/office/drawing/2014/main" id="{DA3171A7-6925-49E6-8D8A-61978AC12C61}"/>
            </a:ext>
          </a:extLst>
        </xdr:cNvPr>
        <xdr:cNvSpPr/>
      </xdr:nvSpPr>
      <xdr:spPr>
        <a:xfrm>
          <a:off x="11803380" y="2140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A1:CL245"/>
  <sheetViews>
    <sheetView tabSelected="1" zoomScaleNormal="100" workbookViewId="0">
      <selection activeCell="BC162" sqref="BC162"/>
    </sheetView>
  </sheetViews>
  <sheetFormatPr defaultRowHeight="14.4" outlineLevelCol="1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1" customWidth="1"/>
    <col min="6" max="6" width="2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1" customWidth="1"/>
    <col min="14" max="14" width="1.6640625" customWidth="1"/>
    <col min="15" max="15" width="9.44140625" customWidth="1"/>
    <col min="16" max="16" width="1.21875" customWidth="1"/>
    <col min="17" max="17" width="10" hidden="1" customWidth="1" outlineLevel="1"/>
    <col min="18" max="18" width="1.21875" hidden="1" customWidth="1" outlineLevel="1"/>
    <col min="19" max="19" width="10.5546875" hidden="1" customWidth="1" outlineLevel="1"/>
    <col min="20" max="21" width="1.21875" hidden="1" customWidth="1" outlineLevel="1"/>
    <col min="22" max="22" width="5.109375" customWidth="1" collapsed="1"/>
    <col min="23" max="23" width="8.88671875" customWidth="1"/>
    <col min="24" max="24" width="1.77734375" customWidth="1"/>
    <col min="25" max="25" width="2.5546875" customWidth="1"/>
    <col min="26" max="26" width="1.6640625" customWidth="1"/>
    <col min="27" max="27" width="9.5546875" customWidth="1"/>
    <col min="28" max="28" width="2.33203125" customWidth="1"/>
    <col min="29" max="29" width="5.6640625" customWidth="1"/>
    <col min="30" max="30" width="1" customWidth="1"/>
    <col min="31" max="31" width="8.109375" customWidth="1"/>
    <col min="32" max="32" width="1.6640625" customWidth="1"/>
    <col min="33" max="33" width="12.5546875" hidden="1" customWidth="1" outlineLevel="1"/>
    <col min="34" max="34" width="10.33203125" hidden="1" customWidth="1" outlineLevel="1"/>
    <col min="35" max="35" width="8.109375" hidden="1" customWidth="1" outlineLevel="1"/>
    <col min="36" max="36" width="2.21875" hidden="1" customWidth="1" outlineLevel="1"/>
    <col min="37" max="37" width="3.5546875" customWidth="1" collapsed="1"/>
    <col min="38" max="38" width="9" customWidth="1"/>
    <col min="39" max="39" width="1" customWidth="1"/>
    <col min="40" max="40" width="1.44140625" customWidth="1"/>
    <col min="41" max="41" width="1.21875" customWidth="1"/>
    <col min="42" max="42" width="10.5546875" customWidth="1"/>
    <col min="43" max="43" width="1.33203125" customWidth="1"/>
    <col min="44" max="44" width="10.21875" customWidth="1"/>
    <col min="45" max="45" width="1.5546875" customWidth="1"/>
    <col min="46" max="46" width="2.21875" customWidth="1"/>
    <col min="47" max="47" width="1.33203125" customWidth="1"/>
    <col min="48" max="48" width="7.44140625" customWidth="1"/>
    <col min="49" max="49" width="2" customWidth="1"/>
    <col min="50" max="50" width="9.21875" customWidth="1"/>
    <col min="51" max="51" width="0.88671875" customWidth="1"/>
    <col min="52" max="52" width="4" customWidth="1"/>
    <col min="53" max="53" width="10.6640625" customWidth="1"/>
    <col min="54" max="54" width="1.109375" customWidth="1"/>
    <col min="55" max="55" width="11.109375" customWidth="1"/>
    <col min="56" max="56" width="0.6640625" customWidth="1"/>
    <col min="57" max="57" width="8.77734375" customWidth="1"/>
    <col min="58" max="58" width="1.109375" customWidth="1"/>
    <col min="59" max="59" width="7.77734375" customWidth="1"/>
    <col min="60" max="60" width="1.109375" customWidth="1"/>
    <col min="61" max="61" width="3.88671875" customWidth="1"/>
    <col min="62" max="62" width="1.44140625" hidden="1" customWidth="1" outlineLevel="1"/>
    <col min="63" max="63" width="15.109375" hidden="1" customWidth="1" outlineLevel="1"/>
    <col min="64" max="64" width="0.88671875" hidden="1" customWidth="1" outlineLevel="1"/>
    <col min="65" max="65" width="6.88671875" hidden="1" customWidth="1" outlineLevel="1"/>
    <col min="66" max="66" width="9.5546875" customWidth="1" collapsed="1"/>
    <col min="67" max="67" width="0.88671875" customWidth="1"/>
    <col min="68" max="68" width="10.44140625" customWidth="1"/>
    <col min="69" max="69" width="1" customWidth="1"/>
    <col min="70" max="70" width="6.88671875" customWidth="1"/>
    <col min="71" max="71" width="1.109375" customWidth="1"/>
    <col min="72" max="72" width="3.44140625" customWidth="1"/>
    <col min="73" max="73" width="0.77734375" customWidth="1"/>
    <col min="74" max="74" width="1.88671875" customWidth="1"/>
    <col min="75" max="75" width="6.6640625" customWidth="1"/>
    <col min="76" max="76" width="1.77734375" customWidth="1"/>
    <col min="77" max="77" width="10.109375" bestFit="1" customWidth="1"/>
    <col min="78" max="78" width="2.109375" customWidth="1"/>
    <col min="79" max="79" width="9.77734375" customWidth="1"/>
    <col min="80" max="80" width="1.33203125" customWidth="1"/>
    <col min="81" max="81" width="9" bestFit="1" customWidth="1"/>
    <col min="82" max="82" width="1.109375" customWidth="1"/>
    <col min="83" max="83" width="3.21875" customWidth="1"/>
    <col min="84" max="84" width="1.44140625" customWidth="1"/>
    <col min="85" max="85" width="7.77734375" customWidth="1"/>
    <col min="86" max="86" width="1" customWidth="1"/>
    <col min="87" max="87" width="7.21875" customWidth="1"/>
    <col min="88" max="88" width="1.44140625" customWidth="1"/>
    <col min="89" max="89" width="4.77734375" customWidth="1"/>
    <col min="90" max="90" width="12.21875" customWidth="1"/>
  </cols>
  <sheetData>
    <row r="1" spans="2:90" ht="15.6" x14ac:dyDescent="0.3">
      <c r="B1" s="602" t="s">
        <v>5</v>
      </c>
      <c r="C1" s="602"/>
      <c r="D1" s="602"/>
    </row>
    <row r="2" spans="2:90" ht="15.6" x14ac:dyDescent="0.3">
      <c r="B2" s="602" t="s">
        <v>6</v>
      </c>
      <c r="C2" s="602"/>
      <c r="D2" s="602"/>
      <c r="E2" s="9"/>
      <c r="F2" s="9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</row>
    <row r="3" spans="2:90" ht="16.2" thickBot="1" x14ac:dyDescent="0.35">
      <c r="B3" s="605" t="s">
        <v>13</v>
      </c>
      <c r="C3" s="605"/>
      <c r="D3" s="166"/>
      <c r="E3" s="166"/>
      <c r="F3" s="166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</row>
    <row r="4" spans="2:90" ht="16.2" thickBot="1" x14ac:dyDescent="0.35">
      <c r="E4" s="9"/>
      <c r="F4" s="9"/>
      <c r="J4" s="603" t="s">
        <v>11</v>
      </c>
      <c r="K4" s="604"/>
      <c r="L4" s="604"/>
      <c r="M4" s="604"/>
      <c r="N4" s="604"/>
      <c r="O4" s="604"/>
      <c r="P4" s="604"/>
      <c r="Q4" s="604"/>
      <c r="R4" s="604"/>
      <c r="S4" s="604"/>
      <c r="T4" s="604"/>
      <c r="U4" s="604"/>
      <c r="V4" s="604"/>
      <c r="W4" s="604"/>
      <c r="X4" s="604"/>
      <c r="Y4" s="604"/>
      <c r="Z4" s="604"/>
      <c r="AA4" s="604"/>
      <c r="AB4" s="604"/>
      <c r="AC4" s="604"/>
      <c r="AD4" s="11"/>
      <c r="AE4" s="325"/>
      <c r="AF4" s="447"/>
      <c r="AG4" s="447"/>
      <c r="AH4" s="447"/>
      <c r="AI4" s="447"/>
      <c r="AJ4" s="12"/>
      <c r="AL4" s="581" t="s">
        <v>14</v>
      </c>
      <c r="AM4" s="582"/>
      <c r="AN4" s="582"/>
      <c r="AO4" s="582"/>
      <c r="AP4" s="582"/>
      <c r="AQ4" s="582"/>
      <c r="AR4" s="582"/>
      <c r="AS4" s="582"/>
      <c r="AT4" s="582"/>
      <c r="AU4" s="582"/>
      <c r="AV4" s="582"/>
      <c r="AW4" s="582"/>
      <c r="AX4" s="582"/>
      <c r="AY4" s="582"/>
      <c r="AZ4" s="582"/>
      <c r="BA4" s="582"/>
      <c r="BB4" s="582"/>
      <c r="BC4" s="582"/>
      <c r="BD4" s="582"/>
      <c r="BE4" s="582"/>
      <c r="BF4" s="582"/>
      <c r="BG4" s="582"/>
      <c r="BH4" s="582"/>
      <c r="BI4" s="582"/>
      <c r="BJ4" s="582"/>
      <c r="BK4" s="582"/>
      <c r="BL4" s="582"/>
      <c r="BM4" s="582"/>
      <c r="BN4" s="582"/>
      <c r="BO4" s="582"/>
      <c r="BP4" s="582"/>
      <c r="BQ4" s="582"/>
      <c r="BR4" s="582"/>
      <c r="BS4" s="582"/>
      <c r="BT4" s="582"/>
      <c r="BU4" s="583"/>
      <c r="BV4" s="180"/>
      <c r="BW4" s="180"/>
      <c r="BX4" s="180"/>
      <c r="BY4" s="180"/>
      <c r="BZ4" s="180"/>
      <c r="CA4" s="180"/>
      <c r="CB4" s="180"/>
      <c r="CC4" s="180"/>
      <c r="CD4" s="180"/>
      <c r="CE4" s="180"/>
      <c r="CF4" s="180"/>
      <c r="CG4" s="180"/>
      <c r="CH4" s="180"/>
      <c r="CI4" s="180"/>
      <c r="CJ4" s="61"/>
      <c r="CK4" s="61"/>
    </row>
    <row r="5" spans="2:90" x14ac:dyDescent="0.3"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</row>
    <row r="6" spans="2:90" x14ac:dyDescent="0.3">
      <c r="D6" s="333" t="s">
        <v>7</v>
      </c>
      <c r="E6" s="334"/>
      <c r="F6" s="606" t="s">
        <v>12</v>
      </c>
      <c r="G6" s="606"/>
      <c r="H6" s="606"/>
      <c r="I6" s="606"/>
      <c r="J6" s="606"/>
      <c r="K6" s="606"/>
      <c r="L6" s="606"/>
      <c r="M6" s="335"/>
      <c r="N6" s="545"/>
      <c r="O6" s="335"/>
      <c r="P6" s="336"/>
      <c r="Q6" s="612" t="s">
        <v>124</v>
      </c>
      <c r="R6" s="606"/>
      <c r="S6" s="606"/>
      <c r="T6" s="606"/>
      <c r="U6" s="613"/>
      <c r="V6" s="3"/>
      <c r="W6" s="8" t="s">
        <v>7</v>
      </c>
      <c r="X6" s="30"/>
      <c r="Y6" s="607">
        <v>1.2500000000000001E-2</v>
      </c>
      <c r="Z6" s="607"/>
      <c r="AA6" s="607"/>
      <c r="AB6" s="607"/>
      <c r="AC6" s="607"/>
      <c r="AD6" s="607"/>
      <c r="AE6" s="607"/>
      <c r="AF6" s="607"/>
      <c r="AG6" s="607"/>
      <c r="AH6" s="607"/>
      <c r="AI6" s="607"/>
      <c r="AJ6" s="608"/>
      <c r="AK6" s="3"/>
      <c r="AL6" s="590" t="s">
        <v>27</v>
      </c>
      <c r="AM6" s="591"/>
      <c r="AN6" s="591"/>
      <c r="AO6" s="591"/>
      <c r="AP6" s="591"/>
      <c r="AQ6" s="591"/>
      <c r="AR6" s="591"/>
      <c r="AS6" s="591"/>
      <c r="AT6" s="591"/>
      <c r="AU6" s="591"/>
      <c r="AV6" s="591"/>
      <c r="AW6" s="591"/>
      <c r="AX6" s="591"/>
      <c r="AY6" s="592"/>
      <c r="AZ6" s="3"/>
      <c r="BA6" s="593" t="s">
        <v>7</v>
      </c>
      <c r="BB6" s="585"/>
      <c r="BC6" s="585"/>
      <c r="BD6" s="97"/>
      <c r="BE6" s="584" t="s">
        <v>26</v>
      </c>
      <c r="BF6" s="584"/>
      <c r="BG6" s="584"/>
      <c r="BH6" s="584"/>
      <c r="BI6" s="584"/>
      <c r="BJ6" s="584"/>
      <c r="BK6" s="584"/>
      <c r="BL6" s="584"/>
      <c r="BM6" s="584"/>
      <c r="BN6" s="584"/>
      <c r="BO6" s="584"/>
      <c r="BP6" s="584"/>
      <c r="BQ6" s="584"/>
      <c r="BR6" s="585"/>
      <c r="BS6" s="585"/>
      <c r="BT6" s="585"/>
      <c r="BU6" s="586"/>
      <c r="BV6" s="3"/>
    </row>
    <row r="7" spans="2:90" ht="16.2" x14ac:dyDescent="0.3">
      <c r="D7" s="587" t="s">
        <v>20</v>
      </c>
      <c r="E7" s="588"/>
      <c r="F7" s="588"/>
      <c r="G7" s="588"/>
      <c r="H7" s="588"/>
      <c r="I7" s="588"/>
      <c r="J7" s="588"/>
      <c r="K7" s="465"/>
      <c r="L7" s="465"/>
      <c r="M7" s="465"/>
      <c r="N7" s="544"/>
      <c r="O7" s="465"/>
      <c r="P7" s="466"/>
      <c r="Q7" s="448"/>
      <c r="R7" s="449"/>
      <c r="S7" s="449"/>
      <c r="T7" s="449"/>
      <c r="U7" s="337"/>
      <c r="V7" s="3"/>
      <c r="W7" s="609" t="s">
        <v>35</v>
      </c>
      <c r="X7" s="610"/>
      <c r="Y7" s="610"/>
      <c r="Z7" s="610"/>
      <c r="AA7" s="610"/>
      <c r="AB7" s="610"/>
      <c r="AC7" s="610"/>
      <c r="AD7" s="610"/>
      <c r="AE7" s="610"/>
      <c r="AF7" s="610"/>
      <c r="AG7" s="610"/>
      <c r="AH7" s="610"/>
      <c r="AI7" s="610"/>
      <c r="AJ7" s="611"/>
      <c r="AK7" s="3"/>
      <c r="AL7" s="587" t="s">
        <v>76</v>
      </c>
      <c r="AM7" s="588"/>
      <c r="AN7" s="588"/>
      <c r="AO7" s="588"/>
      <c r="AP7" s="588"/>
      <c r="AQ7" s="588"/>
      <c r="AR7" s="588"/>
      <c r="AS7" s="588"/>
      <c r="AT7" s="588"/>
      <c r="AU7" s="588"/>
      <c r="AV7" s="588"/>
      <c r="AW7" s="588"/>
      <c r="AX7" s="588"/>
      <c r="AY7" s="589"/>
      <c r="BA7" s="587" t="s">
        <v>25</v>
      </c>
      <c r="BB7" s="588"/>
      <c r="BC7" s="588"/>
      <c r="BD7" s="588"/>
      <c r="BE7" s="588"/>
      <c r="BF7" s="588"/>
      <c r="BG7" s="588"/>
      <c r="BH7" s="588"/>
      <c r="BI7" s="588"/>
      <c r="BJ7" s="588"/>
      <c r="BK7" s="588"/>
      <c r="BL7" s="588"/>
      <c r="BM7" s="588"/>
      <c r="BN7" s="588"/>
      <c r="BO7" s="588"/>
      <c r="BP7" s="588"/>
      <c r="BQ7" s="588"/>
      <c r="BR7" s="588"/>
      <c r="BS7" s="588"/>
      <c r="BT7" s="588"/>
      <c r="BU7" s="589"/>
      <c r="BW7" s="174" t="s">
        <v>18</v>
      </c>
    </row>
    <row r="8" spans="2:90" x14ac:dyDescent="0.3">
      <c r="D8" s="52" t="s">
        <v>1</v>
      </c>
      <c r="E8" s="13"/>
      <c r="F8" s="53" t="s">
        <v>15</v>
      </c>
      <c r="G8" s="13"/>
      <c r="H8" s="72" t="s">
        <v>2</v>
      </c>
      <c r="I8" s="13"/>
      <c r="J8" s="54" t="s">
        <v>3</v>
      </c>
      <c r="K8" s="13"/>
      <c r="L8" s="53" t="s">
        <v>15</v>
      </c>
      <c r="M8" s="328"/>
      <c r="N8" s="328"/>
      <c r="O8" s="331" t="s">
        <v>115</v>
      </c>
      <c r="P8" s="338"/>
      <c r="Q8" s="452" t="s">
        <v>1</v>
      </c>
      <c r="R8" s="328"/>
      <c r="S8" s="53" t="s">
        <v>79</v>
      </c>
      <c r="T8" s="328"/>
      <c r="U8" s="338"/>
      <c r="W8" s="455" t="s">
        <v>1</v>
      </c>
      <c r="X8" s="456"/>
      <c r="Y8" s="457" t="s">
        <v>15</v>
      </c>
      <c r="Z8" s="456"/>
      <c r="AA8" s="458" t="s">
        <v>2</v>
      </c>
      <c r="AB8" s="456"/>
      <c r="AC8" s="459" t="s">
        <v>3</v>
      </c>
      <c r="AD8" s="456"/>
      <c r="AE8" s="460" t="s">
        <v>115</v>
      </c>
      <c r="AF8" s="461"/>
      <c r="AG8" s="455" t="s">
        <v>1</v>
      </c>
      <c r="AH8" s="454"/>
      <c r="AI8" s="460" t="s">
        <v>125</v>
      </c>
      <c r="AJ8" s="48"/>
      <c r="AL8" s="20" t="s">
        <v>1</v>
      </c>
      <c r="AM8" s="326"/>
      <c r="AN8" s="344" t="s">
        <v>15</v>
      </c>
      <c r="AO8" s="326"/>
      <c r="AP8" s="73" t="s">
        <v>2</v>
      </c>
      <c r="AQ8" s="326"/>
      <c r="AR8" s="327" t="s">
        <v>3</v>
      </c>
      <c r="AS8" s="326"/>
      <c r="AT8" s="344" t="s">
        <v>15</v>
      </c>
      <c r="AU8" s="326"/>
      <c r="AV8" s="345" t="s">
        <v>16</v>
      </c>
      <c r="AW8" s="342"/>
      <c r="AX8" s="346" t="s">
        <v>115</v>
      </c>
      <c r="AY8" s="347"/>
      <c r="BA8" s="579" t="s">
        <v>1</v>
      </c>
      <c r="BB8" s="580"/>
      <c r="BC8" s="580"/>
      <c r="BD8" s="64"/>
      <c r="BE8" s="580" t="s">
        <v>24</v>
      </c>
      <c r="BF8" s="580"/>
      <c r="BG8" s="580"/>
      <c r="BH8" s="580"/>
      <c r="BI8" s="594"/>
      <c r="BJ8" s="595" t="s">
        <v>124</v>
      </c>
      <c r="BK8" s="596"/>
      <c r="BL8" s="596"/>
      <c r="BM8" s="597"/>
      <c r="BN8" s="579" t="s">
        <v>24</v>
      </c>
      <c r="BO8" s="580"/>
      <c r="BP8" s="580"/>
      <c r="BQ8" s="64"/>
      <c r="BR8" s="105"/>
      <c r="BS8" s="464"/>
      <c r="BT8" s="106"/>
      <c r="BU8" s="181"/>
    </row>
    <row r="9" spans="2:90" x14ac:dyDescent="0.3">
      <c r="B9" s="2" t="s">
        <v>0</v>
      </c>
      <c r="D9" s="14"/>
      <c r="E9" s="15"/>
      <c r="F9" s="15"/>
      <c r="G9" s="15"/>
      <c r="H9" s="16">
        <f>85435-71593</f>
        <v>13842</v>
      </c>
      <c r="I9" s="15"/>
      <c r="J9" s="37"/>
      <c r="K9" s="15"/>
      <c r="L9" s="15"/>
      <c r="M9" s="15"/>
      <c r="N9" s="15"/>
      <c r="O9" s="15"/>
      <c r="P9" s="40"/>
      <c r="Q9" s="14"/>
      <c r="R9" s="15"/>
      <c r="S9" s="15"/>
      <c r="T9" s="15"/>
      <c r="U9" s="40"/>
      <c r="W9" s="31"/>
      <c r="X9" s="32"/>
      <c r="Y9" s="32"/>
      <c r="Z9" s="32"/>
      <c r="AA9" s="33">
        <f>1295-1092</f>
        <v>203</v>
      </c>
      <c r="AB9" s="32"/>
      <c r="AC9" s="45"/>
      <c r="AD9" s="32"/>
      <c r="AE9" s="32"/>
      <c r="AF9" s="48"/>
      <c r="AG9" s="32"/>
      <c r="AH9" s="32"/>
      <c r="AI9" s="32"/>
      <c r="AJ9" s="48"/>
      <c r="AL9" s="21"/>
      <c r="AM9" s="22"/>
      <c r="AN9" s="22"/>
      <c r="AO9" s="22"/>
      <c r="AP9" s="22"/>
      <c r="AQ9" s="22"/>
      <c r="AR9" s="22"/>
      <c r="AS9" s="22"/>
      <c r="AT9" s="22"/>
      <c r="AU9" s="22"/>
      <c r="AV9" s="139"/>
      <c r="AW9" s="139"/>
      <c r="AX9" s="22"/>
      <c r="AY9" s="348"/>
      <c r="BA9" s="450" t="s">
        <v>36</v>
      </c>
      <c r="BB9" s="64"/>
      <c r="BC9" s="98" t="s">
        <v>2</v>
      </c>
      <c r="BD9" s="65"/>
      <c r="BE9" s="451" t="s">
        <v>36</v>
      </c>
      <c r="BF9" s="64"/>
      <c r="BG9" s="63" t="s">
        <v>10</v>
      </c>
      <c r="BH9" s="155"/>
      <c r="BI9" s="462" t="s">
        <v>15</v>
      </c>
      <c r="BJ9" s="64"/>
      <c r="BK9" s="451" t="s">
        <v>126</v>
      </c>
      <c r="BL9" s="64"/>
      <c r="BM9" s="63" t="s">
        <v>10</v>
      </c>
      <c r="BN9" s="463" t="s">
        <v>115</v>
      </c>
      <c r="BO9" s="64"/>
      <c r="BP9" s="104" t="s">
        <v>2</v>
      </c>
      <c r="BQ9" s="352"/>
      <c r="BR9" s="105" t="s">
        <v>22</v>
      </c>
      <c r="BS9" s="64"/>
      <c r="BT9" s="106" t="s">
        <v>15</v>
      </c>
      <c r="BU9" s="182"/>
    </row>
    <row r="10" spans="2:90" x14ac:dyDescent="0.3">
      <c r="B10" s="170">
        <v>43910</v>
      </c>
      <c r="D10" s="17">
        <v>5594</v>
      </c>
      <c r="E10" s="16"/>
      <c r="F10" s="16"/>
      <c r="G10" s="16"/>
      <c r="H10" s="16">
        <f t="shared" ref="H10:H23" si="0">+H9+D10</f>
        <v>19436</v>
      </c>
      <c r="I10" s="16"/>
      <c r="J10" s="38">
        <f t="shared" ref="J10:J51" si="1">+D10/H9</f>
        <v>0.40413235081635601</v>
      </c>
      <c r="K10" s="16"/>
      <c r="L10" s="16"/>
      <c r="M10" s="16"/>
      <c r="N10" s="16"/>
      <c r="O10" s="16">
        <f t="shared" ref="O10:O41" si="2">+H10/BW10</f>
        <v>19436</v>
      </c>
      <c r="P10" s="41"/>
      <c r="Q10" s="17"/>
      <c r="R10" s="16"/>
      <c r="S10" s="16"/>
      <c r="T10" s="16"/>
      <c r="U10" s="41"/>
      <c r="V10" s="1"/>
      <c r="W10" s="34">
        <f>49+3</f>
        <v>52</v>
      </c>
      <c r="X10" s="33"/>
      <c r="Y10" s="33"/>
      <c r="Z10" s="33"/>
      <c r="AA10" s="33">
        <f t="shared" ref="AA10:AA23" si="3">+AA9+W10</f>
        <v>255</v>
      </c>
      <c r="AB10" s="33"/>
      <c r="AC10" s="46">
        <f t="shared" ref="AC10:AC41" si="4">+AA10/H10</f>
        <v>1.3119983535706935E-2</v>
      </c>
      <c r="AD10" s="231"/>
      <c r="AE10" s="33">
        <f t="shared" ref="AE10:AE41" si="5">+AA10/BW10</f>
        <v>255</v>
      </c>
      <c r="AF10" s="50"/>
      <c r="AG10" s="33"/>
      <c r="AH10" s="33"/>
      <c r="AI10" s="33"/>
      <c r="AJ10" s="49"/>
      <c r="AK10" s="1"/>
      <c r="AL10" s="23"/>
      <c r="AM10" s="24"/>
      <c r="AN10" s="24"/>
      <c r="AO10" s="24"/>
      <c r="AP10" s="24">
        <v>176</v>
      </c>
      <c r="AQ10" s="24"/>
      <c r="AR10" s="24"/>
      <c r="AS10" s="24"/>
      <c r="AT10" s="24"/>
      <c r="AU10" s="24"/>
      <c r="AV10" s="139"/>
      <c r="AW10" s="139"/>
      <c r="AX10" s="22"/>
      <c r="AY10" s="348"/>
      <c r="AZ10" s="1"/>
      <c r="BA10" s="66"/>
      <c r="BB10" s="67"/>
      <c r="BC10" s="67"/>
      <c r="BD10" s="67"/>
      <c r="BE10" s="67"/>
      <c r="BF10" s="67"/>
      <c r="BG10" s="67"/>
      <c r="BH10" s="67"/>
      <c r="BI10" s="183"/>
      <c r="BJ10" s="67"/>
      <c r="BK10" s="67"/>
      <c r="BL10" s="67"/>
      <c r="BM10" s="67"/>
      <c r="BN10" s="66"/>
      <c r="BO10" s="67"/>
      <c r="BP10" s="67"/>
      <c r="BQ10" s="67"/>
      <c r="BR10" s="70"/>
      <c r="BS10" s="67"/>
      <c r="BT10" s="67"/>
      <c r="BU10" s="183"/>
      <c r="BV10" s="1"/>
      <c r="BW10">
        <v>1</v>
      </c>
    </row>
    <row r="11" spans="2:90" x14ac:dyDescent="0.3">
      <c r="B11" s="476">
        <f t="shared" ref="B11:B76" si="6">1+B10</f>
        <v>43911</v>
      </c>
      <c r="D11" s="17">
        <v>4824</v>
      </c>
      <c r="E11" s="16"/>
      <c r="F11" s="16"/>
      <c r="G11" s="16"/>
      <c r="H11" s="16">
        <f t="shared" si="0"/>
        <v>24260</v>
      </c>
      <c r="I11" s="16"/>
      <c r="J11" s="38">
        <f t="shared" si="1"/>
        <v>0.24819921794607944</v>
      </c>
      <c r="K11" s="60"/>
      <c r="L11" s="60"/>
      <c r="M11" s="60"/>
      <c r="N11" s="60"/>
      <c r="O11" s="16">
        <f t="shared" si="2"/>
        <v>12130</v>
      </c>
      <c r="P11" s="42"/>
      <c r="Q11" s="453"/>
      <c r="R11" s="60"/>
      <c r="S11" s="60"/>
      <c r="T11" s="60"/>
      <c r="U11" s="42"/>
      <c r="V11" s="477"/>
      <c r="W11" s="34">
        <v>46</v>
      </c>
      <c r="X11" s="33"/>
      <c r="Y11" s="33"/>
      <c r="Z11" s="33"/>
      <c r="AA11" s="33">
        <f t="shared" si="3"/>
        <v>301</v>
      </c>
      <c r="AB11" s="33"/>
      <c r="AC11" s="46">
        <f t="shared" si="4"/>
        <v>1.2407254740313274E-2</v>
      </c>
      <c r="AD11" s="231"/>
      <c r="AE11" s="33">
        <f t="shared" si="5"/>
        <v>150.5</v>
      </c>
      <c r="AF11" s="50"/>
      <c r="AG11" s="33"/>
      <c r="AH11" s="33"/>
      <c r="AI11" s="33"/>
      <c r="AJ11" s="49"/>
      <c r="AK11" s="1"/>
      <c r="AL11" s="23">
        <f t="shared" ref="AL11:AL51" si="7">+AP11-AP10</f>
        <v>0</v>
      </c>
      <c r="AM11" s="24"/>
      <c r="AN11" s="24"/>
      <c r="AO11" s="24"/>
      <c r="AP11" s="24">
        <v>176</v>
      </c>
      <c r="AQ11" s="24"/>
      <c r="AR11" s="24"/>
      <c r="AS11" s="24"/>
      <c r="AT11" s="24"/>
      <c r="AU11" s="24"/>
      <c r="AV11" s="139"/>
      <c r="AW11" s="139"/>
      <c r="AX11" s="22"/>
      <c r="AY11" s="348"/>
      <c r="AZ11" s="1"/>
      <c r="BA11" s="66"/>
      <c r="BB11" s="67"/>
      <c r="BC11" s="67"/>
      <c r="BD11" s="67"/>
      <c r="BE11" s="67"/>
      <c r="BF11" s="67"/>
      <c r="BG11" s="67"/>
      <c r="BH11" s="67"/>
      <c r="BI11" s="183"/>
      <c r="BJ11" s="67"/>
      <c r="BK11" s="67"/>
      <c r="BL11" s="67"/>
      <c r="BM11" s="67"/>
      <c r="BN11" s="66"/>
      <c r="BO11" s="67"/>
      <c r="BP11" s="67"/>
      <c r="BQ11" s="67"/>
      <c r="BR11" s="70"/>
      <c r="BS11" s="67"/>
      <c r="BT11" s="67"/>
      <c r="BU11" s="183"/>
      <c r="BV11" s="1"/>
      <c r="BW11">
        <f>+BW10+1</f>
        <v>2</v>
      </c>
    </row>
    <row r="12" spans="2:90" x14ac:dyDescent="0.3">
      <c r="B12" s="390">
        <f t="shared" si="6"/>
        <v>43912</v>
      </c>
      <c r="D12" s="17">
        <v>9339</v>
      </c>
      <c r="E12" s="16"/>
      <c r="F12" s="16"/>
      <c r="G12" s="16"/>
      <c r="H12" s="16">
        <f t="shared" si="0"/>
        <v>33599</v>
      </c>
      <c r="I12" s="16"/>
      <c r="J12" s="38">
        <f t="shared" si="1"/>
        <v>0.38495465787304206</v>
      </c>
      <c r="K12" s="60"/>
      <c r="L12" s="60"/>
      <c r="M12" s="60"/>
      <c r="N12" s="60"/>
      <c r="O12" s="16">
        <f t="shared" si="2"/>
        <v>11199.666666666666</v>
      </c>
      <c r="P12" s="42"/>
      <c r="Q12" s="453"/>
      <c r="R12" s="60"/>
      <c r="S12" s="60"/>
      <c r="T12" s="60"/>
      <c r="U12" s="42"/>
      <c r="V12" s="1"/>
      <c r="W12" s="34">
        <f>117-4</f>
        <v>113</v>
      </c>
      <c r="X12" s="33"/>
      <c r="Y12" s="33"/>
      <c r="Z12" s="33"/>
      <c r="AA12" s="33">
        <f t="shared" si="3"/>
        <v>414</v>
      </c>
      <c r="AB12" s="33"/>
      <c r="AC12" s="46">
        <f t="shared" si="4"/>
        <v>1.2321795291526534E-2</v>
      </c>
      <c r="AD12" s="231"/>
      <c r="AE12" s="33">
        <f t="shared" si="5"/>
        <v>138</v>
      </c>
      <c r="AF12" s="50"/>
      <c r="AG12" s="33"/>
      <c r="AH12" s="33"/>
      <c r="AI12" s="33"/>
      <c r="AJ12" s="49"/>
      <c r="AK12" s="1"/>
      <c r="AL12" s="23">
        <f t="shared" si="7"/>
        <v>2</v>
      </c>
      <c r="AM12" s="24"/>
      <c r="AN12" s="24"/>
      <c r="AO12" s="24"/>
      <c r="AP12" s="24">
        <v>178</v>
      </c>
      <c r="AQ12" s="24"/>
      <c r="AR12" s="25">
        <f t="shared" ref="AR12:AR51" si="8">+AL12/AP11</f>
        <v>1.1363636363636364E-2</v>
      </c>
      <c r="AS12" s="25"/>
      <c r="AT12" s="25"/>
      <c r="AU12" s="24"/>
      <c r="AV12" s="341">
        <f t="shared" ref="AV12:AV43" si="9">+AP12/H12</f>
        <v>5.2977767195452243E-3</v>
      </c>
      <c r="AW12" s="341"/>
      <c r="AX12" s="24">
        <f t="shared" ref="AX12:AX43" si="10">+AP12/BW12</f>
        <v>59.333333333333336</v>
      </c>
      <c r="AY12" s="349"/>
      <c r="AZ12" s="1"/>
      <c r="BA12" s="66"/>
      <c r="BB12" s="67"/>
      <c r="BC12" s="67"/>
      <c r="BD12" s="67"/>
      <c r="BE12" s="67"/>
      <c r="BF12" s="67"/>
      <c r="BG12" s="67"/>
      <c r="BH12" s="67"/>
      <c r="BI12" s="183"/>
      <c r="BJ12" s="67"/>
      <c r="BK12" s="67"/>
      <c r="BL12" s="67"/>
      <c r="BM12" s="67"/>
      <c r="BN12" s="66"/>
      <c r="BO12" s="67"/>
      <c r="BP12" s="67"/>
      <c r="BQ12" s="67"/>
      <c r="BR12" s="70"/>
      <c r="BS12" s="67"/>
      <c r="BT12" s="67"/>
      <c r="BU12" s="183"/>
      <c r="BV12" s="1"/>
      <c r="BW12">
        <f t="shared" ref="BW12:BW76" si="11">+BW11+1</f>
        <v>3</v>
      </c>
    </row>
    <row r="13" spans="2:90" x14ac:dyDescent="0.3">
      <c r="B13" s="170">
        <f t="shared" si="6"/>
        <v>43913</v>
      </c>
      <c r="D13" s="17">
        <v>10168</v>
      </c>
      <c r="E13" s="16"/>
      <c r="F13" s="16"/>
      <c r="G13" s="16"/>
      <c r="H13" s="16">
        <f t="shared" si="0"/>
        <v>43767</v>
      </c>
      <c r="I13" s="16"/>
      <c r="J13" s="38">
        <f t="shared" si="1"/>
        <v>0.30262805440638113</v>
      </c>
      <c r="K13" s="60"/>
      <c r="L13" s="60"/>
      <c r="M13" s="60"/>
      <c r="N13" s="60"/>
      <c r="O13" s="16">
        <f t="shared" si="2"/>
        <v>10941.75</v>
      </c>
      <c r="P13" s="42"/>
      <c r="Q13" s="453"/>
      <c r="R13" s="60"/>
      <c r="S13" s="60"/>
      <c r="T13" s="60"/>
      <c r="U13" s="42"/>
      <c r="V13" s="1"/>
      <c r="W13" s="34">
        <f>140+1</f>
        <v>141</v>
      </c>
      <c r="X13" s="33"/>
      <c r="Y13" s="33"/>
      <c r="Z13" s="33"/>
      <c r="AA13" s="33">
        <f t="shared" si="3"/>
        <v>555</v>
      </c>
      <c r="AB13" s="33"/>
      <c r="AC13" s="46">
        <f t="shared" si="4"/>
        <v>1.2680786894235383E-2</v>
      </c>
      <c r="AD13" s="231"/>
      <c r="AE13" s="33">
        <f t="shared" si="5"/>
        <v>138.75</v>
      </c>
      <c r="AF13" s="50"/>
      <c r="AG13" s="33"/>
      <c r="AH13" s="33"/>
      <c r="AI13" s="33"/>
      <c r="AJ13" s="49"/>
      <c r="AK13" s="1"/>
      <c r="AL13" s="23">
        <f t="shared" si="7"/>
        <v>117</v>
      </c>
      <c r="AM13" s="24"/>
      <c r="AN13" s="24"/>
      <c r="AO13" s="24"/>
      <c r="AP13" s="24">
        <v>295</v>
      </c>
      <c r="AQ13" s="24"/>
      <c r="AR13" s="25">
        <f t="shared" si="8"/>
        <v>0.65730337078651691</v>
      </c>
      <c r="AS13" s="25"/>
      <c r="AT13" s="25"/>
      <c r="AU13" s="24"/>
      <c r="AV13" s="341">
        <f t="shared" si="9"/>
        <v>6.740238078917906E-3</v>
      </c>
      <c r="AW13" s="341"/>
      <c r="AX13" s="24">
        <f t="shared" si="10"/>
        <v>73.75</v>
      </c>
      <c r="AY13" s="351"/>
      <c r="AZ13" s="1"/>
      <c r="BA13" s="66"/>
      <c r="BB13" s="67"/>
      <c r="BC13" s="67"/>
      <c r="BD13" s="67"/>
      <c r="BE13" s="67"/>
      <c r="BF13" s="67"/>
      <c r="BG13" s="67"/>
      <c r="BH13" s="67"/>
      <c r="BI13" s="183"/>
      <c r="BJ13" s="67"/>
      <c r="BK13" s="67"/>
      <c r="BL13" s="67"/>
      <c r="BM13" s="67"/>
      <c r="BN13" s="66"/>
      <c r="BO13" s="67"/>
      <c r="BP13" s="67"/>
      <c r="BQ13" s="67"/>
      <c r="BR13" s="70"/>
      <c r="BS13" s="67"/>
      <c r="BT13" s="67"/>
      <c r="BU13" s="183"/>
      <c r="BV13" s="1"/>
      <c r="BW13">
        <f t="shared" si="11"/>
        <v>4</v>
      </c>
    </row>
    <row r="14" spans="2:90" x14ac:dyDescent="0.3">
      <c r="B14" s="170">
        <f t="shared" si="6"/>
        <v>43914</v>
      </c>
      <c r="D14" s="17">
        <v>11089</v>
      </c>
      <c r="E14" s="16"/>
      <c r="F14" s="16"/>
      <c r="G14" s="16"/>
      <c r="H14" s="16">
        <f t="shared" si="0"/>
        <v>54856</v>
      </c>
      <c r="I14" s="16"/>
      <c r="J14" s="38">
        <f t="shared" si="1"/>
        <v>0.25336440697329038</v>
      </c>
      <c r="K14" s="60"/>
      <c r="L14" s="60"/>
      <c r="M14" s="60"/>
      <c r="N14" s="60"/>
      <c r="O14" s="16">
        <f t="shared" si="2"/>
        <v>10971.2</v>
      </c>
      <c r="P14" s="42"/>
      <c r="Q14" s="453"/>
      <c r="R14" s="60"/>
      <c r="S14" s="60"/>
      <c r="T14" s="60"/>
      <c r="U14" s="42"/>
      <c r="V14" s="1"/>
      <c r="W14" s="34">
        <v>225</v>
      </c>
      <c r="X14" s="33"/>
      <c r="Y14" s="33"/>
      <c r="Z14" s="33"/>
      <c r="AA14" s="33">
        <f t="shared" si="3"/>
        <v>780</v>
      </c>
      <c r="AB14" s="33"/>
      <c r="AC14" s="46">
        <f t="shared" si="4"/>
        <v>1.4219046230129795E-2</v>
      </c>
      <c r="AD14" s="231"/>
      <c r="AE14" s="33">
        <f t="shared" si="5"/>
        <v>156</v>
      </c>
      <c r="AF14" s="50"/>
      <c r="AG14" s="33"/>
      <c r="AH14" s="33"/>
      <c r="AI14" s="33"/>
      <c r="AJ14" s="49"/>
      <c r="AK14" s="1"/>
      <c r="AL14" s="23">
        <f t="shared" si="7"/>
        <v>83</v>
      </c>
      <c r="AM14" s="24"/>
      <c r="AN14" s="24"/>
      <c r="AO14" s="24"/>
      <c r="AP14" s="24">
        <v>378</v>
      </c>
      <c r="AQ14" s="24"/>
      <c r="AR14" s="25">
        <f t="shared" si="8"/>
        <v>0.28135593220338984</v>
      </c>
      <c r="AS14" s="25"/>
      <c r="AT14" s="25"/>
      <c r="AU14" s="24"/>
      <c r="AV14" s="341">
        <f t="shared" si="9"/>
        <v>6.8907685576782849E-3</v>
      </c>
      <c r="AW14" s="341"/>
      <c r="AX14" s="24">
        <f t="shared" si="10"/>
        <v>75.599999999999994</v>
      </c>
      <c r="AY14" s="351"/>
      <c r="AZ14" s="1"/>
      <c r="BA14" s="66"/>
      <c r="BB14" s="67"/>
      <c r="BC14" s="67"/>
      <c r="BD14" s="67"/>
      <c r="BE14" s="67"/>
      <c r="BF14" s="67"/>
      <c r="BG14" s="67"/>
      <c r="BH14" s="67"/>
      <c r="BI14" s="183"/>
      <c r="BJ14" s="67"/>
      <c r="BK14" s="67"/>
      <c r="BL14" s="67"/>
      <c r="BM14" s="67"/>
      <c r="BN14" s="66"/>
      <c r="BO14" s="67"/>
      <c r="BP14" s="67"/>
      <c r="BQ14" s="67"/>
      <c r="BR14" s="70"/>
      <c r="BS14" s="67"/>
      <c r="BT14" s="67"/>
      <c r="BU14" s="183"/>
      <c r="BV14" s="1"/>
      <c r="BW14">
        <f t="shared" si="11"/>
        <v>5</v>
      </c>
      <c r="CL14" s="56"/>
    </row>
    <row r="15" spans="2:90" x14ac:dyDescent="0.3">
      <c r="B15" s="170">
        <f t="shared" si="6"/>
        <v>43915</v>
      </c>
      <c r="D15" s="17">
        <v>13355</v>
      </c>
      <c r="E15" s="16"/>
      <c r="F15" s="16"/>
      <c r="G15" s="16"/>
      <c r="H15" s="16">
        <f t="shared" si="0"/>
        <v>68211</v>
      </c>
      <c r="I15" s="16"/>
      <c r="J15" s="38">
        <f t="shared" si="1"/>
        <v>0.24345559282485052</v>
      </c>
      <c r="K15" s="60"/>
      <c r="L15" s="60"/>
      <c r="M15" s="60"/>
      <c r="N15" s="60"/>
      <c r="O15" s="16">
        <f t="shared" si="2"/>
        <v>11368.5</v>
      </c>
      <c r="P15" s="42"/>
      <c r="Q15" s="453"/>
      <c r="R15" s="60"/>
      <c r="S15" s="60"/>
      <c r="T15" s="60"/>
      <c r="U15" s="42"/>
      <c r="V15" s="1"/>
      <c r="W15" s="34">
        <v>247</v>
      </c>
      <c r="X15" s="33"/>
      <c r="Y15" s="33"/>
      <c r="Z15" s="33"/>
      <c r="AA15" s="33">
        <f t="shared" si="3"/>
        <v>1027</v>
      </c>
      <c r="AB15" s="33"/>
      <c r="AC15" s="46">
        <f t="shared" si="4"/>
        <v>1.5056222603392415E-2</v>
      </c>
      <c r="AD15" s="231"/>
      <c r="AE15" s="33">
        <f t="shared" si="5"/>
        <v>171.16666666666666</v>
      </c>
      <c r="AF15" s="50"/>
      <c r="AG15" s="33"/>
      <c r="AH15" s="33"/>
      <c r="AI15" s="33"/>
      <c r="AJ15" s="49"/>
      <c r="AK15" s="1"/>
      <c r="AL15" s="23">
        <f t="shared" si="7"/>
        <v>16</v>
      </c>
      <c r="AM15" s="24"/>
      <c r="AN15" s="24"/>
      <c r="AO15" s="24"/>
      <c r="AP15" s="24">
        <v>394</v>
      </c>
      <c r="AQ15" s="24"/>
      <c r="AR15" s="25">
        <f t="shared" si="8"/>
        <v>4.2328042328042326E-2</v>
      </c>
      <c r="AS15" s="25"/>
      <c r="AT15" s="25"/>
      <c r="AU15" s="24"/>
      <c r="AV15" s="341">
        <f t="shared" si="9"/>
        <v>5.7761944554397381E-3</v>
      </c>
      <c r="AW15" s="341"/>
      <c r="AX15" s="24">
        <f t="shared" si="10"/>
        <v>65.666666666666671</v>
      </c>
      <c r="AY15" s="351"/>
      <c r="AZ15" s="1"/>
      <c r="BA15" s="66"/>
      <c r="BB15" s="67"/>
      <c r="BC15" s="67"/>
      <c r="BD15" s="67"/>
      <c r="BE15" s="67"/>
      <c r="BF15" s="67"/>
      <c r="BG15" s="67"/>
      <c r="BH15" s="67"/>
      <c r="BI15" s="183"/>
      <c r="BJ15" s="67"/>
      <c r="BK15" s="67"/>
      <c r="BL15" s="67"/>
      <c r="BM15" s="67"/>
      <c r="BN15" s="66"/>
      <c r="BO15" s="67"/>
      <c r="BP15" s="67"/>
      <c r="BQ15" s="67"/>
      <c r="BR15" s="70"/>
      <c r="BS15" s="67"/>
      <c r="BT15" s="67"/>
      <c r="BU15" s="183"/>
      <c r="BV15" s="1"/>
      <c r="BW15">
        <f t="shared" si="11"/>
        <v>6</v>
      </c>
      <c r="CL15" s="56"/>
    </row>
    <row r="16" spans="2:90" x14ac:dyDescent="0.3">
      <c r="B16" s="170">
        <f t="shared" si="6"/>
        <v>43916</v>
      </c>
      <c r="D16" s="17">
        <v>17224</v>
      </c>
      <c r="E16" s="16"/>
      <c r="F16" s="16"/>
      <c r="G16" s="16"/>
      <c r="H16" s="16">
        <f t="shared" si="0"/>
        <v>85435</v>
      </c>
      <c r="I16" s="16"/>
      <c r="J16" s="38">
        <f t="shared" si="1"/>
        <v>0.25251059213323362</v>
      </c>
      <c r="K16" s="60"/>
      <c r="L16" s="60"/>
      <c r="M16" s="60"/>
      <c r="N16" s="60"/>
      <c r="O16" s="16">
        <f t="shared" si="2"/>
        <v>12205</v>
      </c>
      <c r="P16" s="42"/>
      <c r="Q16" s="453"/>
      <c r="R16" s="60"/>
      <c r="S16" s="60"/>
      <c r="T16" s="60"/>
      <c r="U16" s="42"/>
      <c r="V16" s="1"/>
      <c r="W16" s="34">
        <v>268</v>
      </c>
      <c r="X16" s="33"/>
      <c r="Y16" s="33"/>
      <c r="Z16" s="33"/>
      <c r="AA16" s="33">
        <f t="shared" si="3"/>
        <v>1295</v>
      </c>
      <c r="AB16" s="33"/>
      <c r="AC16" s="46">
        <f t="shared" si="4"/>
        <v>1.5157722244981565E-2</v>
      </c>
      <c r="AD16" s="231"/>
      <c r="AE16" s="33">
        <f t="shared" si="5"/>
        <v>185</v>
      </c>
      <c r="AF16" s="50"/>
      <c r="AG16" s="33"/>
      <c r="AH16" s="33"/>
      <c r="AI16" s="33"/>
      <c r="AJ16" s="49"/>
      <c r="AK16" s="1"/>
      <c r="AL16" s="23">
        <f t="shared" si="7"/>
        <v>1474</v>
      </c>
      <c r="AM16" s="24"/>
      <c r="AN16" s="24"/>
      <c r="AO16" s="24"/>
      <c r="AP16" s="24">
        <v>1868</v>
      </c>
      <c r="AQ16" s="24"/>
      <c r="AR16" s="25">
        <f t="shared" si="8"/>
        <v>3.7411167512690353</v>
      </c>
      <c r="AS16" s="25"/>
      <c r="AT16" s="25"/>
      <c r="AU16" s="24"/>
      <c r="AV16" s="341">
        <f t="shared" si="9"/>
        <v>2.1864575408205068E-2</v>
      </c>
      <c r="AW16" s="341"/>
      <c r="AX16" s="24">
        <f t="shared" si="10"/>
        <v>266.85714285714283</v>
      </c>
      <c r="AY16" s="351"/>
      <c r="AZ16" s="1"/>
      <c r="BA16" s="66"/>
      <c r="BB16" s="67"/>
      <c r="BC16" s="67"/>
      <c r="BD16" s="67"/>
      <c r="BE16" s="67"/>
      <c r="BF16" s="67"/>
      <c r="BG16" s="67"/>
      <c r="BH16" s="67"/>
      <c r="BI16" s="183"/>
      <c r="BJ16" s="67"/>
      <c r="BK16" s="67"/>
      <c r="BL16" s="67"/>
      <c r="BM16" s="67"/>
      <c r="BN16" s="66"/>
      <c r="BO16" s="67"/>
      <c r="BP16" s="67"/>
      <c r="BQ16" s="67"/>
      <c r="BR16" s="70"/>
      <c r="BS16" s="67"/>
      <c r="BT16" s="67"/>
      <c r="BU16" s="183"/>
      <c r="BV16" s="1"/>
      <c r="BW16">
        <f t="shared" si="11"/>
        <v>7</v>
      </c>
      <c r="CL16" s="56"/>
    </row>
    <row r="17" spans="2:90" x14ac:dyDescent="0.3">
      <c r="B17" s="170">
        <f t="shared" si="6"/>
        <v>43917</v>
      </c>
      <c r="D17" s="17">
        <v>18691</v>
      </c>
      <c r="E17" s="16"/>
      <c r="F17" s="16"/>
      <c r="G17" s="16"/>
      <c r="H17" s="16">
        <f t="shared" si="0"/>
        <v>104126</v>
      </c>
      <c r="I17" s="16"/>
      <c r="J17" s="38">
        <f t="shared" si="1"/>
        <v>0.21877450693509687</v>
      </c>
      <c r="K17" s="60"/>
      <c r="L17" s="60"/>
      <c r="M17" s="60"/>
      <c r="N17" s="60"/>
      <c r="O17" s="16">
        <f t="shared" si="2"/>
        <v>13015.75</v>
      </c>
      <c r="P17" s="42"/>
      <c r="Q17" s="453"/>
      <c r="R17" s="60"/>
      <c r="S17" s="60"/>
      <c r="T17" s="60"/>
      <c r="U17" s="42"/>
      <c r="V17" s="1"/>
      <c r="W17" s="34">
        <f>401-1</f>
        <v>400</v>
      </c>
      <c r="X17" s="33"/>
      <c r="Y17" s="33"/>
      <c r="Z17" s="33"/>
      <c r="AA17" s="33">
        <f t="shared" si="3"/>
        <v>1695</v>
      </c>
      <c r="AB17" s="33"/>
      <c r="AC17" s="46">
        <f t="shared" si="4"/>
        <v>1.6278355069819256E-2</v>
      </c>
      <c r="AD17" s="231"/>
      <c r="AE17" s="33">
        <f t="shared" si="5"/>
        <v>211.875</v>
      </c>
      <c r="AF17" s="50"/>
      <c r="AG17" s="33"/>
      <c r="AH17" s="33"/>
      <c r="AI17" s="33"/>
      <c r="AJ17" s="49"/>
      <c r="AK17" s="1"/>
      <c r="AL17" s="23">
        <f t="shared" si="7"/>
        <v>654</v>
      </c>
      <c r="AM17" s="24"/>
      <c r="AN17" s="24"/>
      <c r="AO17" s="24"/>
      <c r="AP17" s="24">
        <v>2522</v>
      </c>
      <c r="AQ17" s="24"/>
      <c r="AR17" s="25">
        <f t="shared" si="8"/>
        <v>0.3501070663811563</v>
      </c>
      <c r="AS17" s="25"/>
      <c r="AT17" s="25"/>
      <c r="AU17" s="24"/>
      <c r="AV17" s="341">
        <f t="shared" si="9"/>
        <v>2.4220655744002458E-2</v>
      </c>
      <c r="AW17" s="341"/>
      <c r="AX17" s="24">
        <f t="shared" si="10"/>
        <v>315.25</v>
      </c>
      <c r="AY17" s="351"/>
      <c r="AZ17" s="1"/>
      <c r="BA17" s="66"/>
      <c r="BB17" s="67"/>
      <c r="BC17" s="67"/>
      <c r="BD17" s="67"/>
      <c r="BE17" s="67"/>
      <c r="BF17" s="67"/>
      <c r="BG17" s="67"/>
      <c r="BH17" s="67"/>
      <c r="BI17" s="183"/>
      <c r="BJ17" s="67"/>
      <c r="BK17" s="67"/>
      <c r="BL17" s="67"/>
      <c r="BM17" s="67"/>
      <c r="BN17" s="66"/>
      <c r="BO17" s="67"/>
      <c r="BP17" s="67"/>
      <c r="BQ17" s="67"/>
      <c r="BR17" s="70"/>
      <c r="BS17" s="67"/>
      <c r="BT17" s="67"/>
      <c r="BU17" s="183"/>
      <c r="BV17" s="1"/>
      <c r="BW17">
        <f t="shared" si="11"/>
        <v>8</v>
      </c>
      <c r="CL17" s="56"/>
    </row>
    <row r="18" spans="2:90" x14ac:dyDescent="0.3">
      <c r="B18" s="476">
        <f t="shared" si="6"/>
        <v>43918</v>
      </c>
      <c r="D18" s="17">
        <v>19452</v>
      </c>
      <c r="E18" s="16"/>
      <c r="F18" s="16"/>
      <c r="G18" s="16"/>
      <c r="H18" s="16">
        <f t="shared" si="0"/>
        <v>123578</v>
      </c>
      <c r="I18" s="16"/>
      <c r="J18" s="38">
        <f t="shared" si="1"/>
        <v>0.18681213145612047</v>
      </c>
      <c r="K18" s="60"/>
      <c r="L18" s="60"/>
      <c r="M18" s="60"/>
      <c r="N18" s="60"/>
      <c r="O18" s="16">
        <f t="shared" si="2"/>
        <v>13730.888888888889</v>
      </c>
      <c r="P18" s="42"/>
      <c r="Q18" s="453"/>
      <c r="R18" s="60"/>
      <c r="S18" s="60"/>
      <c r="T18" s="60"/>
      <c r="U18" s="42"/>
      <c r="V18" s="477"/>
      <c r="W18" s="34">
        <v>525</v>
      </c>
      <c r="X18" s="33"/>
      <c r="Y18" s="33"/>
      <c r="Z18" s="33"/>
      <c r="AA18" s="33">
        <f t="shared" si="3"/>
        <v>2220</v>
      </c>
      <c r="AB18" s="33"/>
      <c r="AC18" s="46">
        <f t="shared" si="4"/>
        <v>1.7964362588810307E-2</v>
      </c>
      <c r="AD18" s="231"/>
      <c r="AE18" s="33">
        <f t="shared" si="5"/>
        <v>246.66666666666666</v>
      </c>
      <c r="AF18" s="50"/>
      <c r="AG18" s="33"/>
      <c r="AH18" s="33"/>
      <c r="AI18" s="33"/>
      <c r="AJ18" s="49"/>
      <c r="AK18" s="1"/>
      <c r="AL18" s="23">
        <f t="shared" si="7"/>
        <v>709</v>
      </c>
      <c r="AM18" s="24"/>
      <c r="AN18" s="24"/>
      <c r="AO18" s="24"/>
      <c r="AP18" s="24">
        <v>3231</v>
      </c>
      <c r="AQ18" s="24"/>
      <c r="AR18" s="25">
        <f t="shared" si="8"/>
        <v>0.28112609040444092</v>
      </c>
      <c r="AS18" s="25"/>
      <c r="AT18" s="25"/>
      <c r="AU18" s="24"/>
      <c r="AV18" s="341">
        <f t="shared" si="9"/>
        <v>2.6145430416417162E-2</v>
      </c>
      <c r="AW18" s="341"/>
      <c r="AX18" s="24">
        <f t="shared" si="10"/>
        <v>359</v>
      </c>
      <c r="AY18" s="351"/>
      <c r="AZ18" s="1"/>
      <c r="BA18" s="66"/>
      <c r="BB18" s="67"/>
      <c r="BC18" s="67"/>
      <c r="BD18" s="67"/>
      <c r="BE18" s="67"/>
      <c r="BF18" s="67"/>
      <c r="BG18" s="67"/>
      <c r="BH18" s="67"/>
      <c r="BI18" s="183"/>
      <c r="BJ18" s="67"/>
      <c r="BK18" s="67"/>
      <c r="BL18" s="67"/>
      <c r="BM18" s="67"/>
      <c r="BN18" s="66"/>
      <c r="BO18" s="67"/>
      <c r="BP18" s="67"/>
      <c r="BQ18" s="67"/>
      <c r="BR18" s="70"/>
      <c r="BS18" s="67"/>
      <c r="BT18" s="67"/>
      <c r="BU18" s="183"/>
      <c r="BV18" s="1"/>
      <c r="BW18">
        <f t="shared" si="11"/>
        <v>9</v>
      </c>
      <c r="CL18" s="56"/>
    </row>
    <row r="19" spans="2:90" x14ac:dyDescent="0.3">
      <c r="B19" s="390">
        <f t="shared" si="6"/>
        <v>43919</v>
      </c>
      <c r="D19" s="17">
        <v>19913</v>
      </c>
      <c r="E19" s="16"/>
      <c r="F19" s="16"/>
      <c r="G19" s="16"/>
      <c r="H19" s="16">
        <f t="shared" si="0"/>
        <v>143491</v>
      </c>
      <c r="I19" s="16"/>
      <c r="J19" s="38">
        <f t="shared" si="1"/>
        <v>0.16113709559954037</v>
      </c>
      <c r="K19" s="60"/>
      <c r="L19" s="60"/>
      <c r="M19" s="60"/>
      <c r="N19" s="60"/>
      <c r="O19" s="16">
        <f t="shared" si="2"/>
        <v>14349.1</v>
      </c>
      <c r="P19" s="42"/>
      <c r="Q19" s="453"/>
      <c r="R19" s="60"/>
      <c r="S19" s="60"/>
      <c r="T19" s="60"/>
      <c r="U19" s="42"/>
      <c r="V19" s="391"/>
      <c r="W19" s="34">
        <v>363</v>
      </c>
      <c r="X19" s="33"/>
      <c r="Y19" s="33"/>
      <c r="Z19" s="33"/>
      <c r="AA19" s="33">
        <f t="shared" si="3"/>
        <v>2583</v>
      </c>
      <c r="AB19" s="33"/>
      <c r="AC19" s="46">
        <f t="shared" si="4"/>
        <v>1.8001128990668403E-2</v>
      </c>
      <c r="AD19" s="231"/>
      <c r="AE19" s="33">
        <f t="shared" si="5"/>
        <v>258.3</v>
      </c>
      <c r="AF19" s="50"/>
      <c r="AG19" s="33"/>
      <c r="AH19" s="33"/>
      <c r="AI19" s="33"/>
      <c r="AJ19" s="49"/>
      <c r="AK19" s="391"/>
      <c r="AL19" s="23">
        <f t="shared" si="7"/>
        <v>1328</v>
      </c>
      <c r="AM19" s="24"/>
      <c r="AN19" s="24"/>
      <c r="AO19" s="24"/>
      <c r="AP19" s="24">
        <v>4559</v>
      </c>
      <c r="AQ19" s="24"/>
      <c r="AR19" s="25">
        <f t="shared" si="8"/>
        <v>0.41101826060043328</v>
      </c>
      <c r="AS19" s="25"/>
      <c r="AT19" s="25"/>
      <c r="AU19" s="24"/>
      <c r="AV19" s="341">
        <f t="shared" si="9"/>
        <v>3.1772027513920734E-2</v>
      </c>
      <c r="AW19" s="341"/>
      <c r="AX19" s="24">
        <f t="shared" si="10"/>
        <v>455.9</v>
      </c>
      <c r="AY19" s="351"/>
      <c r="AZ19" s="391"/>
      <c r="BA19" s="66"/>
      <c r="BB19" s="67"/>
      <c r="BC19" s="67"/>
      <c r="BD19" s="67"/>
      <c r="BE19" s="67"/>
      <c r="BF19" s="67"/>
      <c r="BG19" s="67"/>
      <c r="BH19" s="67"/>
      <c r="BI19" s="183"/>
      <c r="BJ19" s="67"/>
      <c r="BK19" s="67"/>
      <c r="BL19" s="67"/>
      <c r="BM19" s="67"/>
      <c r="BN19" s="66"/>
      <c r="BO19" s="67"/>
      <c r="BP19" s="67"/>
      <c r="BQ19" s="67"/>
      <c r="BR19" s="70"/>
      <c r="BS19" s="67"/>
      <c r="BT19" s="67"/>
      <c r="BU19" s="183"/>
      <c r="BV19" s="1"/>
      <c r="BW19">
        <f t="shared" si="11"/>
        <v>10</v>
      </c>
      <c r="CL19" s="56"/>
    </row>
    <row r="20" spans="2:90" x14ac:dyDescent="0.3">
      <c r="B20" s="171">
        <f t="shared" si="6"/>
        <v>43920</v>
      </c>
      <c r="D20" s="17">
        <v>20353</v>
      </c>
      <c r="E20" s="16"/>
      <c r="F20" s="16"/>
      <c r="G20" s="16"/>
      <c r="H20" s="16">
        <f t="shared" si="0"/>
        <v>163844</v>
      </c>
      <c r="I20" s="16"/>
      <c r="J20" s="38">
        <f t="shared" si="1"/>
        <v>0.14184164860513901</v>
      </c>
      <c r="K20" s="60"/>
      <c r="L20" s="60"/>
      <c r="M20" s="60"/>
      <c r="N20" s="60"/>
      <c r="O20" s="16">
        <f t="shared" si="2"/>
        <v>14894.90909090909</v>
      </c>
      <c r="P20" s="42"/>
      <c r="Q20" s="453"/>
      <c r="R20" s="60"/>
      <c r="S20" s="60"/>
      <c r="T20" s="60"/>
      <c r="U20" s="42"/>
      <c r="V20" s="10"/>
      <c r="W20" s="34">
        <f>573-15</f>
        <v>558</v>
      </c>
      <c r="X20" s="33"/>
      <c r="Y20" s="33"/>
      <c r="Z20" s="33"/>
      <c r="AA20" s="33">
        <f t="shared" si="3"/>
        <v>3141</v>
      </c>
      <c r="AB20" s="33"/>
      <c r="AC20" s="46">
        <f t="shared" si="4"/>
        <v>1.9170674544078514E-2</v>
      </c>
      <c r="AD20" s="231"/>
      <c r="AE20" s="33">
        <f t="shared" si="5"/>
        <v>285.54545454545456</v>
      </c>
      <c r="AF20" s="50"/>
      <c r="AG20" s="33"/>
      <c r="AH20" s="33"/>
      <c r="AI20" s="33"/>
      <c r="AJ20" s="49"/>
      <c r="AK20" s="10"/>
      <c r="AL20" s="23">
        <f t="shared" si="7"/>
        <v>947</v>
      </c>
      <c r="AM20" s="24"/>
      <c r="AN20" s="24"/>
      <c r="AO20" s="24"/>
      <c r="AP20" s="24">
        <v>5506</v>
      </c>
      <c r="AQ20" s="24"/>
      <c r="AR20" s="25">
        <f t="shared" si="8"/>
        <v>0.20772099144549244</v>
      </c>
      <c r="AS20" s="25"/>
      <c r="AT20" s="25"/>
      <c r="AU20" s="24"/>
      <c r="AV20" s="341">
        <f t="shared" si="9"/>
        <v>3.3605136593344888E-2</v>
      </c>
      <c r="AW20" s="341"/>
      <c r="AX20" s="24">
        <f t="shared" si="10"/>
        <v>500.54545454545456</v>
      </c>
      <c r="AY20" s="351"/>
      <c r="AZ20" s="10"/>
      <c r="BA20" s="66"/>
      <c r="BB20" s="67"/>
      <c r="BC20" s="67"/>
      <c r="BD20" s="67"/>
      <c r="BE20" s="67"/>
      <c r="BF20" s="67"/>
      <c r="BG20" s="67"/>
      <c r="BH20" s="67"/>
      <c r="BI20" s="183"/>
      <c r="BJ20" s="67"/>
      <c r="BK20" s="67"/>
      <c r="BL20" s="67"/>
      <c r="BM20" s="67"/>
      <c r="BN20" s="66"/>
      <c r="BO20" s="67"/>
      <c r="BP20" s="67"/>
      <c r="BQ20" s="67"/>
      <c r="BR20" s="70"/>
      <c r="BS20" s="67"/>
      <c r="BT20" s="67"/>
      <c r="BU20" s="183"/>
      <c r="BV20" s="1"/>
      <c r="BW20">
        <f t="shared" si="11"/>
        <v>11</v>
      </c>
      <c r="CL20" s="56"/>
    </row>
    <row r="21" spans="2:90" x14ac:dyDescent="0.3">
      <c r="B21" s="171">
        <f t="shared" si="6"/>
        <v>43921</v>
      </c>
      <c r="D21" s="17">
        <v>24742</v>
      </c>
      <c r="E21" s="16"/>
      <c r="F21" s="16"/>
      <c r="G21" s="16"/>
      <c r="H21" s="16">
        <f t="shared" si="0"/>
        <v>188586</v>
      </c>
      <c r="I21" s="16"/>
      <c r="J21" s="38">
        <f t="shared" si="1"/>
        <v>0.1510094968384561</v>
      </c>
      <c r="K21" s="60"/>
      <c r="L21" s="60"/>
      <c r="M21" s="60"/>
      <c r="N21" s="60"/>
      <c r="O21" s="16">
        <f t="shared" si="2"/>
        <v>15715.5</v>
      </c>
      <c r="P21" s="42"/>
      <c r="Q21" s="453"/>
      <c r="R21" s="60"/>
      <c r="S21" s="60"/>
      <c r="T21" s="60"/>
      <c r="U21" s="42"/>
      <c r="V21" s="1"/>
      <c r="W21" s="34">
        <f>748+164</f>
        <v>912</v>
      </c>
      <c r="X21" s="33"/>
      <c r="Y21" s="33"/>
      <c r="Z21" s="33"/>
      <c r="AA21" s="33">
        <f t="shared" si="3"/>
        <v>4053</v>
      </c>
      <c r="AB21" s="33"/>
      <c r="AC21" s="46">
        <f t="shared" si="4"/>
        <v>2.1491521109732431E-2</v>
      </c>
      <c r="AD21" s="33"/>
      <c r="AE21" s="33">
        <f t="shared" si="5"/>
        <v>337.75</v>
      </c>
      <c r="AF21" s="50"/>
      <c r="AG21" s="33"/>
      <c r="AH21" s="33"/>
      <c r="AI21" s="33"/>
      <c r="AJ21" s="50"/>
      <c r="AK21" s="1"/>
      <c r="AL21" s="23">
        <f t="shared" si="7"/>
        <v>1745</v>
      </c>
      <c r="AM21" s="24"/>
      <c r="AN21" s="24"/>
      <c r="AO21" s="24"/>
      <c r="AP21" s="24">
        <v>7251</v>
      </c>
      <c r="AQ21" s="24"/>
      <c r="AR21" s="25">
        <f t="shared" si="8"/>
        <v>0.31692698873955683</v>
      </c>
      <c r="AS21" s="25"/>
      <c r="AT21" s="25"/>
      <c r="AU21" s="24"/>
      <c r="AV21" s="341">
        <f t="shared" si="9"/>
        <v>3.8449301644872896E-2</v>
      </c>
      <c r="AW21" s="341"/>
      <c r="AX21" s="24">
        <f t="shared" si="10"/>
        <v>604.25</v>
      </c>
      <c r="AY21" s="351"/>
      <c r="AZ21" s="1"/>
      <c r="BA21" s="66"/>
      <c r="BB21" s="67"/>
      <c r="BC21" s="67"/>
      <c r="BD21" s="67"/>
      <c r="BE21" s="67"/>
      <c r="BF21" s="67"/>
      <c r="BG21" s="67"/>
      <c r="BH21" s="67"/>
      <c r="BI21" s="183"/>
      <c r="BJ21" s="67"/>
      <c r="BK21" s="67"/>
      <c r="BL21" s="67"/>
      <c r="BM21" s="67"/>
      <c r="BN21" s="66"/>
      <c r="BO21" s="67"/>
      <c r="BP21" s="67"/>
      <c r="BQ21" s="67"/>
      <c r="BR21" s="70"/>
      <c r="BS21" s="67"/>
      <c r="BT21" s="67"/>
      <c r="BU21" s="183"/>
      <c r="BV21" s="1"/>
      <c r="BW21">
        <f t="shared" si="11"/>
        <v>12</v>
      </c>
      <c r="CL21" s="56"/>
    </row>
    <row r="22" spans="2:90" x14ac:dyDescent="0.3">
      <c r="B22" s="171">
        <f t="shared" si="6"/>
        <v>43922</v>
      </c>
      <c r="D22" s="17">
        <v>26473</v>
      </c>
      <c r="E22" s="16"/>
      <c r="F22" s="16"/>
      <c r="G22" s="16"/>
      <c r="H22" s="16">
        <f t="shared" si="0"/>
        <v>215059</v>
      </c>
      <c r="I22" s="16"/>
      <c r="J22" s="38">
        <f t="shared" si="1"/>
        <v>0.14037627395458835</v>
      </c>
      <c r="K22" s="60"/>
      <c r="L22" s="60"/>
      <c r="M22" s="60"/>
      <c r="N22" s="60"/>
      <c r="O22" s="16">
        <f t="shared" si="2"/>
        <v>16543</v>
      </c>
      <c r="P22" s="42"/>
      <c r="Q22" s="453"/>
      <c r="R22" s="60"/>
      <c r="S22" s="60"/>
      <c r="T22" s="60"/>
      <c r="U22" s="42"/>
      <c r="V22" s="1"/>
      <c r="W22" s="34">
        <f>1046+3</f>
        <v>1049</v>
      </c>
      <c r="X22" s="33"/>
      <c r="Y22" s="33"/>
      <c r="Z22" s="33"/>
      <c r="AA22" s="33">
        <f t="shared" si="3"/>
        <v>5102</v>
      </c>
      <c r="AB22" s="33"/>
      <c r="AC22" s="46">
        <f t="shared" si="4"/>
        <v>2.3723722327361328E-2</v>
      </c>
      <c r="AD22" s="33"/>
      <c r="AE22" s="33">
        <f t="shared" si="5"/>
        <v>392.46153846153845</v>
      </c>
      <c r="AF22" s="50"/>
      <c r="AG22" s="33"/>
      <c r="AH22" s="33"/>
      <c r="AI22" s="33"/>
      <c r="AJ22" s="50"/>
      <c r="AK22" s="1"/>
      <c r="AL22" s="23">
        <f t="shared" si="7"/>
        <v>1627</v>
      </c>
      <c r="AM22" s="24"/>
      <c r="AN22" s="24"/>
      <c r="AO22" s="24"/>
      <c r="AP22" s="24">
        <v>8878</v>
      </c>
      <c r="AQ22" s="24"/>
      <c r="AR22" s="25">
        <f t="shared" si="8"/>
        <v>0.22438284374569026</v>
      </c>
      <c r="AS22" s="25"/>
      <c r="AT22" s="25"/>
      <c r="AU22" s="24"/>
      <c r="AV22" s="341">
        <f t="shared" si="9"/>
        <v>4.1281694790731849E-2</v>
      </c>
      <c r="AW22" s="341"/>
      <c r="AX22" s="24">
        <f t="shared" si="10"/>
        <v>682.92307692307691</v>
      </c>
      <c r="AY22" s="351"/>
      <c r="AZ22" s="1"/>
      <c r="BA22" s="66"/>
      <c r="BB22" s="67"/>
      <c r="BC22" s="67"/>
      <c r="BD22" s="67"/>
      <c r="BE22" s="67"/>
      <c r="BF22" s="67"/>
      <c r="BG22" s="67"/>
      <c r="BH22" s="67"/>
      <c r="BI22" s="183"/>
      <c r="BJ22" s="67"/>
      <c r="BK22" s="67"/>
      <c r="BL22" s="67"/>
      <c r="BM22" s="67"/>
      <c r="BN22" s="66"/>
      <c r="BO22" s="67"/>
      <c r="BP22" s="67"/>
      <c r="BQ22" s="67"/>
      <c r="BR22" s="70"/>
      <c r="BS22" s="67"/>
      <c r="BT22" s="67"/>
      <c r="BU22" s="183"/>
      <c r="BV22" s="1"/>
      <c r="BW22">
        <f t="shared" si="11"/>
        <v>13</v>
      </c>
    </row>
    <row r="23" spans="2:90" x14ac:dyDescent="0.3">
      <c r="B23" s="171">
        <f t="shared" si="6"/>
        <v>43923</v>
      </c>
      <c r="D23" s="17">
        <f>29874-56</f>
        <v>29818</v>
      </c>
      <c r="E23" s="16"/>
      <c r="F23" s="16"/>
      <c r="G23" s="16"/>
      <c r="H23" s="16">
        <f t="shared" si="0"/>
        <v>244877</v>
      </c>
      <c r="I23" s="16"/>
      <c r="J23" s="38">
        <f t="shared" si="1"/>
        <v>0.1386503238646139</v>
      </c>
      <c r="K23" s="60"/>
      <c r="L23" s="60"/>
      <c r="M23" s="60"/>
      <c r="N23" s="60"/>
      <c r="O23" s="16">
        <f t="shared" si="2"/>
        <v>17491.214285714286</v>
      </c>
      <c r="P23" s="42"/>
      <c r="Q23" s="453"/>
      <c r="R23" s="60"/>
      <c r="S23" s="60"/>
      <c r="T23" s="60"/>
      <c r="U23" s="42"/>
      <c r="V23" s="1"/>
      <c r="W23" s="34">
        <f>968+6</f>
        <v>974</v>
      </c>
      <c r="X23" s="33"/>
      <c r="Y23" s="33"/>
      <c r="Z23" s="33"/>
      <c r="AA23" s="33">
        <f t="shared" si="3"/>
        <v>6076</v>
      </c>
      <c r="AB23" s="33"/>
      <c r="AC23" s="46">
        <f t="shared" si="4"/>
        <v>2.4812456866100122E-2</v>
      </c>
      <c r="AD23" s="33"/>
      <c r="AE23" s="33">
        <f t="shared" si="5"/>
        <v>434</v>
      </c>
      <c r="AF23" s="50"/>
      <c r="AG23" s="33"/>
      <c r="AH23" s="33"/>
      <c r="AI23" s="33"/>
      <c r="AJ23" s="50"/>
      <c r="AK23" s="1"/>
      <c r="AL23" s="23">
        <f t="shared" si="7"/>
        <v>1525</v>
      </c>
      <c r="AM23" s="24"/>
      <c r="AN23" s="24"/>
      <c r="AO23" s="24"/>
      <c r="AP23" s="24">
        <v>10403</v>
      </c>
      <c r="AQ23" s="24"/>
      <c r="AR23" s="25">
        <f t="shared" si="8"/>
        <v>0.17177292182924081</v>
      </c>
      <c r="AS23" s="25"/>
      <c r="AT23" s="25"/>
      <c r="AU23" s="24"/>
      <c r="AV23" s="341">
        <f t="shared" si="9"/>
        <v>4.2482552465115141E-2</v>
      </c>
      <c r="AW23" s="341"/>
      <c r="AX23" s="24">
        <f t="shared" si="10"/>
        <v>743.07142857142856</v>
      </c>
      <c r="AY23" s="351"/>
      <c r="AZ23" s="1"/>
      <c r="BA23" s="66"/>
      <c r="BB23" s="67"/>
      <c r="BC23" s="67"/>
      <c r="BD23" s="67"/>
      <c r="BE23" s="67"/>
      <c r="BF23" s="67"/>
      <c r="BG23" s="67"/>
      <c r="BH23" s="67"/>
      <c r="BI23" s="183"/>
      <c r="BJ23" s="67"/>
      <c r="BK23" s="67"/>
      <c r="BL23" s="67"/>
      <c r="BM23" s="67"/>
      <c r="BN23" s="66"/>
      <c r="BO23" s="67"/>
      <c r="BP23" s="67"/>
      <c r="BQ23" s="67"/>
      <c r="BR23" s="70"/>
      <c r="BS23" s="67"/>
      <c r="BT23" s="67"/>
      <c r="BU23" s="183"/>
      <c r="BV23" s="1"/>
      <c r="BW23">
        <f t="shared" si="11"/>
        <v>14</v>
      </c>
    </row>
    <row r="24" spans="2:90" x14ac:dyDescent="0.3">
      <c r="B24" s="171">
        <f t="shared" si="6"/>
        <v>43924</v>
      </c>
      <c r="D24" s="17">
        <v>32284</v>
      </c>
      <c r="E24" s="16"/>
      <c r="F24" s="16"/>
      <c r="G24" s="16"/>
      <c r="H24" s="16">
        <f>+H23+D24+2310</f>
        <v>279471</v>
      </c>
      <c r="I24" s="329" t="s">
        <v>47</v>
      </c>
      <c r="J24" s="38">
        <f t="shared" si="1"/>
        <v>0.13183761643600664</v>
      </c>
      <c r="K24" s="60"/>
      <c r="L24" s="60"/>
      <c r="M24" s="60"/>
      <c r="N24" s="60"/>
      <c r="O24" s="16">
        <f t="shared" si="2"/>
        <v>18631.400000000001</v>
      </c>
      <c r="P24" s="42"/>
      <c r="Q24" s="453"/>
      <c r="R24" s="60"/>
      <c r="S24" s="60"/>
      <c r="T24" s="60"/>
      <c r="U24" s="42"/>
      <c r="V24" s="1"/>
      <c r="W24" s="34">
        <f>7121-6076</f>
        <v>1045</v>
      </c>
      <c r="X24" s="33"/>
      <c r="Y24" s="33"/>
      <c r="Z24" s="33"/>
      <c r="AA24" s="33">
        <f>+AA23+W24+21+653</f>
        <v>7795</v>
      </c>
      <c r="AB24" s="339" t="s">
        <v>47</v>
      </c>
      <c r="AC24" s="46">
        <f t="shared" si="4"/>
        <v>2.7891981636735116E-2</v>
      </c>
      <c r="AD24" s="33"/>
      <c r="AE24" s="33">
        <f t="shared" si="5"/>
        <v>519.66666666666663</v>
      </c>
      <c r="AF24" s="50"/>
      <c r="AG24" s="33"/>
      <c r="AH24" s="33"/>
      <c r="AI24" s="33"/>
      <c r="AJ24" s="50"/>
      <c r="AK24" s="1"/>
      <c r="AL24" s="23">
        <f t="shared" si="7"/>
        <v>1835</v>
      </c>
      <c r="AM24" s="24"/>
      <c r="AN24" s="24"/>
      <c r="AO24" s="24"/>
      <c r="AP24" s="24">
        <v>12238</v>
      </c>
      <c r="AQ24" s="24"/>
      <c r="AR24" s="25">
        <f t="shared" si="8"/>
        <v>0.17639142555032203</v>
      </c>
      <c r="AS24" s="25"/>
      <c r="AT24" s="25"/>
      <c r="AU24" s="24"/>
      <c r="AV24" s="341">
        <f t="shared" si="9"/>
        <v>4.3789874441355278E-2</v>
      </c>
      <c r="AW24" s="341"/>
      <c r="AX24" s="24">
        <f t="shared" si="10"/>
        <v>815.86666666666667</v>
      </c>
      <c r="AY24" s="351"/>
      <c r="AZ24" s="1"/>
      <c r="BA24" s="66">
        <v>698344</v>
      </c>
      <c r="BB24" s="67"/>
      <c r="BC24" s="67">
        <f>+BA24</f>
        <v>698344</v>
      </c>
      <c r="BD24" s="67"/>
      <c r="BE24" s="67">
        <f t="shared" ref="BE24:BE68" si="12">+D24</f>
        <v>32284</v>
      </c>
      <c r="BF24" s="67"/>
      <c r="BG24" s="67"/>
      <c r="BH24" s="67"/>
      <c r="BI24" s="183"/>
      <c r="BJ24" s="67"/>
      <c r="BK24" s="67"/>
      <c r="BL24" s="67"/>
      <c r="BM24" s="67"/>
      <c r="BN24" s="66"/>
      <c r="BO24" s="67"/>
      <c r="BP24" s="67">
        <f>+BE24</f>
        <v>32284</v>
      </c>
      <c r="BQ24" s="67"/>
      <c r="BR24" s="74">
        <f t="shared" ref="BR24:BR68" si="13">+BP24/BC24</f>
        <v>4.6229365470312624E-2</v>
      </c>
      <c r="BS24" s="67"/>
      <c r="BT24" s="67"/>
      <c r="BU24" s="183"/>
      <c r="BV24" s="1"/>
      <c r="BW24">
        <f t="shared" si="11"/>
        <v>15</v>
      </c>
    </row>
    <row r="25" spans="2:90" x14ac:dyDescent="0.3">
      <c r="B25" s="476">
        <f t="shared" si="6"/>
        <v>43925</v>
      </c>
      <c r="D25" s="17">
        <v>34196</v>
      </c>
      <c r="E25" s="16"/>
      <c r="F25" s="16"/>
      <c r="G25" s="16"/>
      <c r="H25" s="16">
        <f t="shared" ref="H25:H34" si="14">+H24+D25</f>
        <v>313667</v>
      </c>
      <c r="I25" s="16"/>
      <c r="J25" s="38">
        <f t="shared" si="1"/>
        <v>0.12235974394481001</v>
      </c>
      <c r="K25" s="16"/>
      <c r="L25" s="16"/>
      <c r="M25" s="16"/>
      <c r="N25" s="16"/>
      <c r="O25" s="16">
        <f t="shared" si="2"/>
        <v>19604.1875</v>
      </c>
      <c r="P25" s="41"/>
      <c r="Q25" s="17"/>
      <c r="R25" s="16"/>
      <c r="S25" s="16"/>
      <c r="T25" s="16"/>
      <c r="U25" s="41"/>
      <c r="V25" s="477"/>
      <c r="W25" s="34">
        <f>1331-1</f>
        <v>1330</v>
      </c>
      <c r="X25" s="33"/>
      <c r="Y25" s="33"/>
      <c r="Z25" s="33"/>
      <c r="AA25" s="33">
        <f t="shared" ref="AA25:AA34" si="15">+AA24+W25</f>
        <v>9125</v>
      </c>
      <c r="AB25" s="33"/>
      <c r="AC25" s="46">
        <f t="shared" si="4"/>
        <v>2.9091361220657575E-2</v>
      </c>
      <c r="AD25" s="33"/>
      <c r="AE25" s="33">
        <f t="shared" si="5"/>
        <v>570.3125</v>
      </c>
      <c r="AF25" s="50"/>
      <c r="AG25" s="33"/>
      <c r="AH25" s="33"/>
      <c r="AI25" s="33"/>
      <c r="AJ25" s="50"/>
      <c r="AK25" s="1"/>
      <c r="AL25" s="23">
        <f t="shared" si="7"/>
        <v>2587</v>
      </c>
      <c r="AM25" s="24"/>
      <c r="AN25" s="24"/>
      <c r="AO25" s="24"/>
      <c r="AP25" s="24">
        <v>14825</v>
      </c>
      <c r="AQ25" s="24"/>
      <c r="AR25" s="25">
        <f t="shared" si="8"/>
        <v>0.21139075012256905</v>
      </c>
      <c r="AS25" s="25"/>
      <c r="AT25" s="25"/>
      <c r="AU25" s="24"/>
      <c r="AV25" s="341">
        <f t="shared" si="9"/>
        <v>4.726349918862998E-2</v>
      </c>
      <c r="AW25" s="341"/>
      <c r="AX25" s="24">
        <f t="shared" si="10"/>
        <v>926.5625</v>
      </c>
      <c r="AY25" s="351"/>
      <c r="AZ25" s="1"/>
      <c r="BA25" s="66">
        <v>934611</v>
      </c>
      <c r="BB25" s="67"/>
      <c r="BC25" s="67">
        <f>+BC24+BA25</f>
        <v>1632955</v>
      </c>
      <c r="BD25" s="67"/>
      <c r="BE25" s="67">
        <f t="shared" si="12"/>
        <v>34196</v>
      </c>
      <c r="BF25" s="67"/>
      <c r="BG25" s="67"/>
      <c r="BH25" s="67"/>
      <c r="BI25" s="183"/>
      <c r="BJ25" s="67"/>
      <c r="BK25" s="67"/>
      <c r="BL25" s="67"/>
      <c r="BM25" s="67"/>
      <c r="BN25" s="66"/>
      <c r="BO25" s="67"/>
      <c r="BP25" s="67">
        <f t="shared" ref="BP25:BP68" si="16">+BP24+BE25</f>
        <v>66480</v>
      </c>
      <c r="BQ25" s="67"/>
      <c r="BR25" s="74">
        <f t="shared" si="13"/>
        <v>4.0711470922346296E-2</v>
      </c>
      <c r="BS25" s="67"/>
      <c r="BT25" s="86"/>
      <c r="BU25" s="183"/>
      <c r="BV25" s="1"/>
      <c r="BW25">
        <f t="shared" si="11"/>
        <v>16</v>
      </c>
    </row>
    <row r="26" spans="2:90" x14ac:dyDescent="0.3">
      <c r="B26" s="390">
        <f t="shared" si="6"/>
        <v>43926</v>
      </c>
      <c r="D26" s="17">
        <v>25316</v>
      </c>
      <c r="E26" s="16"/>
      <c r="F26" s="16"/>
      <c r="G26" s="16"/>
      <c r="H26" s="16">
        <f t="shared" si="14"/>
        <v>338983</v>
      </c>
      <c r="I26" s="16"/>
      <c r="J26" s="38">
        <f t="shared" si="1"/>
        <v>8.0709797332840241E-2</v>
      </c>
      <c r="K26" s="16"/>
      <c r="L26" s="16"/>
      <c r="M26" s="16"/>
      <c r="N26" s="16"/>
      <c r="O26" s="16">
        <f t="shared" si="2"/>
        <v>19940.176470588234</v>
      </c>
      <c r="P26" s="41"/>
      <c r="Q26" s="17">
        <f>SUM(D20:D26)</f>
        <v>193182</v>
      </c>
      <c r="R26" s="16"/>
      <c r="S26" s="16"/>
      <c r="T26" s="16"/>
      <c r="U26" s="41"/>
      <c r="V26" s="391"/>
      <c r="W26" s="34">
        <v>1165</v>
      </c>
      <c r="X26" s="33"/>
      <c r="Y26" s="33"/>
      <c r="Z26" s="33"/>
      <c r="AA26" s="33">
        <f t="shared" si="15"/>
        <v>10290</v>
      </c>
      <c r="AB26" s="33"/>
      <c r="AC26" s="46">
        <f t="shared" si="4"/>
        <v>3.0355504553325682E-2</v>
      </c>
      <c r="AD26" s="33"/>
      <c r="AE26" s="33">
        <f t="shared" si="5"/>
        <v>605.29411764705878</v>
      </c>
      <c r="AF26" s="50"/>
      <c r="AG26" s="33">
        <f>SUM(W20:W26)</f>
        <v>7033</v>
      </c>
      <c r="AH26" s="33"/>
      <c r="AI26" s="33"/>
      <c r="AJ26" s="50"/>
      <c r="AK26" s="391"/>
      <c r="AL26" s="23">
        <f t="shared" si="7"/>
        <v>3152</v>
      </c>
      <c r="AM26" s="24"/>
      <c r="AN26" s="24"/>
      <c r="AO26" s="24"/>
      <c r="AP26" s="24">
        <v>17977</v>
      </c>
      <c r="AQ26" s="24"/>
      <c r="AR26" s="25">
        <f t="shared" si="8"/>
        <v>0.21261382799325465</v>
      </c>
      <c r="AS26" s="25"/>
      <c r="AT26" s="25"/>
      <c r="AU26" s="24"/>
      <c r="AV26" s="341">
        <f t="shared" si="9"/>
        <v>5.3032157954823696E-2</v>
      </c>
      <c r="AW26" s="341"/>
      <c r="AX26" s="24">
        <f t="shared" si="10"/>
        <v>1057.4705882352941</v>
      </c>
      <c r="AY26" s="351"/>
      <c r="AZ26" s="391"/>
      <c r="BA26" s="66">
        <v>139414</v>
      </c>
      <c r="BB26" s="67"/>
      <c r="BC26" s="67">
        <f>+BC25+BA26</f>
        <v>1772369</v>
      </c>
      <c r="BD26" s="67"/>
      <c r="BE26" s="67">
        <f t="shared" si="12"/>
        <v>25316</v>
      </c>
      <c r="BF26" s="67"/>
      <c r="BG26" s="67"/>
      <c r="BH26" s="67"/>
      <c r="BI26" s="183"/>
      <c r="BJ26" s="67"/>
      <c r="BK26" s="67"/>
      <c r="BL26" s="67"/>
      <c r="BM26" s="67"/>
      <c r="BN26" s="66"/>
      <c r="BO26" s="67"/>
      <c r="BP26" s="67">
        <f t="shared" si="16"/>
        <v>91796</v>
      </c>
      <c r="BQ26" s="67"/>
      <c r="BR26" s="74">
        <f t="shared" si="13"/>
        <v>5.1792826437384087E-2</v>
      </c>
      <c r="BS26" s="67"/>
      <c r="BT26" s="86"/>
      <c r="BU26" s="183"/>
      <c r="BV26" s="1"/>
      <c r="BW26">
        <f t="shared" si="11"/>
        <v>17</v>
      </c>
    </row>
    <row r="27" spans="2:90" x14ac:dyDescent="0.3">
      <c r="B27" s="171">
        <f t="shared" si="6"/>
        <v>43927</v>
      </c>
      <c r="D27" s="17">
        <v>31210</v>
      </c>
      <c r="E27" s="16"/>
      <c r="F27" s="16"/>
      <c r="G27" s="16"/>
      <c r="H27" s="16">
        <f t="shared" si="14"/>
        <v>370193</v>
      </c>
      <c r="I27" s="16"/>
      <c r="J27" s="38">
        <f t="shared" si="1"/>
        <v>9.2069513810427078E-2</v>
      </c>
      <c r="K27" s="16"/>
      <c r="L27" s="16"/>
      <c r="M27" s="16"/>
      <c r="N27" s="16"/>
      <c r="O27" s="16">
        <f t="shared" si="2"/>
        <v>20566.277777777777</v>
      </c>
      <c r="P27" s="41"/>
      <c r="Q27" s="17"/>
      <c r="R27" s="16"/>
      <c r="S27" s="16"/>
      <c r="T27" s="16"/>
      <c r="U27" s="41"/>
      <c r="V27" s="10"/>
      <c r="W27" s="34">
        <v>1255</v>
      </c>
      <c r="X27" s="33"/>
      <c r="Y27" s="33"/>
      <c r="Z27" s="33"/>
      <c r="AA27" s="33">
        <f t="shared" si="15"/>
        <v>11545</v>
      </c>
      <c r="AB27" s="33"/>
      <c r="AC27" s="46">
        <f t="shared" si="4"/>
        <v>3.1186435183809525E-2</v>
      </c>
      <c r="AD27" s="33"/>
      <c r="AE27" s="33">
        <f t="shared" si="5"/>
        <v>641.38888888888891</v>
      </c>
      <c r="AF27" s="50"/>
      <c r="AG27" s="33"/>
      <c r="AH27" s="33"/>
      <c r="AI27" s="33"/>
      <c r="AJ27" s="50"/>
      <c r="AK27" s="10"/>
      <c r="AL27" s="23">
        <f t="shared" si="7"/>
        <v>1694</v>
      </c>
      <c r="AM27" s="24"/>
      <c r="AN27" s="24"/>
      <c r="AO27" s="24"/>
      <c r="AP27" s="24">
        <v>19671</v>
      </c>
      <c r="AQ27" s="24"/>
      <c r="AR27" s="25">
        <f t="shared" si="8"/>
        <v>9.4231518050842747E-2</v>
      </c>
      <c r="AS27" s="25"/>
      <c r="AT27" s="25"/>
      <c r="AU27" s="24"/>
      <c r="AV27" s="341">
        <f t="shared" si="9"/>
        <v>5.3137147379880227E-2</v>
      </c>
      <c r="AW27" s="341"/>
      <c r="AX27" s="24">
        <f t="shared" si="10"/>
        <v>1092.8333333333333</v>
      </c>
      <c r="AY27" s="351"/>
      <c r="AZ27" s="10"/>
      <c r="BA27" s="66">
        <f t="shared" ref="BA27:BA51" si="17">+BC27-BC26</f>
        <v>142171</v>
      </c>
      <c r="BB27" s="67"/>
      <c r="BC27" s="67">
        <v>1914540</v>
      </c>
      <c r="BD27" s="67"/>
      <c r="BE27" s="67">
        <f t="shared" si="12"/>
        <v>31210</v>
      </c>
      <c r="BF27" s="67"/>
      <c r="BG27" s="67"/>
      <c r="BH27" s="67"/>
      <c r="BI27" s="183"/>
      <c r="BJ27" s="67"/>
      <c r="BK27" s="67"/>
      <c r="BL27" s="67"/>
      <c r="BM27" s="67"/>
      <c r="BN27" s="66"/>
      <c r="BO27" s="67"/>
      <c r="BP27" s="67">
        <f t="shared" si="16"/>
        <v>123006</v>
      </c>
      <c r="BQ27" s="67"/>
      <c r="BR27" s="74">
        <f t="shared" si="13"/>
        <v>6.4248331191826755E-2</v>
      </c>
      <c r="BS27" s="67"/>
      <c r="BT27" s="86"/>
      <c r="BU27" s="183"/>
      <c r="BV27" s="1"/>
      <c r="BW27">
        <f t="shared" si="11"/>
        <v>18</v>
      </c>
    </row>
    <row r="28" spans="2:90" x14ac:dyDescent="0.3">
      <c r="B28" s="171">
        <f t="shared" si="6"/>
        <v>43928</v>
      </c>
      <c r="D28" s="17">
        <v>33460</v>
      </c>
      <c r="E28" s="16"/>
      <c r="F28" s="16"/>
      <c r="G28" s="16"/>
      <c r="H28" s="16">
        <f t="shared" si="14"/>
        <v>403653</v>
      </c>
      <c r="I28" s="16"/>
      <c r="J28" s="38">
        <f t="shared" si="1"/>
        <v>9.0385285513232286E-2</v>
      </c>
      <c r="K28" s="16"/>
      <c r="L28" s="16"/>
      <c r="M28" s="16"/>
      <c r="N28" s="16"/>
      <c r="O28" s="16">
        <f t="shared" si="2"/>
        <v>21244.894736842107</v>
      </c>
      <c r="P28" s="41"/>
      <c r="Q28" s="17"/>
      <c r="R28" s="16"/>
      <c r="S28" s="16"/>
      <c r="T28" s="16"/>
      <c r="U28" s="41"/>
      <c r="V28" s="1"/>
      <c r="W28" s="34">
        <v>1970</v>
      </c>
      <c r="X28" s="33"/>
      <c r="Y28" s="33"/>
      <c r="Z28" s="33"/>
      <c r="AA28" s="33">
        <f t="shared" si="15"/>
        <v>13515</v>
      </c>
      <c r="AB28" s="33"/>
      <c r="AC28" s="46">
        <f t="shared" si="4"/>
        <v>3.3481728117962704E-2</v>
      </c>
      <c r="AD28" s="33"/>
      <c r="AE28" s="33">
        <f t="shared" si="5"/>
        <v>711.31578947368416</v>
      </c>
      <c r="AF28" s="50"/>
      <c r="AG28" s="33"/>
      <c r="AH28" s="33"/>
      <c r="AI28" s="33"/>
      <c r="AJ28" s="50"/>
      <c r="AK28" s="1"/>
      <c r="AL28" s="23">
        <f t="shared" si="7"/>
        <v>2003</v>
      </c>
      <c r="AM28" s="24"/>
      <c r="AN28" s="24"/>
      <c r="AO28" s="24"/>
      <c r="AP28" s="24">
        <v>21674</v>
      </c>
      <c r="AQ28" s="24"/>
      <c r="AR28" s="25">
        <f t="shared" si="8"/>
        <v>0.10182502160540897</v>
      </c>
      <c r="AS28" s="25"/>
      <c r="AT28" s="25"/>
      <c r="AU28" s="24"/>
      <c r="AV28" s="341">
        <f t="shared" si="9"/>
        <v>5.3694633757212257E-2</v>
      </c>
      <c r="AW28" s="341"/>
      <c r="AX28" s="24">
        <f t="shared" si="10"/>
        <v>1140.7368421052631</v>
      </c>
      <c r="AY28" s="351"/>
      <c r="AZ28" s="1"/>
      <c r="BA28" s="66">
        <f t="shared" si="17"/>
        <v>161199</v>
      </c>
      <c r="BB28" s="67"/>
      <c r="BC28" s="67">
        <v>2075739</v>
      </c>
      <c r="BD28" s="67"/>
      <c r="BE28" s="67">
        <f t="shared" si="12"/>
        <v>33460</v>
      </c>
      <c r="BF28" s="67"/>
      <c r="BG28" s="67"/>
      <c r="BH28" s="67"/>
      <c r="BI28" s="183"/>
      <c r="BJ28" s="67"/>
      <c r="BK28" s="67"/>
      <c r="BL28" s="67"/>
      <c r="BM28" s="67"/>
      <c r="BN28" s="66"/>
      <c r="BO28" s="67"/>
      <c r="BP28" s="67">
        <f t="shared" si="16"/>
        <v>156466</v>
      </c>
      <c r="BQ28" s="67"/>
      <c r="BR28" s="74">
        <f t="shared" si="13"/>
        <v>7.5378455576544059E-2</v>
      </c>
      <c r="BS28" s="67"/>
      <c r="BT28" s="86"/>
      <c r="BU28" s="183"/>
      <c r="BV28" s="1"/>
      <c r="BW28">
        <f t="shared" si="11"/>
        <v>19</v>
      </c>
    </row>
    <row r="29" spans="2:90" x14ac:dyDescent="0.3">
      <c r="B29" s="171">
        <f t="shared" si="6"/>
        <v>43929</v>
      </c>
      <c r="D29" s="17">
        <v>31935</v>
      </c>
      <c r="E29" s="16"/>
      <c r="F29" s="16"/>
      <c r="G29" s="16"/>
      <c r="H29" s="16">
        <f t="shared" si="14"/>
        <v>435588</v>
      </c>
      <c r="I29" s="16"/>
      <c r="J29" s="38">
        <f t="shared" si="1"/>
        <v>7.9114982423021757E-2</v>
      </c>
      <c r="K29" s="16"/>
      <c r="L29" s="16"/>
      <c r="M29" s="16"/>
      <c r="N29" s="16"/>
      <c r="O29" s="16">
        <f t="shared" si="2"/>
        <v>21779.4</v>
      </c>
      <c r="P29" s="41"/>
      <c r="Q29" s="17"/>
      <c r="R29" s="16"/>
      <c r="S29" s="16"/>
      <c r="T29" s="16"/>
      <c r="U29" s="41"/>
      <c r="V29" s="1"/>
      <c r="W29" s="34">
        <f>1940+10</f>
        <v>1950</v>
      </c>
      <c r="X29" s="33"/>
      <c r="Y29" s="33"/>
      <c r="Z29" s="33"/>
      <c r="AA29" s="33">
        <f t="shared" si="15"/>
        <v>15465</v>
      </c>
      <c r="AB29" s="33"/>
      <c r="AC29" s="46">
        <f t="shared" si="4"/>
        <v>3.5503732885203448E-2</v>
      </c>
      <c r="AD29" s="33"/>
      <c r="AE29" s="33">
        <f t="shared" si="5"/>
        <v>773.25</v>
      </c>
      <c r="AF29" s="50"/>
      <c r="AG29" s="33"/>
      <c r="AH29" s="33"/>
      <c r="AI29" s="33"/>
      <c r="AJ29" s="50"/>
      <c r="AK29" s="1"/>
      <c r="AL29" s="23">
        <f t="shared" si="7"/>
        <v>1217</v>
      </c>
      <c r="AM29" s="24"/>
      <c r="AN29" s="24"/>
      <c r="AO29" s="24"/>
      <c r="AP29" s="24">
        <v>22891</v>
      </c>
      <c r="AQ29" s="24"/>
      <c r="AR29" s="25">
        <f t="shared" si="8"/>
        <v>5.6150226077327677E-2</v>
      </c>
      <c r="AS29" s="25"/>
      <c r="AT29" s="25"/>
      <c r="AU29" s="24"/>
      <c r="AV29" s="341">
        <f t="shared" si="9"/>
        <v>5.2551952762702372E-2</v>
      </c>
      <c r="AW29" s="341"/>
      <c r="AX29" s="24">
        <f t="shared" si="10"/>
        <v>1144.55</v>
      </c>
      <c r="AY29" s="351"/>
      <c r="AZ29" s="1"/>
      <c r="BA29" s="66">
        <f t="shared" si="17"/>
        <v>133302</v>
      </c>
      <c r="BB29" s="67"/>
      <c r="BC29" s="67">
        <v>2209041</v>
      </c>
      <c r="BD29" s="67"/>
      <c r="BE29" s="67">
        <f t="shared" si="12"/>
        <v>31935</v>
      </c>
      <c r="BF29" s="67"/>
      <c r="BG29" s="67"/>
      <c r="BH29" s="67"/>
      <c r="BI29" s="183"/>
      <c r="BJ29" s="67"/>
      <c r="BK29" s="67"/>
      <c r="BL29" s="67"/>
      <c r="BM29" s="67"/>
      <c r="BN29" s="66"/>
      <c r="BO29" s="67"/>
      <c r="BP29" s="67">
        <f t="shared" si="16"/>
        <v>188401</v>
      </c>
      <c r="BQ29" s="67"/>
      <c r="BR29" s="74">
        <f t="shared" si="13"/>
        <v>8.528633013149145E-2</v>
      </c>
      <c r="BS29" s="67"/>
      <c r="BT29" s="86"/>
      <c r="BU29" s="183"/>
      <c r="BV29" s="1"/>
      <c r="BW29">
        <f t="shared" si="11"/>
        <v>20</v>
      </c>
    </row>
    <row r="30" spans="2:90" x14ac:dyDescent="0.3">
      <c r="B30" s="171">
        <f t="shared" si="6"/>
        <v>43930</v>
      </c>
      <c r="D30" s="17">
        <v>33536</v>
      </c>
      <c r="E30" s="16"/>
      <c r="F30" s="16"/>
      <c r="G30" s="16"/>
      <c r="H30" s="16">
        <f t="shared" si="14"/>
        <v>469124</v>
      </c>
      <c r="I30" s="16"/>
      <c r="J30" s="38">
        <f t="shared" si="1"/>
        <v>7.699018338429893E-2</v>
      </c>
      <c r="K30" s="16"/>
      <c r="L30" s="16"/>
      <c r="M30" s="16"/>
      <c r="N30" s="16"/>
      <c r="O30" s="16">
        <f t="shared" si="2"/>
        <v>22339.238095238095</v>
      </c>
      <c r="P30" s="41"/>
      <c r="Q30" s="17"/>
      <c r="R30" s="16"/>
      <c r="S30" s="16"/>
      <c r="T30" s="16"/>
      <c r="U30" s="41"/>
      <c r="V30" s="1"/>
      <c r="W30" s="34">
        <v>1900</v>
      </c>
      <c r="X30" s="33"/>
      <c r="Y30" s="33"/>
      <c r="Z30" s="33"/>
      <c r="AA30" s="33">
        <f t="shared" si="15"/>
        <v>17365</v>
      </c>
      <c r="AB30" s="33"/>
      <c r="AC30" s="46">
        <f t="shared" si="4"/>
        <v>3.7015799660644097E-2</v>
      </c>
      <c r="AD30" s="33"/>
      <c r="AE30" s="33">
        <f t="shared" si="5"/>
        <v>826.90476190476193</v>
      </c>
      <c r="AF30" s="50"/>
      <c r="AG30" s="33"/>
      <c r="AH30" s="33"/>
      <c r="AI30" s="33"/>
      <c r="AJ30" s="50"/>
      <c r="AK30" s="1"/>
      <c r="AL30" s="23">
        <f t="shared" si="7"/>
        <v>3037</v>
      </c>
      <c r="AM30" s="24"/>
      <c r="AN30" s="24"/>
      <c r="AO30" s="24"/>
      <c r="AP30" s="24">
        <v>25928</v>
      </c>
      <c r="AQ30" s="24"/>
      <c r="AR30" s="25">
        <f t="shared" si="8"/>
        <v>0.13267222926040803</v>
      </c>
      <c r="AS30" s="25"/>
      <c r="AT30" s="25"/>
      <c r="AU30" s="24"/>
      <c r="AV30" s="341">
        <f t="shared" si="9"/>
        <v>5.5268969398282755E-2</v>
      </c>
      <c r="AW30" s="341"/>
      <c r="AX30" s="24">
        <f t="shared" si="10"/>
        <v>1234.6666666666667</v>
      </c>
      <c r="AY30" s="351"/>
      <c r="AZ30" s="1"/>
      <c r="BA30" s="66">
        <f t="shared" si="17"/>
        <v>144055</v>
      </c>
      <c r="BB30" s="67"/>
      <c r="BC30" s="67">
        <v>2353096</v>
      </c>
      <c r="BD30" s="67"/>
      <c r="BE30" s="67">
        <f t="shared" si="12"/>
        <v>33536</v>
      </c>
      <c r="BF30" s="67"/>
      <c r="BG30" s="67"/>
      <c r="BH30" s="67"/>
      <c r="BI30" s="183"/>
      <c r="BJ30" s="67"/>
      <c r="BK30" s="67"/>
      <c r="BL30" s="67"/>
      <c r="BM30" s="67"/>
      <c r="BN30" s="66"/>
      <c r="BO30" s="67"/>
      <c r="BP30" s="67">
        <f t="shared" si="16"/>
        <v>221937</v>
      </c>
      <c r="BQ30" s="67"/>
      <c r="BR30" s="74">
        <f t="shared" si="13"/>
        <v>9.4317018940153735E-2</v>
      </c>
      <c r="BS30" s="67"/>
      <c r="BT30" s="86"/>
      <c r="BU30" s="183"/>
      <c r="BV30" s="1"/>
      <c r="BW30">
        <f t="shared" si="11"/>
        <v>21</v>
      </c>
    </row>
    <row r="31" spans="2:90" x14ac:dyDescent="0.3">
      <c r="B31" s="171">
        <f t="shared" si="6"/>
        <v>43931</v>
      </c>
      <c r="D31" s="17">
        <v>33752</v>
      </c>
      <c r="E31" s="16"/>
      <c r="F31" s="16"/>
      <c r="G31" s="16"/>
      <c r="H31" s="16">
        <f t="shared" si="14"/>
        <v>502876</v>
      </c>
      <c r="I31" s="16"/>
      <c r="J31" s="38">
        <f t="shared" si="1"/>
        <v>7.1946862663176472E-2</v>
      </c>
      <c r="K31" s="16"/>
      <c r="L31" s="16"/>
      <c r="M31" s="16"/>
      <c r="N31" s="16"/>
      <c r="O31" s="16">
        <f t="shared" si="2"/>
        <v>22858</v>
      </c>
      <c r="P31" s="41"/>
      <c r="Q31" s="17"/>
      <c r="R31" s="16"/>
      <c r="S31" s="16"/>
      <c r="T31" s="16"/>
      <c r="U31" s="41"/>
      <c r="V31" s="1"/>
      <c r="W31" s="34">
        <v>2035</v>
      </c>
      <c r="X31" s="33"/>
      <c r="Y31" s="33"/>
      <c r="Z31" s="33"/>
      <c r="AA31" s="33">
        <f t="shared" si="15"/>
        <v>19400</v>
      </c>
      <c r="AB31" s="33"/>
      <c r="AC31" s="46">
        <f t="shared" si="4"/>
        <v>3.8578098775841362E-2</v>
      </c>
      <c r="AD31" s="33"/>
      <c r="AE31" s="33">
        <f t="shared" si="5"/>
        <v>881.81818181818187</v>
      </c>
      <c r="AF31" s="50"/>
      <c r="AG31" s="33"/>
      <c r="AH31" s="33"/>
      <c r="AI31" s="33"/>
      <c r="AJ31" s="50"/>
      <c r="AK31" s="1"/>
      <c r="AL31" s="23">
        <f t="shared" si="7"/>
        <v>1386</v>
      </c>
      <c r="AM31" s="24"/>
      <c r="AN31" s="24"/>
      <c r="AO31" s="24"/>
      <c r="AP31" s="24">
        <v>27314</v>
      </c>
      <c r="AQ31" s="24"/>
      <c r="AR31" s="25">
        <f t="shared" si="8"/>
        <v>5.3455723542116633E-2</v>
      </c>
      <c r="AS31" s="25"/>
      <c r="AT31" s="25"/>
      <c r="AU31" s="24"/>
      <c r="AV31" s="341">
        <f t="shared" si="9"/>
        <v>5.4315576802233555E-2</v>
      </c>
      <c r="AW31" s="341"/>
      <c r="AX31" s="24">
        <f t="shared" si="10"/>
        <v>1241.5454545454545</v>
      </c>
      <c r="AY31" s="351"/>
      <c r="AZ31" s="1"/>
      <c r="BA31" s="66">
        <f t="shared" si="17"/>
        <v>185792</v>
      </c>
      <c r="BB31" s="67"/>
      <c r="BC31" s="67">
        <v>2538888</v>
      </c>
      <c r="BD31" s="67"/>
      <c r="BE31" s="67">
        <f t="shared" si="12"/>
        <v>33752</v>
      </c>
      <c r="BF31" s="67"/>
      <c r="BG31" s="67"/>
      <c r="BH31" s="67"/>
      <c r="BI31" s="183"/>
      <c r="BJ31" s="67"/>
      <c r="BK31" s="67"/>
      <c r="BL31" s="67"/>
      <c r="BM31" s="67"/>
      <c r="BN31" s="66"/>
      <c r="BO31" s="67"/>
      <c r="BP31" s="67">
        <f t="shared" si="16"/>
        <v>255689</v>
      </c>
      <c r="BQ31" s="67"/>
      <c r="BR31" s="74">
        <f t="shared" si="13"/>
        <v>0.10070905057647285</v>
      </c>
      <c r="BS31" s="67"/>
      <c r="BT31" s="86"/>
      <c r="BU31" s="183"/>
      <c r="BV31" s="1"/>
      <c r="BW31">
        <f t="shared" si="11"/>
        <v>22</v>
      </c>
    </row>
    <row r="32" spans="2:90" x14ac:dyDescent="0.3">
      <c r="B32" s="476">
        <f t="shared" si="6"/>
        <v>43932</v>
      </c>
      <c r="D32" s="17">
        <v>30003</v>
      </c>
      <c r="E32" s="16"/>
      <c r="F32" s="16"/>
      <c r="G32" s="16"/>
      <c r="H32" s="16">
        <f t="shared" si="14"/>
        <v>532879</v>
      </c>
      <c r="I32" s="16"/>
      <c r="J32" s="38">
        <f t="shared" si="1"/>
        <v>5.9662819462451978E-2</v>
      </c>
      <c r="K32" s="16"/>
      <c r="L32" s="16"/>
      <c r="M32" s="16"/>
      <c r="N32" s="16"/>
      <c r="O32" s="16">
        <f t="shared" si="2"/>
        <v>23168.652173913044</v>
      </c>
      <c r="P32" s="41"/>
      <c r="Q32" s="17"/>
      <c r="R32" s="16"/>
      <c r="S32" s="60"/>
      <c r="T32" s="16"/>
      <c r="U32" s="41"/>
      <c r="V32" s="477"/>
      <c r="W32" s="34">
        <v>1830</v>
      </c>
      <c r="X32" s="33"/>
      <c r="Y32" s="33"/>
      <c r="Z32" s="33"/>
      <c r="AA32" s="33">
        <f t="shared" si="15"/>
        <v>21230</v>
      </c>
      <c r="AB32" s="33"/>
      <c r="AC32" s="46">
        <f t="shared" si="4"/>
        <v>3.9840188860885868E-2</v>
      </c>
      <c r="AD32" s="33"/>
      <c r="AE32" s="33">
        <f t="shared" si="5"/>
        <v>923.04347826086962</v>
      </c>
      <c r="AF32" s="50"/>
      <c r="AG32" s="33"/>
      <c r="AH32" s="33"/>
      <c r="AI32" s="231"/>
      <c r="AJ32" s="50"/>
      <c r="AK32" s="1"/>
      <c r="AL32" s="23">
        <f t="shared" si="7"/>
        <v>3139</v>
      </c>
      <c r="AM32" s="24"/>
      <c r="AN32" s="24"/>
      <c r="AO32" s="24"/>
      <c r="AP32" s="24">
        <v>30453</v>
      </c>
      <c r="AQ32" s="24"/>
      <c r="AR32" s="25">
        <f t="shared" si="8"/>
        <v>0.1149227502379732</v>
      </c>
      <c r="AS32" s="25"/>
      <c r="AT32" s="25"/>
      <c r="AU32" s="24"/>
      <c r="AV32" s="341">
        <f t="shared" si="9"/>
        <v>5.7148058001910376E-2</v>
      </c>
      <c r="AW32" s="341"/>
      <c r="AX32" s="24">
        <f t="shared" si="10"/>
        <v>1324.0434782608695</v>
      </c>
      <c r="AY32" s="351"/>
      <c r="AZ32" s="1"/>
      <c r="BA32" s="66">
        <f t="shared" si="17"/>
        <v>131786</v>
      </c>
      <c r="BB32" s="67"/>
      <c r="BC32" s="67">
        <v>2670674</v>
      </c>
      <c r="BD32" s="67"/>
      <c r="BE32" s="67">
        <f t="shared" si="12"/>
        <v>30003</v>
      </c>
      <c r="BF32" s="67"/>
      <c r="BG32" s="67"/>
      <c r="BH32" s="67"/>
      <c r="BI32" s="183"/>
      <c r="BJ32" s="67"/>
      <c r="BK32" s="67"/>
      <c r="BL32" s="67"/>
      <c r="BM32" s="67"/>
      <c r="BN32" s="66"/>
      <c r="BO32" s="67"/>
      <c r="BP32" s="67">
        <f t="shared" si="16"/>
        <v>285692</v>
      </c>
      <c r="BQ32" s="67"/>
      <c r="BR32" s="74">
        <f t="shared" si="13"/>
        <v>0.10697374520439409</v>
      </c>
      <c r="BS32" s="67"/>
      <c r="BT32" s="86"/>
      <c r="BU32" s="183"/>
      <c r="BV32" s="1"/>
      <c r="BW32">
        <f t="shared" si="11"/>
        <v>23</v>
      </c>
    </row>
    <row r="33" spans="2:75" x14ac:dyDescent="0.3">
      <c r="B33" s="390">
        <f t="shared" si="6"/>
        <v>43933</v>
      </c>
      <c r="D33" s="17">
        <v>27421</v>
      </c>
      <c r="E33" s="16"/>
      <c r="F33" s="16"/>
      <c r="G33" s="16"/>
      <c r="H33" s="16">
        <f t="shared" si="14"/>
        <v>560300</v>
      </c>
      <c r="I33" s="16"/>
      <c r="J33" s="38">
        <f t="shared" si="1"/>
        <v>5.14582109634645E-2</v>
      </c>
      <c r="K33" s="16"/>
      <c r="L33" s="16"/>
      <c r="M33" s="16"/>
      <c r="N33" s="16"/>
      <c r="O33" s="16">
        <f t="shared" si="2"/>
        <v>23345.833333333332</v>
      </c>
      <c r="P33" s="41"/>
      <c r="Q33" s="17">
        <f>SUM(D27:D33)</f>
        <v>221317</v>
      </c>
      <c r="R33" s="16"/>
      <c r="S33" s="60">
        <f>+(Q33-Q26)/Q26</f>
        <v>0.14563986292718784</v>
      </c>
      <c r="T33" s="16"/>
      <c r="U33" s="41"/>
      <c r="V33" s="391"/>
      <c r="W33" s="34">
        <v>1528</v>
      </c>
      <c r="X33" s="33"/>
      <c r="Y33" s="33"/>
      <c r="Z33" s="33"/>
      <c r="AA33" s="33">
        <f t="shared" si="15"/>
        <v>22758</v>
      </c>
      <c r="AB33" s="33"/>
      <c r="AC33" s="46">
        <f t="shared" si="4"/>
        <v>4.0617526325182937E-2</v>
      </c>
      <c r="AD33" s="33"/>
      <c r="AE33" s="33">
        <f t="shared" si="5"/>
        <v>948.25</v>
      </c>
      <c r="AF33" s="50"/>
      <c r="AG33" s="33">
        <f>SUM(W27:W33)</f>
        <v>12468</v>
      </c>
      <c r="AH33" s="33"/>
      <c r="AI33" s="231">
        <f>+(AG33-AG26)/AG26</f>
        <v>0.77278544006824967</v>
      </c>
      <c r="AJ33" s="50"/>
      <c r="AK33" s="391"/>
      <c r="AL33" s="23">
        <f t="shared" si="7"/>
        <v>2181</v>
      </c>
      <c r="AM33" s="24"/>
      <c r="AN33" s="24"/>
      <c r="AO33" s="24"/>
      <c r="AP33" s="24">
        <v>32634</v>
      </c>
      <c r="AQ33" s="24"/>
      <c r="AR33" s="25">
        <f t="shared" si="8"/>
        <v>7.1618559747808092E-2</v>
      </c>
      <c r="AS33" s="25"/>
      <c r="AT33" s="25"/>
      <c r="AU33" s="24"/>
      <c r="AV33" s="341">
        <f t="shared" si="9"/>
        <v>5.8243797965375689E-2</v>
      </c>
      <c r="AW33" s="341"/>
      <c r="AX33" s="24">
        <f t="shared" si="10"/>
        <v>1359.75</v>
      </c>
      <c r="AY33" s="351"/>
      <c r="AZ33" s="391"/>
      <c r="BA33" s="66">
        <f t="shared" si="17"/>
        <v>161584</v>
      </c>
      <c r="BB33" s="67"/>
      <c r="BC33" s="67">
        <v>2832258</v>
      </c>
      <c r="BD33" s="67"/>
      <c r="BE33" s="67">
        <f t="shared" si="12"/>
        <v>27421</v>
      </c>
      <c r="BF33" s="67"/>
      <c r="BG33" s="67"/>
      <c r="BH33" s="67"/>
      <c r="BI33" s="183"/>
      <c r="BJ33" s="67"/>
      <c r="BK33" s="67"/>
      <c r="BL33" s="67"/>
      <c r="BM33" s="67"/>
      <c r="BN33" s="66"/>
      <c r="BO33" s="67"/>
      <c r="BP33" s="67">
        <f t="shared" si="16"/>
        <v>313113</v>
      </c>
      <c r="BQ33" s="67"/>
      <c r="BR33" s="74">
        <f t="shared" si="13"/>
        <v>0.1105524284863879</v>
      </c>
      <c r="BS33" s="67"/>
      <c r="BT33" s="86"/>
      <c r="BU33" s="183"/>
      <c r="BV33" s="1"/>
      <c r="BW33">
        <f t="shared" si="11"/>
        <v>24</v>
      </c>
    </row>
    <row r="34" spans="2:75" x14ac:dyDescent="0.3">
      <c r="B34" s="171">
        <f t="shared" si="6"/>
        <v>43934</v>
      </c>
      <c r="D34" s="17">
        <v>26641</v>
      </c>
      <c r="E34" s="16"/>
      <c r="F34" s="16"/>
      <c r="G34" s="16"/>
      <c r="H34" s="16">
        <f t="shared" si="14"/>
        <v>586941</v>
      </c>
      <c r="I34" s="16"/>
      <c r="J34" s="38">
        <f t="shared" si="1"/>
        <v>4.7547742280920936E-2</v>
      </c>
      <c r="K34" s="16"/>
      <c r="L34" s="16"/>
      <c r="M34" s="16"/>
      <c r="N34" s="16"/>
      <c r="O34" s="16">
        <f t="shared" si="2"/>
        <v>23477.64</v>
      </c>
      <c r="P34" s="41"/>
      <c r="Q34" s="17"/>
      <c r="R34" s="16"/>
      <c r="S34" s="60"/>
      <c r="T34" s="16"/>
      <c r="U34" s="41"/>
      <c r="V34" s="10"/>
      <c r="W34" s="34">
        <v>1535</v>
      </c>
      <c r="X34" s="33"/>
      <c r="Y34" s="33"/>
      <c r="Z34" s="33"/>
      <c r="AA34" s="33">
        <f t="shared" si="15"/>
        <v>24293</v>
      </c>
      <c r="AB34" s="33"/>
      <c r="AC34" s="46">
        <f t="shared" si="4"/>
        <v>4.1389168587643389E-2</v>
      </c>
      <c r="AD34" s="33"/>
      <c r="AE34" s="33">
        <f t="shared" si="5"/>
        <v>971.72</v>
      </c>
      <c r="AF34" s="50"/>
      <c r="AG34" s="33"/>
      <c r="AH34" s="33"/>
      <c r="AI34" s="231"/>
      <c r="AJ34" s="50"/>
      <c r="AK34" s="10"/>
      <c r="AL34" s="23">
        <f t="shared" si="7"/>
        <v>3620</v>
      </c>
      <c r="AM34" s="24"/>
      <c r="AN34" s="24"/>
      <c r="AO34" s="24"/>
      <c r="AP34" s="24">
        <v>36254</v>
      </c>
      <c r="AQ34" s="24"/>
      <c r="AR34" s="25">
        <f t="shared" si="8"/>
        <v>0.11092725378439665</v>
      </c>
      <c r="AS34" s="25"/>
      <c r="AT34" s="25"/>
      <c r="AU34" s="24"/>
      <c r="AV34" s="341">
        <f t="shared" si="9"/>
        <v>6.1767707486783167E-2</v>
      </c>
      <c r="AW34" s="341"/>
      <c r="AX34" s="24">
        <f t="shared" si="10"/>
        <v>1450.16</v>
      </c>
      <c r="AY34" s="351"/>
      <c r="AZ34" s="10"/>
      <c r="BA34" s="66">
        <f t="shared" si="17"/>
        <v>111697</v>
      </c>
      <c r="BB34" s="67"/>
      <c r="BC34" s="67">
        <v>2943955</v>
      </c>
      <c r="BD34" s="67"/>
      <c r="BE34" s="67">
        <f t="shared" si="12"/>
        <v>26641</v>
      </c>
      <c r="BF34" s="67"/>
      <c r="BG34" s="67"/>
      <c r="BH34" s="67"/>
      <c r="BI34" s="183"/>
      <c r="BJ34" s="67"/>
      <c r="BK34" s="67"/>
      <c r="BL34" s="67"/>
      <c r="BM34" s="67"/>
      <c r="BN34" s="66"/>
      <c r="BO34" s="67"/>
      <c r="BP34" s="67">
        <f t="shared" si="16"/>
        <v>339754</v>
      </c>
      <c r="BQ34" s="67"/>
      <c r="BR34" s="74">
        <f t="shared" si="13"/>
        <v>0.11540733469091749</v>
      </c>
      <c r="BS34" s="67"/>
      <c r="BT34" s="86"/>
      <c r="BU34" s="183"/>
      <c r="BV34" s="1"/>
      <c r="BW34">
        <f t="shared" si="11"/>
        <v>25</v>
      </c>
    </row>
    <row r="35" spans="2:75" x14ac:dyDescent="0.3">
      <c r="B35" s="171">
        <f t="shared" si="6"/>
        <v>43935</v>
      </c>
      <c r="D35" s="17">
        <v>30720</v>
      </c>
      <c r="E35" s="16"/>
      <c r="F35" s="16"/>
      <c r="G35" s="16"/>
      <c r="H35" s="16">
        <f>+H34+D35+5109-168+16794+1462+194+2800</f>
        <v>643852</v>
      </c>
      <c r="I35" s="330" t="s">
        <v>68</v>
      </c>
      <c r="J35" s="38">
        <f t="shared" si="1"/>
        <v>5.2339161857835798E-2</v>
      </c>
      <c r="K35" s="16"/>
      <c r="L35" s="16"/>
      <c r="M35" s="16"/>
      <c r="N35" s="16"/>
      <c r="O35" s="16">
        <f t="shared" si="2"/>
        <v>24763.538461538461</v>
      </c>
      <c r="P35" s="41"/>
      <c r="Q35" s="17"/>
      <c r="R35" s="16"/>
      <c r="S35" s="16"/>
      <c r="T35" s="16"/>
      <c r="U35" s="41"/>
      <c r="V35" s="1"/>
      <c r="W35" s="34">
        <v>2407</v>
      </c>
      <c r="X35" s="33"/>
      <c r="Y35" s="33"/>
      <c r="Z35" s="33"/>
      <c r="AA35" s="33">
        <f>+AA34+W35+3778+317+73+3+2024</f>
        <v>32895</v>
      </c>
      <c r="AB35" s="340" t="s">
        <v>68</v>
      </c>
      <c r="AC35" s="46">
        <f t="shared" si="4"/>
        <v>5.1090933941340559E-2</v>
      </c>
      <c r="AD35" s="33"/>
      <c r="AE35" s="33">
        <f t="shared" si="5"/>
        <v>1265.1923076923076</v>
      </c>
      <c r="AF35" s="50"/>
      <c r="AG35" s="33"/>
      <c r="AH35" s="33"/>
      <c r="AI35" s="33"/>
      <c r="AJ35" s="50"/>
      <c r="AK35" s="1"/>
      <c r="AL35" s="23">
        <f t="shared" si="7"/>
        <v>2566</v>
      </c>
      <c r="AM35" s="24"/>
      <c r="AN35" s="24"/>
      <c r="AO35" s="24"/>
      <c r="AP35" s="24">
        <v>38820</v>
      </c>
      <c r="AQ35" s="24"/>
      <c r="AR35" s="25">
        <f t="shared" si="8"/>
        <v>7.0778396866552656E-2</v>
      </c>
      <c r="AS35" s="25"/>
      <c r="AT35" s="25"/>
      <c r="AU35" s="24"/>
      <c r="AV35" s="341">
        <f t="shared" si="9"/>
        <v>6.0293359343451598E-2</v>
      </c>
      <c r="AW35" s="341"/>
      <c r="AX35" s="24">
        <f t="shared" si="10"/>
        <v>1493.0769230769231</v>
      </c>
      <c r="AY35" s="351"/>
      <c r="AZ35" s="1"/>
      <c r="BA35" s="66">
        <f t="shared" si="17"/>
        <v>121064</v>
      </c>
      <c r="BB35" s="67"/>
      <c r="BC35" s="67">
        <v>3065019</v>
      </c>
      <c r="BD35" s="67"/>
      <c r="BE35" s="67">
        <f t="shared" si="12"/>
        <v>30720</v>
      </c>
      <c r="BF35" s="67"/>
      <c r="BG35" s="67"/>
      <c r="BH35" s="67"/>
      <c r="BI35" s="183"/>
      <c r="BJ35" s="67"/>
      <c r="BK35" s="67"/>
      <c r="BL35" s="67"/>
      <c r="BM35" s="67"/>
      <c r="BN35" s="66"/>
      <c r="BO35" s="67"/>
      <c r="BP35" s="67">
        <f t="shared" si="16"/>
        <v>370474</v>
      </c>
      <c r="BQ35" s="67"/>
      <c r="BR35" s="74">
        <f t="shared" si="13"/>
        <v>0.12087168138272553</v>
      </c>
      <c r="BS35" s="67"/>
      <c r="BT35" s="86"/>
      <c r="BU35" s="183"/>
      <c r="BV35" s="1"/>
      <c r="BW35">
        <f t="shared" si="11"/>
        <v>26</v>
      </c>
    </row>
    <row r="36" spans="2:75" x14ac:dyDescent="0.3">
      <c r="B36" s="171">
        <f t="shared" si="6"/>
        <v>43936</v>
      </c>
      <c r="D36" s="17">
        <v>30342</v>
      </c>
      <c r="E36" s="16"/>
      <c r="F36" s="16"/>
      <c r="G36" s="16"/>
      <c r="H36" s="16">
        <f t="shared" ref="H36:H45" si="18">+H35+D36</f>
        <v>674194</v>
      </c>
      <c r="I36" s="16"/>
      <c r="J36" s="38">
        <f t="shared" si="1"/>
        <v>4.7125736970608151E-2</v>
      </c>
      <c r="K36" s="16"/>
      <c r="L36" s="16"/>
      <c r="M36" s="16"/>
      <c r="N36" s="16"/>
      <c r="O36" s="16">
        <f t="shared" si="2"/>
        <v>24970.14814814815</v>
      </c>
      <c r="P36" s="41"/>
      <c r="Q36" s="17"/>
      <c r="R36" s="16"/>
      <c r="S36" s="16"/>
      <c r="T36" s="16"/>
      <c r="U36" s="41"/>
      <c r="V36" s="1"/>
      <c r="W36" s="34">
        <v>2618</v>
      </c>
      <c r="X36" s="33"/>
      <c r="Y36" s="33"/>
      <c r="Z36" s="33"/>
      <c r="AA36" s="33">
        <f t="shared" ref="AA36:AA51" si="19">+AA35+W36</f>
        <v>35513</v>
      </c>
      <c r="AB36" s="33"/>
      <c r="AC36" s="46">
        <f t="shared" si="4"/>
        <v>5.2674749404474086E-2</v>
      </c>
      <c r="AD36" s="33"/>
      <c r="AE36" s="33">
        <f t="shared" si="5"/>
        <v>1315.2962962962963</v>
      </c>
      <c r="AF36" s="50"/>
      <c r="AG36" s="33"/>
      <c r="AH36" s="33"/>
      <c r="AI36" s="33"/>
      <c r="AJ36" s="50"/>
      <c r="AK36" s="1"/>
      <c r="AL36" s="23">
        <f t="shared" si="7"/>
        <v>9881</v>
      </c>
      <c r="AM36" s="24"/>
      <c r="AN36" s="24"/>
      <c r="AO36" s="24"/>
      <c r="AP36" s="24">
        <v>48701</v>
      </c>
      <c r="AQ36" s="24"/>
      <c r="AR36" s="25">
        <f t="shared" si="8"/>
        <v>0.25453374549201441</v>
      </c>
      <c r="AS36" s="25"/>
      <c r="AT36" s="25"/>
      <c r="AU36" s="24"/>
      <c r="AV36" s="341">
        <f t="shared" si="9"/>
        <v>7.2235884626680152E-2</v>
      </c>
      <c r="AW36" s="341"/>
      <c r="AX36" s="24">
        <f t="shared" si="10"/>
        <v>1803.7407407407406</v>
      </c>
      <c r="AY36" s="351"/>
      <c r="AZ36" s="1"/>
      <c r="BA36" s="66">
        <f t="shared" si="17"/>
        <v>193860</v>
      </c>
      <c r="BB36" s="67"/>
      <c r="BC36" s="67">
        <v>3258879</v>
      </c>
      <c r="BD36" s="67"/>
      <c r="BE36" s="67">
        <f t="shared" si="12"/>
        <v>30342</v>
      </c>
      <c r="BF36" s="67"/>
      <c r="BG36" s="67"/>
      <c r="BH36" s="67"/>
      <c r="BI36" s="183"/>
      <c r="BJ36" s="67"/>
      <c r="BK36" s="67"/>
      <c r="BL36" s="67"/>
      <c r="BM36" s="67"/>
      <c r="BN36" s="66"/>
      <c r="BO36" s="67"/>
      <c r="BP36" s="67">
        <f t="shared" si="16"/>
        <v>400816</v>
      </c>
      <c r="BQ36" s="67"/>
      <c r="BR36" s="74">
        <f t="shared" si="13"/>
        <v>0.12299198589453612</v>
      </c>
      <c r="BS36" s="67"/>
      <c r="BT36" s="86"/>
      <c r="BU36" s="183"/>
      <c r="BV36" s="1"/>
      <c r="BW36">
        <f t="shared" si="11"/>
        <v>27</v>
      </c>
    </row>
    <row r="37" spans="2:75" x14ac:dyDescent="0.3">
      <c r="B37" s="171">
        <f t="shared" si="6"/>
        <v>43937</v>
      </c>
      <c r="D37" s="17">
        <v>29567</v>
      </c>
      <c r="E37" s="16"/>
      <c r="F37" s="16"/>
      <c r="G37" s="16"/>
      <c r="H37" s="16">
        <f t="shared" si="18"/>
        <v>703761</v>
      </c>
      <c r="I37" s="16"/>
      <c r="J37" s="38">
        <f t="shared" si="1"/>
        <v>4.3855329474898917E-2</v>
      </c>
      <c r="K37" s="16"/>
      <c r="L37" s="16"/>
      <c r="M37" s="16"/>
      <c r="N37" s="16"/>
      <c r="O37" s="16">
        <f t="shared" si="2"/>
        <v>25134.321428571428</v>
      </c>
      <c r="P37" s="41"/>
      <c r="Q37" s="17"/>
      <c r="R37" s="16"/>
      <c r="S37" s="16"/>
      <c r="T37" s="16"/>
      <c r="U37" s="41"/>
      <c r="V37" s="10"/>
      <c r="W37" s="34">
        <v>2176</v>
      </c>
      <c r="X37" s="33"/>
      <c r="Y37" s="33"/>
      <c r="Z37" s="33"/>
      <c r="AA37" s="33">
        <f t="shared" si="19"/>
        <v>37689</v>
      </c>
      <c r="AB37" s="33"/>
      <c r="AC37" s="46">
        <f t="shared" si="4"/>
        <v>5.3553692233584985E-2</v>
      </c>
      <c r="AD37" s="33"/>
      <c r="AE37" s="33">
        <f t="shared" si="5"/>
        <v>1346.0357142857142</v>
      </c>
      <c r="AF37" s="50"/>
      <c r="AG37" s="33"/>
      <c r="AH37" s="33"/>
      <c r="AI37" s="33"/>
      <c r="AJ37" s="50"/>
      <c r="AK37" s="10"/>
      <c r="AL37" s="23">
        <f t="shared" si="7"/>
        <v>8807</v>
      </c>
      <c r="AM37" s="24"/>
      <c r="AN37" s="24"/>
      <c r="AO37" s="24"/>
      <c r="AP37" s="24">
        <v>57508</v>
      </c>
      <c r="AQ37" s="24"/>
      <c r="AR37" s="25">
        <f t="shared" si="8"/>
        <v>0.1808381758074783</v>
      </c>
      <c r="AS37" s="25"/>
      <c r="AT37" s="25"/>
      <c r="AU37" s="24"/>
      <c r="AV37" s="341">
        <f t="shared" si="9"/>
        <v>8.1715241395871607E-2</v>
      </c>
      <c r="AW37" s="341"/>
      <c r="AX37" s="24">
        <f t="shared" si="10"/>
        <v>2053.8571428571427</v>
      </c>
      <c r="AY37" s="351"/>
      <c r="AZ37" s="1"/>
      <c r="BA37" s="66">
        <f t="shared" si="17"/>
        <v>139261</v>
      </c>
      <c r="BB37" s="67"/>
      <c r="BC37" s="67">
        <v>3398140</v>
      </c>
      <c r="BD37" s="67"/>
      <c r="BE37" s="67">
        <f t="shared" si="12"/>
        <v>29567</v>
      </c>
      <c r="BF37" s="67"/>
      <c r="BG37" s="67"/>
      <c r="BH37" s="67"/>
      <c r="BI37" s="183"/>
      <c r="BJ37" s="67"/>
      <c r="BK37" s="67"/>
      <c r="BL37" s="67"/>
      <c r="BM37" s="67"/>
      <c r="BN37" s="66"/>
      <c r="BO37" s="67"/>
      <c r="BP37" s="67">
        <f t="shared" si="16"/>
        <v>430383</v>
      </c>
      <c r="BQ37" s="67"/>
      <c r="BR37" s="74">
        <f t="shared" si="13"/>
        <v>0.12665252167362145</v>
      </c>
      <c r="BS37" s="67"/>
      <c r="BT37" s="86"/>
      <c r="BU37" s="183"/>
      <c r="BV37" s="1"/>
      <c r="BW37">
        <f t="shared" si="11"/>
        <v>28</v>
      </c>
    </row>
    <row r="38" spans="2:75" x14ac:dyDescent="0.3">
      <c r="B38" s="171">
        <f t="shared" si="6"/>
        <v>43938</v>
      </c>
      <c r="D38" s="17">
        <v>32165</v>
      </c>
      <c r="E38" s="16"/>
      <c r="F38" s="16"/>
      <c r="G38" s="16"/>
      <c r="H38" s="16">
        <f t="shared" si="18"/>
        <v>735926</v>
      </c>
      <c r="I38" s="16"/>
      <c r="J38" s="38">
        <f t="shared" si="1"/>
        <v>4.5704436591399639E-2</v>
      </c>
      <c r="K38" s="16"/>
      <c r="L38" s="16"/>
      <c r="M38" s="16"/>
      <c r="N38" s="16"/>
      <c r="O38" s="16">
        <f t="shared" si="2"/>
        <v>25376.758620689656</v>
      </c>
      <c r="P38" s="41"/>
      <c r="Q38" s="17"/>
      <c r="R38" s="16"/>
      <c r="S38" s="16"/>
      <c r="T38" s="16"/>
      <c r="U38" s="41"/>
      <c r="V38" s="10"/>
      <c r="W38" s="34">
        <v>2528</v>
      </c>
      <c r="X38" s="33"/>
      <c r="Y38" s="33"/>
      <c r="Z38" s="33"/>
      <c r="AA38" s="33">
        <f t="shared" si="19"/>
        <v>40217</v>
      </c>
      <c r="AB38" s="33"/>
      <c r="AC38" s="46">
        <f t="shared" si="4"/>
        <v>5.4648157559319822E-2</v>
      </c>
      <c r="AD38" s="33"/>
      <c r="AE38" s="33">
        <f t="shared" si="5"/>
        <v>1386.7931034482758</v>
      </c>
      <c r="AF38" s="50"/>
      <c r="AG38" s="33"/>
      <c r="AH38" s="33"/>
      <c r="AI38" s="33"/>
      <c r="AJ38" s="50"/>
      <c r="AK38" s="10"/>
      <c r="AL38" s="23">
        <f t="shared" si="7"/>
        <v>3002</v>
      </c>
      <c r="AM38" s="24"/>
      <c r="AN38" s="24"/>
      <c r="AO38" s="24"/>
      <c r="AP38" s="24">
        <v>60510</v>
      </c>
      <c r="AQ38" s="24"/>
      <c r="AR38" s="25">
        <f t="shared" si="8"/>
        <v>5.2201432844126032E-2</v>
      </c>
      <c r="AS38" s="25"/>
      <c r="AT38" s="25"/>
      <c r="AU38" s="24"/>
      <c r="AV38" s="341">
        <f t="shared" si="9"/>
        <v>8.2222940893513743E-2</v>
      </c>
      <c r="AW38" s="341"/>
      <c r="AX38" s="24">
        <f t="shared" si="10"/>
        <v>2086.5517241379312</v>
      </c>
      <c r="AY38" s="351"/>
      <c r="AZ38" s="1"/>
      <c r="BA38" s="66">
        <f t="shared" si="17"/>
        <v>174117</v>
      </c>
      <c r="BB38" s="67"/>
      <c r="BC38" s="67">
        <v>3572257</v>
      </c>
      <c r="BD38" s="67"/>
      <c r="BE38" s="67">
        <f t="shared" si="12"/>
        <v>32165</v>
      </c>
      <c r="BF38" s="67"/>
      <c r="BG38" s="67"/>
      <c r="BH38" s="67"/>
      <c r="BI38" s="183"/>
      <c r="BJ38" s="67"/>
      <c r="BK38" s="67"/>
      <c r="BL38" s="67"/>
      <c r="BM38" s="67"/>
      <c r="BN38" s="66"/>
      <c r="BO38" s="67"/>
      <c r="BP38" s="67">
        <f t="shared" si="16"/>
        <v>462548</v>
      </c>
      <c r="BQ38" s="67"/>
      <c r="BR38" s="74">
        <f t="shared" si="13"/>
        <v>0.12948340502936939</v>
      </c>
      <c r="BS38" s="67"/>
      <c r="BT38" s="86"/>
      <c r="BU38" s="183"/>
      <c r="BV38" s="1"/>
      <c r="BW38">
        <f t="shared" si="11"/>
        <v>29</v>
      </c>
    </row>
    <row r="39" spans="2:75" x14ac:dyDescent="0.3">
      <c r="B39" s="295">
        <f t="shared" si="6"/>
        <v>43939</v>
      </c>
      <c r="C39" s="110"/>
      <c r="D39" s="17">
        <v>29057</v>
      </c>
      <c r="E39" s="16"/>
      <c r="F39" s="16"/>
      <c r="G39" s="16"/>
      <c r="H39" s="16">
        <f t="shared" si="18"/>
        <v>764983</v>
      </c>
      <c r="I39" s="16"/>
      <c r="J39" s="38">
        <f t="shared" si="1"/>
        <v>3.9483589382628144E-2</v>
      </c>
      <c r="K39" s="16"/>
      <c r="L39" s="16"/>
      <c r="M39" s="16"/>
      <c r="N39" s="16"/>
      <c r="O39" s="16">
        <f t="shared" si="2"/>
        <v>25499.433333333334</v>
      </c>
      <c r="P39" s="41"/>
      <c r="Q39" s="17"/>
      <c r="R39" s="16"/>
      <c r="S39" s="60"/>
      <c r="T39" s="16"/>
      <c r="U39" s="41"/>
      <c r="V39" s="7"/>
      <c r="W39" s="34">
        <v>1867</v>
      </c>
      <c r="X39" s="33"/>
      <c r="Y39" s="33"/>
      <c r="Z39" s="33"/>
      <c r="AA39" s="33">
        <f t="shared" si="19"/>
        <v>42084</v>
      </c>
      <c r="AB39" s="33"/>
      <c r="AC39" s="46">
        <f t="shared" si="4"/>
        <v>5.5012987216709393E-2</v>
      </c>
      <c r="AD39" s="33"/>
      <c r="AE39" s="33">
        <f t="shared" si="5"/>
        <v>1402.8</v>
      </c>
      <c r="AF39" s="50"/>
      <c r="AG39" s="33"/>
      <c r="AH39" s="33"/>
      <c r="AI39" s="231"/>
      <c r="AJ39" s="50"/>
      <c r="AK39" s="90"/>
      <c r="AL39" s="23">
        <f t="shared" si="7"/>
        <v>7759</v>
      </c>
      <c r="AM39" s="24"/>
      <c r="AN39" s="24"/>
      <c r="AO39" s="24"/>
      <c r="AP39" s="24">
        <v>68269</v>
      </c>
      <c r="AQ39" s="24"/>
      <c r="AR39" s="25">
        <f t="shared" si="8"/>
        <v>0.12822673938192033</v>
      </c>
      <c r="AS39" s="25"/>
      <c r="AT39" s="25"/>
      <c r="AU39" s="24"/>
      <c r="AV39" s="341">
        <f t="shared" si="9"/>
        <v>8.9242506042617936E-2</v>
      </c>
      <c r="AW39" s="341"/>
      <c r="AX39" s="24">
        <f t="shared" si="10"/>
        <v>2275.6333333333332</v>
      </c>
      <c r="AY39" s="351"/>
      <c r="AZ39" s="90"/>
      <c r="BA39" s="66">
        <f t="shared" si="17"/>
        <v>149888</v>
      </c>
      <c r="BB39" s="67"/>
      <c r="BC39" s="67">
        <v>3722145</v>
      </c>
      <c r="BD39" s="67"/>
      <c r="BE39" s="67">
        <f t="shared" si="12"/>
        <v>29057</v>
      </c>
      <c r="BF39" s="67"/>
      <c r="BG39" s="67"/>
      <c r="BH39" s="67"/>
      <c r="BI39" s="183"/>
      <c r="BJ39" s="67"/>
      <c r="BK39" s="67"/>
      <c r="BL39" s="67"/>
      <c r="BM39" s="156"/>
      <c r="BN39" s="66"/>
      <c r="BO39" s="67"/>
      <c r="BP39" s="67">
        <f t="shared" si="16"/>
        <v>491605</v>
      </c>
      <c r="BQ39" s="67"/>
      <c r="BR39" s="74">
        <f t="shared" si="13"/>
        <v>0.13207572515310392</v>
      </c>
      <c r="BS39" s="67"/>
      <c r="BT39" s="86"/>
      <c r="BU39" s="183"/>
      <c r="BV39" s="90"/>
      <c r="BW39" s="110">
        <f t="shared" si="11"/>
        <v>30</v>
      </c>
    </row>
    <row r="40" spans="2:75" x14ac:dyDescent="0.3">
      <c r="B40" s="390">
        <f t="shared" si="6"/>
        <v>43940</v>
      </c>
      <c r="C40" s="61"/>
      <c r="D40" s="17">
        <v>26183</v>
      </c>
      <c r="E40" s="16"/>
      <c r="F40" s="16"/>
      <c r="G40" s="16"/>
      <c r="H40" s="16">
        <f t="shared" si="18"/>
        <v>791166</v>
      </c>
      <c r="I40" s="16"/>
      <c r="J40" s="38">
        <f t="shared" si="1"/>
        <v>3.4226904388724978E-2</v>
      </c>
      <c r="K40" s="16"/>
      <c r="L40" s="16"/>
      <c r="M40" s="16"/>
      <c r="N40" s="16"/>
      <c r="O40" s="16">
        <f t="shared" si="2"/>
        <v>25521.483870967742</v>
      </c>
      <c r="P40" s="41"/>
      <c r="Q40" s="17">
        <f>SUM(D34:D40)</f>
        <v>204675</v>
      </c>
      <c r="R40" s="16"/>
      <c r="S40" s="60">
        <f>+(Q40-Q33)/Q33</f>
        <v>-7.5195308087494403E-2</v>
      </c>
      <c r="T40" s="16"/>
      <c r="U40" s="41"/>
      <c r="V40" s="391"/>
      <c r="W40" s="34">
        <v>1570</v>
      </c>
      <c r="X40" s="33"/>
      <c r="Y40" s="33"/>
      <c r="Z40" s="33"/>
      <c r="AA40" s="33">
        <f t="shared" si="19"/>
        <v>43654</v>
      </c>
      <c r="AB40" s="33"/>
      <c r="AC40" s="46">
        <f t="shared" si="4"/>
        <v>5.5176789700265176E-2</v>
      </c>
      <c r="AD40" s="33"/>
      <c r="AE40" s="33">
        <f t="shared" si="5"/>
        <v>1408.1935483870968</v>
      </c>
      <c r="AF40" s="50"/>
      <c r="AG40" s="33">
        <f>SUM(W34:W40)</f>
        <v>14701</v>
      </c>
      <c r="AH40" s="33"/>
      <c r="AI40" s="231">
        <f>+(AG40-AG33)/AG33</f>
        <v>0.17909849213987808</v>
      </c>
      <c r="AJ40" s="50"/>
      <c r="AK40" s="391"/>
      <c r="AL40" s="23">
        <f t="shared" si="7"/>
        <v>2734</v>
      </c>
      <c r="AM40" s="24"/>
      <c r="AN40" s="24"/>
      <c r="AO40" s="24"/>
      <c r="AP40" s="24">
        <v>71003</v>
      </c>
      <c r="AQ40" s="24"/>
      <c r="AR40" s="25">
        <f t="shared" si="8"/>
        <v>4.004745931535543E-2</v>
      </c>
      <c r="AS40" s="25"/>
      <c r="AT40" s="25"/>
      <c r="AU40" s="24"/>
      <c r="AV40" s="341">
        <f t="shared" si="9"/>
        <v>8.9744756473357043E-2</v>
      </c>
      <c r="AW40" s="341"/>
      <c r="AX40" s="24">
        <f t="shared" si="10"/>
        <v>2290.4193548387098</v>
      </c>
      <c r="AY40" s="351"/>
      <c r="AZ40" s="391"/>
      <c r="BA40" s="66">
        <f t="shared" si="17"/>
        <v>139404</v>
      </c>
      <c r="BB40" s="67"/>
      <c r="BC40" s="67">
        <v>3861549</v>
      </c>
      <c r="BD40" s="67"/>
      <c r="BE40" s="67">
        <f t="shared" si="12"/>
        <v>26183</v>
      </c>
      <c r="BF40" s="67"/>
      <c r="BG40" s="156">
        <f t="shared" ref="BG40:BG51" si="20">+BE40/BA40</f>
        <v>0.18782100944018823</v>
      </c>
      <c r="BH40" s="67"/>
      <c r="BI40" s="183"/>
      <c r="BJ40" s="67"/>
      <c r="BK40" s="67">
        <f>SUM(BA34:BA40)</f>
        <v>1029291</v>
      </c>
      <c r="BL40" s="67"/>
      <c r="BM40" s="156">
        <f>+Q40/BK40</f>
        <v>0.19885047085809551</v>
      </c>
      <c r="BN40" s="66">
        <f t="shared" ref="BN40:BN68" si="21">+BC40/BW40</f>
        <v>124566.09677419355</v>
      </c>
      <c r="BO40" s="67"/>
      <c r="BP40" s="67">
        <f t="shared" si="16"/>
        <v>517788</v>
      </c>
      <c r="BQ40" s="67"/>
      <c r="BR40" s="74">
        <f t="shared" si="13"/>
        <v>0.13408815995860729</v>
      </c>
      <c r="BS40" s="67"/>
      <c r="BT40" s="86"/>
      <c r="BU40" s="183"/>
      <c r="BV40" s="1"/>
      <c r="BW40">
        <f t="shared" si="11"/>
        <v>31</v>
      </c>
    </row>
    <row r="41" spans="2:75" x14ac:dyDescent="0.3">
      <c r="B41" s="171">
        <f t="shared" si="6"/>
        <v>43941</v>
      </c>
      <c r="C41" s="61"/>
      <c r="D41" s="17">
        <v>28143</v>
      </c>
      <c r="E41" s="16"/>
      <c r="F41" s="16"/>
      <c r="G41" s="16"/>
      <c r="H41" s="16">
        <f t="shared" si="18"/>
        <v>819309</v>
      </c>
      <c r="I41" s="16"/>
      <c r="J41" s="38">
        <f t="shared" si="1"/>
        <v>3.5571548827932446E-2</v>
      </c>
      <c r="K41" s="16"/>
      <c r="L41" s="16"/>
      <c r="M41" s="16"/>
      <c r="N41" s="16"/>
      <c r="O41" s="16">
        <f t="shared" si="2"/>
        <v>25603.40625</v>
      </c>
      <c r="P41" s="41"/>
      <c r="Q41" s="17"/>
      <c r="R41" s="16"/>
      <c r="S41" s="60"/>
      <c r="T41" s="16"/>
      <c r="U41" s="41"/>
      <c r="V41" s="10"/>
      <c r="W41" s="34">
        <v>1952</v>
      </c>
      <c r="X41" s="33"/>
      <c r="Y41" s="33"/>
      <c r="Z41" s="33"/>
      <c r="AA41" s="33">
        <f t="shared" si="19"/>
        <v>45606</v>
      </c>
      <c r="AB41" s="33"/>
      <c r="AC41" s="46">
        <f t="shared" si="4"/>
        <v>5.5663980256533248E-2</v>
      </c>
      <c r="AD41" s="33"/>
      <c r="AE41" s="33">
        <f t="shared" si="5"/>
        <v>1425.1875</v>
      </c>
      <c r="AF41" s="50"/>
      <c r="AG41" s="33"/>
      <c r="AH41" s="33"/>
      <c r="AI41" s="231"/>
      <c r="AJ41" s="50"/>
      <c r="AK41" s="10"/>
      <c r="AL41" s="23">
        <f t="shared" si="7"/>
        <v>1386</v>
      </c>
      <c r="AM41" s="24"/>
      <c r="AN41" s="24"/>
      <c r="AO41" s="24"/>
      <c r="AP41" s="24">
        <v>72389</v>
      </c>
      <c r="AQ41" s="24"/>
      <c r="AR41" s="25">
        <f t="shared" si="8"/>
        <v>1.9520301959072152E-2</v>
      </c>
      <c r="AS41" s="25"/>
      <c r="AT41" s="25"/>
      <c r="AU41" s="24"/>
      <c r="AV41" s="341">
        <f t="shared" si="9"/>
        <v>8.8353722466126938E-2</v>
      </c>
      <c r="AW41" s="341"/>
      <c r="AX41" s="24">
        <f t="shared" si="10"/>
        <v>2262.15625</v>
      </c>
      <c r="AY41" s="351"/>
      <c r="AZ41" s="10"/>
      <c r="BA41" s="66">
        <f t="shared" si="17"/>
        <v>164811</v>
      </c>
      <c r="BB41" s="67"/>
      <c r="BC41" s="67">
        <v>4026360</v>
      </c>
      <c r="BD41" s="67"/>
      <c r="BE41" s="67">
        <f t="shared" si="12"/>
        <v>28143</v>
      </c>
      <c r="BF41" s="67"/>
      <c r="BG41" s="156">
        <f t="shared" si="20"/>
        <v>0.17075923330360232</v>
      </c>
      <c r="BH41" s="67"/>
      <c r="BI41" s="183"/>
      <c r="BJ41" s="67"/>
      <c r="BK41" s="67"/>
      <c r="BL41" s="67"/>
      <c r="BM41" s="67"/>
      <c r="BN41" s="66">
        <f t="shared" si="21"/>
        <v>125823.75</v>
      </c>
      <c r="BO41" s="67"/>
      <c r="BP41" s="67">
        <f t="shared" si="16"/>
        <v>545931</v>
      </c>
      <c r="BQ41" s="67"/>
      <c r="BR41" s="74">
        <f t="shared" si="13"/>
        <v>0.13558921705957738</v>
      </c>
      <c r="BS41" s="67"/>
      <c r="BT41" s="86"/>
      <c r="BU41" s="183"/>
      <c r="BV41" s="1"/>
      <c r="BW41">
        <f t="shared" si="11"/>
        <v>32</v>
      </c>
    </row>
    <row r="42" spans="2:75" x14ac:dyDescent="0.3">
      <c r="B42" s="171">
        <f t="shared" si="6"/>
        <v>43942</v>
      </c>
      <c r="C42" s="61"/>
      <c r="D42" s="17">
        <v>26105</v>
      </c>
      <c r="E42" s="16"/>
      <c r="F42" s="16"/>
      <c r="G42" s="16"/>
      <c r="H42" s="16">
        <f t="shared" si="18"/>
        <v>845414</v>
      </c>
      <c r="I42" s="16"/>
      <c r="J42" s="38">
        <f t="shared" si="1"/>
        <v>3.1862215598754559E-2</v>
      </c>
      <c r="K42" s="16"/>
      <c r="L42" s="16"/>
      <c r="M42" s="16"/>
      <c r="N42" s="16"/>
      <c r="O42" s="16">
        <f t="shared" ref="O42:O68" si="22">+H42/BW42</f>
        <v>25618.60606060606</v>
      </c>
      <c r="P42" s="41"/>
      <c r="Q42" s="17"/>
      <c r="R42" s="16"/>
      <c r="S42" s="16"/>
      <c r="T42" s="16"/>
      <c r="U42" s="41"/>
      <c r="V42" s="1"/>
      <c r="W42" s="34">
        <v>2683</v>
      </c>
      <c r="X42" s="33"/>
      <c r="Y42" s="33"/>
      <c r="Z42" s="33"/>
      <c r="AA42" s="33">
        <f t="shared" si="19"/>
        <v>48289</v>
      </c>
      <c r="AB42" s="33"/>
      <c r="AC42" s="46">
        <f t="shared" ref="AC42:AC68" si="23">+AA42/H42</f>
        <v>5.711876074917141E-2</v>
      </c>
      <c r="AD42" s="33"/>
      <c r="AE42" s="33">
        <f t="shared" ref="AE42:AE68" si="24">+AA42/BW42</f>
        <v>1463.3030303030303</v>
      </c>
      <c r="AF42" s="50"/>
      <c r="AG42" s="33"/>
      <c r="AH42" s="33"/>
      <c r="AI42" s="33"/>
      <c r="AJ42" s="50"/>
      <c r="AK42" s="1"/>
      <c r="AL42" s="23">
        <f t="shared" si="7"/>
        <v>10534</v>
      </c>
      <c r="AM42" s="24"/>
      <c r="AN42" s="24"/>
      <c r="AO42" s="24"/>
      <c r="AP42" s="24">
        <v>82923</v>
      </c>
      <c r="AQ42" s="24"/>
      <c r="AR42" s="25">
        <f t="shared" si="8"/>
        <v>0.14551934686209231</v>
      </c>
      <c r="AS42" s="25"/>
      <c r="AT42" s="25"/>
      <c r="AU42" s="24"/>
      <c r="AV42" s="341">
        <f t="shared" si="9"/>
        <v>9.8085671635435426E-2</v>
      </c>
      <c r="AW42" s="341"/>
      <c r="AX42" s="24">
        <f t="shared" si="10"/>
        <v>2512.818181818182</v>
      </c>
      <c r="AY42" s="351"/>
      <c r="AZ42" s="1"/>
      <c r="BA42" s="66">
        <f t="shared" si="17"/>
        <v>161032</v>
      </c>
      <c r="BB42" s="67"/>
      <c r="BC42" s="67">
        <v>4187392</v>
      </c>
      <c r="BD42" s="67"/>
      <c r="BE42" s="67">
        <f t="shared" si="12"/>
        <v>26105</v>
      </c>
      <c r="BF42" s="67"/>
      <c r="BG42" s="156">
        <f t="shared" si="20"/>
        <v>0.16211063639525064</v>
      </c>
      <c r="BH42" s="67"/>
      <c r="BI42" s="183"/>
      <c r="BJ42" s="67"/>
      <c r="BK42" s="67"/>
      <c r="BL42" s="67"/>
      <c r="BM42" s="67"/>
      <c r="BN42" s="66">
        <f t="shared" si="21"/>
        <v>126890.66666666667</v>
      </c>
      <c r="BO42" s="67"/>
      <c r="BP42" s="67">
        <f t="shared" si="16"/>
        <v>572036</v>
      </c>
      <c r="BQ42" s="67"/>
      <c r="BR42" s="74">
        <f t="shared" si="13"/>
        <v>0.13660913523262211</v>
      </c>
      <c r="BS42" s="67"/>
      <c r="BT42" s="86"/>
      <c r="BU42" s="183"/>
      <c r="BV42" s="1"/>
      <c r="BW42">
        <f t="shared" si="11"/>
        <v>33</v>
      </c>
    </row>
    <row r="43" spans="2:75" x14ac:dyDescent="0.3">
      <c r="B43" s="171">
        <f t="shared" si="6"/>
        <v>43943</v>
      </c>
      <c r="C43" s="61"/>
      <c r="D43" s="17">
        <v>30210</v>
      </c>
      <c r="E43" s="16"/>
      <c r="F43" s="16"/>
      <c r="G43" s="16"/>
      <c r="H43" s="16">
        <f t="shared" si="18"/>
        <v>875624</v>
      </c>
      <c r="I43" s="16"/>
      <c r="J43" s="38">
        <f t="shared" si="1"/>
        <v>3.5733971758215501E-2</v>
      </c>
      <c r="K43" s="16"/>
      <c r="L43" s="16"/>
      <c r="M43" s="16"/>
      <c r="N43" s="16"/>
      <c r="O43" s="16">
        <f t="shared" si="22"/>
        <v>25753.647058823528</v>
      </c>
      <c r="P43" s="41"/>
      <c r="Q43" s="17"/>
      <c r="R43" s="16"/>
      <c r="S43" s="16"/>
      <c r="T43" s="16"/>
      <c r="U43" s="41"/>
      <c r="V43" s="1"/>
      <c r="W43" s="34">
        <v>2358</v>
      </c>
      <c r="X43" s="33"/>
      <c r="Y43" s="33"/>
      <c r="Z43" s="33"/>
      <c r="AA43" s="33">
        <f t="shared" si="19"/>
        <v>50647</v>
      </c>
      <c r="AB43" s="33"/>
      <c r="AC43" s="46">
        <f t="shared" si="23"/>
        <v>5.7841036792047731E-2</v>
      </c>
      <c r="AD43" s="33"/>
      <c r="AE43" s="33">
        <f t="shared" si="24"/>
        <v>1489.6176470588234</v>
      </c>
      <c r="AF43" s="50"/>
      <c r="AG43" s="33"/>
      <c r="AH43" s="33"/>
      <c r="AI43" s="33"/>
      <c r="AJ43" s="50"/>
      <c r="AK43" s="1"/>
      <c r="AL43" s="23">
        <f t="shared" si="7"/>
        <v>1127</v>
      </c>
      <c r="AM43" s="24"/>
      <c r="AN43" s="24"/>
      <c r="AO43" s="24"/>
      <c r="AP43" s="24">
        <v>84050</v>
      </c>
      <c r="AQ43" s="24"/>
      <c r="AR43" s="25">
        <f t="shared" si="8"/>
        <v>1.3590921698443134E-2</v>
      </c>
      <c r="AS43" s="25"/>
      <c r="AT43" s="25"/>
      <c r="AU43" s="24"/>
      <c r="AV43" s="341">
        <f t="shared" si="9"/>
        <v>9.5988689209066905E-2</v>
      </c>
      <c r="AW43" s="341"/>
      <c r="AX43" s="24">
        <f t="shared" si="10"/>
        <v>2472.0588235294117</v>
      </c>
      <c r="AY43" s="351"/>
      <c r="AZ43" s="1"/>
      <c r="BA43" s="66">
        <f t="shared" si="17"/>
        <v>137950</v>
      </c>
      <c r="BB43" s="67"/>
      <c r="BC43" s="67">
        <v>4325342</v>
      </c>
      <c r="BD43" s="67"/>
      <c r="BE43" s="67">
        <f t="shared" si="12"/>
        <v>30210</v>
      </c>
      <c r="BF43" s="67"/>
      <c r="BG43" s="156">
        <f t="shared" si="20"/>
        <v>0.21899238854657485</v>
      </c>
      <c r="BH43" s="67"/>
      <c r="BI43" s="183"/>
      <c r="BJ43" s="67"/>
      <c r="BK43" s="67"/>
      <c r="BL43" s="67"/>
      <c r="BM43" s="67"/>
      <c r="BN43" s="66">
        <f t="shared" si="21"/>
        <v>127215.94117647059</v>
      </c>
      <c r="BO43" s="67"/>
      <c r="BP43" s="67">
        <f t="shared" si="16"/>
        <v>602246</v>
      </c>
      <c r="BQ43" s="67"/>
      <c r="BR43" s="74">
        <f t="shared" si="13"/>
        <v>0.13923661990196382</v>
      </c>
      <c r="BS43" s="67"/>
      <c r="BT43" s="86"/>
      <c r="BU43" s="183"/>
      <c r="BV43" s="1"/>
      <c r="BW43">
        <f t="shared" si="11"/>
        <v>34</v>
      </c>
    </row>
    <row r="44" spans="2:75" x14ac:dyDescent="0.3">
      <c r="B44" s="171">
        <f t="shared" si="6"/>
        <v>43944</v>
      </c>
      <c r="C44" s="61"/>
      <c r="D44" s="17">
        <v>31900</v>
      </c>
      <c r="E44" s="16"/>
      <c r="F44" s="16"/>
      <c r="G44" s="16"/>
      <c r="H44" s="16">
        <f t="shared" si="18"/>
        <v>907524</v>
      </c>
      <c r="I44" s="16"/>
      <c r="J44" s="38">
        <f t="shared" si="1"/>
        <v>3.6431162234018252E-2</v>
      </c>
      <c r="K44" s="16"/>
      <c r="L44" s="16"/>
      <c r="M44" s="16"/>
      <c r="N44" s="16"/>
      <c r="O44" s="16">
        <f t="shared" si="22"/>
        <v>25929.257142857143</v>
      </c>
      <c r="P44" s="41"/>
      <c r="Q44" s="17"/>
      <c r="R44" s="16"/>
      <c r="S44" s="16"/>
      <c r="T44" s="16"/>
      <c r="U44" s="41"/>
      <c r="V44" s="1"/>
      <c r="W44" s="34">
        <v>2340</v>
      </c>
      <c r="X44" s="33"/>
      <c r="Y44" s="33"/>
      <c r="Z44" s="33"/>
      <c r="AA44" s="33">
        <f t="shared" si="19"/>
        <v>52987</v>
      </c>
      <c r="AB44" s="33"/>
      <c r="AC44" s="46">
        <f t="shared" si="23"/>
        <v>5.8386334686465591E-2</v>
      </c>
      <c r="AD44" s="33"/>
      <c r="AE44" s="33">
        <f t="shared" si="24"/>
        <v>1513.9142857142858</v>
      </c>
      <c r="AF44" s="50"/>
      <c r="AG44" s="33"/>
      <c r="AH44" s="33"/>
      <c r="AI44" s="33"/>
      <c r="AJ44" s="50"/>
      <c r="AK44" s="1"/>
      <c r="AL44" s="23">
        <f t="shared" si="7"/>
        <v>1872</v>
      </c>
      <c r="AM44" s="24"/>
      <c r="AN44" s="24"/>
      <c r="AO44" s="24"/>
      <c r="AP44" s="24">
        <v>85922</v>
      </c>
      <c r="AQ44" s="24"/>
      <c r="AR44" s="25">
        <f t="shared" si="8"/>
        <v>2.2272456870910173E-2</v>
      </c>
      <c r="AS44" s="25"/>
      <c r="AT44" s="25"/>
      <c r="AU44" s="24"/>
      <c r="AV44" s="341">
        <f t="shared" ref="AV44:AV68" si="25">+AP44/H44</f>
        <v>9.4677385942410333E-2</v>
      </c>
      <c r="AW44" s="341"/>
      <c r="AX44" s="24">
        <f t="shared" ref="AX44:AX68" si="26">+AP44/BW44</f>
        <v>2454.9142857142856</v>
      </c>
      <c r="AY44" s="351"/>
      <c r="AZ44" s="1"/>
      <c r="BA44" s="66">
        <f t="shared" si="17"/>
        <v>371362</v>
      </c>
      <c r="BB44" s="67"/>
      <c r="BC44" s="67">
        <v>4696704</v>
      </c>
      <c r="BD44" s="67"/>
      <c r="BE44" s="67">
        <f t="shared" si="12"/>
        <v>31900</v>
      </c>
      <c r="BF44" s="67"/>
      <c r="BG44" s="156">
        <f t="shared" si="20"/>
        <v>8.590001130971936E-2</v>
      </c>
      <c r="BH44" s="67"/>
      <c r="BI44" s="183"/>
      <c r="BJ44" s="67"/>
      <c r="BK44" s="67"/>
      <c r="BL44" s="67"/>
      <c r="BM44" s="67"/>
      <c r="BN44" s="66">
        <f t="shared" si="21"/>
        <v>134191.54285714286</v>
      </c>
      <c r="BO44" s="67"/>
      <c r="BP44" s="67">
        <f t="shared" si="16"/>
        <v>634146</v>
      </c>
      <c r="BQ44" s="67"/>
      <c r="BR44" s="74">
        <f t="shared" si="13"/>
        <v>0.13501936677295398</v>
      </c>
      <c r="BS44" s="67"/>
      <c r="BT44" s="86"/>
      <c r="BU44" s="183"/>
      <c r="BV44" s="1"/>
      <c r="BW44">
        <f t="shared" si="11"/>
        <v>35</v>
      </c>
    </row>
    <row r="45" spans="2:75" x14ac:dyDescent="0.3">
      <c r="B45" s="171">
        <f t="shared" si="6"/>
        <v>43945</v>
      </c>
      <c r="C45" s="61"/>
      <c r="D45" s="17">
        <v>38764</v>
      </c>
      <c r="E45" s="16"/>
      <c r="F45" s="16"/>
      <c r="G45" s="16"/>
      <c r="H45" s="16">
        <f t="shared" si="18"/>
        <v>946288</v>
      </c>
      <c r="I45" s="16"/>
      <c r="J45" s="38">
        <f t="shared" si="1"/>
        <v>4.2714021888126376E-2</v>
      </c>
      <c r="K45" s="16"/>
      <c r="L45" s="16"/>
      <c r="M45" s="16"/>
      <c r="N45" s="16"/>
      <c r="O45" s="16">
        <f t="shared" si="22"/>
        <v>26285.777777777777</v>
      </c>
      <c r="P45" s="41"/>
      <c r="Q45" s="17"/>
      <c r="R45" s="16"/>
      <c r="S45" s="16"/>
      <c r="T45" s="16"/>
      <c r="U45" s="41"/>
      <c r="V45" s="1"/>
      <c r="W45" s="34">
        <v>1957</v>
      </c>
      <c r="X45" s="33"/>
      <c r="Y45" s="33"/>
      <c r="Z45" s="33"/>
      <c r="AA45" s="33">
        <f t="shared" si="19"/>
        <v>54944</v>
      </c>
      <c r="AB45" s="33"/>
      <c r="AC45" s="46">
        <f t="shared" si="23"/>
        <v>5.8062661684392065E-2</v>
      </c>
      <c r="AD45" s="33"/>
      <c r="AE45" s="33">
        <f t="shared" si="24"/>
        <v>1526.2222222222222</v>
      </c>
      <c r="AF45" s="50"/>
      <c r="AG45" s="33"/>
      <c r="AH45" s="33"/>
      <c r="AI45" s="33"/>
      <c r="AJ45" s="50"/>
      <c r="AK45" s="1"/>
      <c r="AL45" s="23">
        <f t="shared" si="7"/>
        <v>24510</v>
      </c>
      <c r="AM45" s="24"/>
      <c r="AN45" s="24"/>
      <c r="AO45" s="24"/>
      <c r="AP45" s="24">
        <v>110432</v>
      </c>
      <c r="AQ45" s="24"/>
      <c r="AR45" s="25">
        <f t="shared" si="8"/>
        <v>0.28525872302786248</v>
      </c>
      <c r="AS45" s="25"/>
      <c r="AT45" s="25"/>
      <c r="AU45" s="24"/>
      <c r="AV45" s="341">
        <f t="shared" si="25"/>
        <v>0.11670020120724346</v>
      </c>
      <c r="AW45" s="341"/>
      <c r="AX45" s="24">
        <f t="shared" si="26"/>
        <v>3067.5555555555557</v>
      </c>
      <c r="AY45" s="351"/>
      <c r="AZ45" s="1"/>
      <c r="BA45" s="66">
        <f t="shared" si="17"/>
        <v>318898</v>
      </c>
      <c r="BB45" s="67"/>
      <c r="BC45" s="67">
        <v>5015602</v>
      </c>
      <c r="BD45" s="67"/>
      <c r="BE45" s="67">
        <f t="shared" si="12"/>
        <v>38764</v>
      </c>
      <c r="BF45" s="67"/>
      <c r="BG45" s="156">
        <f t="shared" si="20"/>
        <v>0.12155610884985167</v>
      </c>
      <c r="BH45" s="67"/>
      <c r="BI45" s="183"/>
      <c r="BJ45" s="67"/>
      <c r="BK45" s="67"/>
      <c r="BL45" s="67"/>
      <c r="BM45" s="67"/>
      <c r="BN45" s="66">
        <f t="shared" si="21"/>
        <v>139322.27777777778</v>
      </c>
      <c r="BO45" s="67"/>
      <c r="BP45" s="67">
        <f t="shared" si="16"/>
        <v>672910</v>
      </c>
      <c r="BQ45" s="67"/>
      <c r="BR45" s="74">
        <f t="shared" si="13"/>
        <v>0.13416335666187229</v>
      </c>
      <c r="BS45" s="67"/>
      <c r="BT45" s="86"/>
      <c r="BU45" s="183"/>
      <c r="BV45" s="1"/>
      <c r="BW45">
        <f t="shared" si="11"/>
        <v>36</v>
      </c>
    </row>
    <row r="46" spans="2:75" x14ac:dyDescent="0.3">
      <c r="B46" s="476">
        <f t="shared" si="6"/>
        <v>43946</v>
      </c>
      <c r="C46" s="61"/>
      <c r="D46" s="17">
        <v>35419</v>
      </c>
      <c r="E46" s="16"/>
      <c r="F46" s="16"/>
      <c r="G46" s="16"/>
      <c r="H46" s="16">
        <f>+H45+D46</f>
        <v>981707</v>
      </c>
      <c r="I46" s="16"/>
      <c r="J46" s="38">
        <f t="shared" si="1"/>
        <v>3.7429408383071537E-2</v>
      </c>
      <c r="K46" s="16"/>
      <c r="L46" s="16"/>
      <c r="M46" s="16"/>
      <c r="N46" s="16"/>
      <c r="O46" s="16">
        <f t="shared" si="22"/>
        <v>26532.62162162162</v>
      </c>
      <c r="P46" s="41"/>
      <c r="Q46" s="17"/>
      <c r="R46" s="16"/>
      <c r="S46" s="60"/>
      <c r="T46" s="16"/>
      <c r="U46" s="41"/>
      <c r="V46" s="477"/>
      <c r="W46" s="34">
        <v>2065</v>
      </c>
      <c r="X46" s="33"/>
      <c r="Y46" s="33"/>
      <c r="Z46" s="33"/>
      <c r="AA46" s="33">
        <f t="shared" si="19"/>
        <v>57009</v>
      </c>
      <c r="AB46" s="33"/>
      <c r="AC46" s="46">
        <f t="shared" si="23"/>
        <v>5.8071298259052856E-2</v>
      </c>
      <c r="AD46" s="33"/>
      <c r="AE46" s="33">
        <f t="shared" si="24"/>
        <v>1540.7837837837837</v>
      </c>
      <c r="AF46" s="50"/>
      <c r="AG46" s="33"/>
      <c r="AH46" s="33"/>
      <c r="AI46" s="231"/>
      <c r="AJ46" s="50"/>
      <c r="AK46" s="1"/>
      <c r="AL46" s="23">
        <f t="shared" si="7"/>
        <v>7730</v>
      </c>
      <c r="AM46" s="24"/>
      <c r="AN46" s="24"/>
      <c r="AO46" s="24"/>
      <c r="AP46" s="24">
        <v>118162</v>
      </c>
      <c r="AQ46" s="24"/>
      <c r="AR46" s="25">
        <f t="shared" si="8"/>
        <v>6.9997826716893655E-2</v>
      </c>
      <c r="AS46" s="25"/>
      <c r="AT46" s="25"/>
      <c r="AU46" s="24"/>
      <c r="AV46" s="341">
        <f t="shared" si="25"/>
        <v>0.12036381527278506</v>
      </c>
      <c r="AW46" s="341"/>
      <c r="AX46" s="24">
        <f t="shared" si="26"/>
        <v>3193.5675675675675</v>
      </c>
      <c r="AY46" s="351"/>
      <c r="AZ46" s="1"/>
      <c r="BA46" s="66">
        <f t="shared" si="17"/>
        <v>263635</v>
      </c>
      <c r="BB46" s="67"/>
      <c r="BC46" s="67">
        <v>5279237</v>
      </c>
      <c r="BD46" s="67"/>
      <c r="BE46" s="67">
        <f t="shared" si="12"/>
        <v>35419</v>
      </c>
      <c r="BF46" s="67"/>
      <c r="BG46" s="156">
        <f t="shared" si="20"/>
        <v>0.13434862594116867</v>
      </c>
      <c r="BH46" s="67"/>
      <c r="BI46" s="183"/>
      <c r="BJ46" s="67"/>
      <c r="BK46" s="67"/>
      <c r="BL46" s="67"/>
      <c r="BM46" s="156"/>
      <c r="BN46" s="66">
        <f t="shared" si="21"/>
        <v>142682.08108108109</v>
      </c>
      <c r="BO46" s="67"/>
      <c r="BP46" s="67">
        <f t="shared" si="16"/>
        <v>708329</v>
      </c>
      <c r="BQ46" s="67"/>
      <c r="BR46" s="74">
        <f t="shared" si="13"/>
        <v>0.13417260865537955</v>
      </c>
      <c r="BS46" s="67"/>
      <c r="BT46" s="86"/>
      <c r="BU46" s="183"/>
      <c r="BV46" s="1"/>
      <c r="BW46">
        <f t="shared" si="11"/>
        <v>37</v>
      </c>
    </row>
    <row r="47" spans="2:75" x14ac:dyDescent="0.3">
      <c r="B47" s="390">
        <f t="shared" si="6"/>
        <v>43947</v>
      </c>
      <c r="C47" s="61"/>
      <c r="D47" s="17">
        <v>26509</v>
      </c>
      <c r="E47" s="16"/>
      <c r="F47" s="16"/>
      <c r="G47" s="16"/>
      <c r="H47" s="16">
        <f t="shared" ref="H47:H52" si="27">+H46+D47</f>
        <v>1008216</v>
      </c>
      <c r="I47" s="16"/>
      <c r="J47" s="38">
        <f t="shared" si="1"/>
        <v>2.7002965243193743E-2</v>
      </c>
      <c r="K47" s="16"/>
      <c r="L47" s="16"/>
      <c r="M47" s="16"/>
      <c r="N47" s="16"/>
      <c r="O47" s="16">
        <f t="shared" si="22"/>
        <v>26532</v>
      </c>
      <c r="P47" s="41"/>
      <c r="Q47" s="17">
        <f>SUM(D41:D47)</f>
        <v>217050</v>
      </c>
      <c r="R47" s="16"/>
      <c r="S47" s="60">
        <f>+(Q47-Q40)/Q40</f>
        <v>6.0461707585196041E-2</v>
      </c>
      <c r="T47" s="16"/>
      <c r="U47" s="41"/>
      <c r="V47" s="391"/>
      <c r="W47" s="34">
        <v>1156</v>
      </c>
      <c r="X47" s="33"/>
      <c r="Y47" s="33"/>
      <c r="Z47" s="33"/>
      <c r="AA47" s="33">
        <f t="shared" si="19"/>
        <v>58165</v>
      </c>
      <c r="AB47" s="33"/>
      <c r="AC47" s="46">
        <f t="shared" si="23"/>
        <v>5.7691010656446634E-2</v>
      </c>
      <c r="AD47" s="33"/>
      <c r="AE47" s="33">
        <f t="shared" si="24"/>
        <v>1530.6578947368421</v>
      </c>
      <c r="AF47" s="50"/>
      <c r="AG47" s="33">
        <f>SUM(W41:W47)</f>
        <v>14511</v>
      </c>
      <c r="AH47" s="33"/>
      <c r="AI47" s="231">
        <f>+(AG47-AG40)/AG40</f>
        <v>-1.2924290864567036E-2</v>
      </c>
      <c r="AJ47" s="50"/>
      <c r="AK47" s="391"/>
      <c r="AL47" s="23">
        <f t="shared" si="7"/>
        <v>619</v>
      </c>
      <c r="AM47" s="24"/>
      <c r="AN47" s="24"/>
      <c r="AO47" s="24"/>
      <c r="AP47" s="24">
        <v>118781</v>
      </c>
      <c r="AQ47" s="24"/>
      <c r="AR47" s="25">
        <f t="shared" si="8"/>
        <v>5.238570775714697E-3</v>
      </c>
      <c r="AS47" s="25"/>
      <c r="AT47" s="25"/>
      <c r="AU47" s="24"/>
      <c r="AV47" s="341">
        <f t="shared" si="25"/>
        <v>0.1178130479976513</v>
      </c>
      <c r="AW47" s="341"/>
      <c r="AX47" s="24">
        <f t="shared" si="26"/>
        <v>3125.8157894736842</v>
      </c>
      <c r="AY47" s="351"/>
      <c r="AZ47" s="391"/>
      <c r="BA47" s="66">
        <f t="shared" si="17"/>
        <v>191227</v>
      </c>
      <c r="BB47" s="67"/>
      <c r="BC47" s="67">
        <v>5470464</v>
      </c>
      <c r="BD47" s="67"/>
      <c r="BE47" s="67">
        <f t="shared" si="12"/>
        <v>26509</v>
      </c>
      <c r="BF47" s="67"/>
      <c r="BG47" s="156">
        <f t="shared" si="20"/>
        <v>0.13862582166744236</v>
      </c>
      <c r="BH47" s="67"/>
      <c r="BI47" s="183"/>
      <c r="BJ47" s="67"/>
      <c r="BK47" s="67">
        <f>SUM(BA41:BA47)</f>
        <v>1608915</v>
      </c>
      <c r="BL47" s="67"/>
      <c r="BM47" s="156">
        <f>+Q47/BK47</f>
        <v>0.13490457855138402</v>
      </c>
      <c r="BN47" s="66">
        <f t="shared" si="21"/>
        <v>143959.57894736843</v>
      </c>
      <c r="BO47" s="67"/>
      <c r="BP47" s="67">
        <f t="shared" si="16"/>
        <v>734838</v>
      </c>
      <c r="BQ47" s="67"/>
      <c r="BR47" s="74">
        <f t="shared" si="13"/>
        <v>0.13432827635827602</v>
      </c>
      <c r="BS47" s="67"/>
      <c r="BT47" s="86"/>
      <c r="BU47" s="183"/>
      <c r="BV47" s="1"/>
      <c r="BW47">
        <f t="shared" si="11"/>
        <v>38</v>
      </c>
    </row>
    <row r="48" spans="2:75" x14ac:dyDescent="0.3">
      <c r="B48" s="171">
        <f t="shared" si="6"/>
        <v>43948</v>
      </c>
      <c r="C48" s="61"/>
      <c r="D48" s="17">
        <v>23196</v>
      </c>
      <c r="E48" s="16"/>
      <c r="F48" s="16"/>
      <c r="G48" s="16"/>
      <c r="H48" s="16">
        <f t="shared" si="27"/>
        <v>1031412</v>
      </c>
      <c r="I48" s="16"/>
      <c r="J48" s="38">
        <f t="shared" si="1"/>
        <v>2.3006974695898498E-2</v>
      </c>
      <c r="K48" s="16"/>
      <c r="L48" s="16"/>
      <c r="M48" s="16"/>
      <c r="N48" s="16"/>
      <c r="O48" s="16">
        <f t="shared" si="22"/>
        <v>26446.461538461539</v>
      </c>
      <c r="P48" s="41"/>
      <c r="Q48" s="17">
        <f>+Q47/7</f>
        <v>31007.142857142859</v>
      </c>
      <c r="R48" s="16"/>
      <c r="S48" s="16"/>
      <c r="T48" s="16"/>
      <c r="U48" s="41"/>
      <c r="V48" s="10"/>
      <c r="W48" s="34">
        <f>1384-1</f>
        <v>1383</v>
      </c>
      <c r="X48" s="33"/>
      <c r="Y48" s="33"/>
      <c r="Z48" s="33"/>
      <c r="AA48" s="33">
        <f t="shared" si="19"/>
        <v>59548</v>
      </c>
      <c r="AB48" s="33"/>
      <c r="AC48" s="46">
        <f t="shared" si="23"/>
        <v>5.7734445594970776E-2</v>
      </c>
      <c r="AD48" s="33"/>
      <c r="AE48" s="33">
        <f t="shared" si="24"/>
        <v>1526.8717948717949</v>
      </c>
      <c r="AF48" s="50"/>
      <c r="AG48" s="33"/>
      <c r="AH48" s="33"/>
      <c r="AI48" s="33"/>
      <c r="AJ48" s="50"/>
      <c r="AK48" s="10"/>
      <c r="AL48" s="23">
        <f t="shared" si="7"/>
        <v>19024</v>
      </c>
      <c r="AM48" s="24"/>
      <c r="AN48" s="24"/>
      <c r="AO48" s="24"/>
      <c r="AP48" s="24">
        <v>137805</v>
      </c>
      <c r="AQ48" s="24"/>
      <c r="AR48" s="25">
        <f t="shared" si="8"/>
        <v>0.16016029499667456</v>
      </c>
      <c r="AS48" s="25"/>
      <c r="AT48" s="25"/>
      <c r="AU48" s="24"/>
      <c r="AV48" s="341">
        <f t="shared" si="25"/>
        <v>0.13360810229084014</v>
      </c>
      <c r="AW48" s="341"/>
      <c r="AX48" s="24">
        <f t="shared" si="26"/>
        <v>3533.4615384615386</v>
      </c>
      <c r="AY48" s="351"/>
      <c r="AZ48" s="10"/>
      <c r="BA48" s="66">
        <f t="shared" si="17"/>
        <v>202776</v>
      </c>
      <c r="BB48" s="67"/>
      <c r="BC48" s="67">
        <v>5673240</v>
      </c>
      <c r="BD48" s="67"/>
      <c r="BE48" s="67">
        <f t="shared" si="12"/>
        <v>23196</v>
      </c>
      <c r="BF48" s="67"/>
      <c r="BG48" s="156">
        <f t="shared" si="20"/>
        <v>0.11439223576754645</v>
      </c>
      <c r="BH48" s="67"/>
      <c r="BI48" s="183"/>
      <c r="BJ48" s="67"/>
      <c r="BK48" s="67"/>
      <c r="BL48" s="67"/>
      <c r="BM48" s="67"/>
      <c r="BN48" s="66">
        <f t="shared" si="21"/>
        <v>145467.69230769231</v>
      </c>
      <c r="BO48" s="67"/>
      <c r="BP48" s="67">
        <f t="shared" si="16"/>
        <v>758034</v>
      </c>
      <c r="BQ48" s="67"/>
      <c r="BR48" s="74">
        <f t="shared" si="13"/>
        <v>0.133615711656831</v>
      </c>
      <c r="BS48" s="67"/>
      <c r="BT48" s="86"/>
      <c r="BU48" s="183"/>
      <c r="BV48" s="1"/>
      <c r="BW48">
        <f t="shared" si="11"/>
        <v>39</v>
      </c>
    </row>
    <row r="49" spans="2:79" x14ac:dyDescent="0.3">
      <c r="B49" s="171">
        <f t="shared" si="6"/>
        <v>43949</v>
      </c>
      <c r="C49" s="61"/>
      <c r="D49" s="17">
        <v>25409</v>
      </c>
      <c r="E49" s="16"/>
      <c r="F49" s="16"/>
      <c r="G49" s="16"/>
      <c r="H49" s="16">
        <f t="shared" si="27"/>
        <v>1056821</v>
      </c>
      <c r="I49" s="16"/>
      <c r="J49" s="38">
        <f t="shared" si="1"/>
        <v>2.4635160343296374E-2</v>
      </c>
      <c r="K49" s="16"/>
      <c r="L49" s="16"/>
      <c r="M49" s="16"/>
      <c r="N49" s="16"/>
      <c r="O49" s="16">
        <f t="shared" si="22"/>
        <v>26420.525000000001</v>
      </c>
      <c r="P49" s="41"/>
      <c r="Q49" s="17"/>
      <c r="R49" s="16"/>
      <c r="S49" s="16"/>
      <c r="T49" s="16"/>
      <c r="U49" s="41"/>
      <c r="V49" s="1"/>
      <c r="W49" s="34">
        <v>2470</v>
      </c>
      <c r="X49" s="33"/>
      <c r="Y49" s="33"/>
      <c r="Z49" s="33"/>
      <c r="AA49" s="33">
        <f t="shared" si="19"/>
        <v>62018</v>
      </c>
      <c r="AB49" s="33"/>
      <c r="AC49" s="46">
        <f t="shared" si="23"/>
        <v>5.8683542435284688E-2</v>
      </c>
      <c r="AD49" s="33"/>
      <c r="AE49" s="33">
        <f t="shared" si="24"/>
        <v>1550.45</v>
      </c>
      <c r="AF49" s="50"/>
      <c r="AG49" s="33"/>
      <c r="AH49" s="231">
        <f>+AH51/AH50</f>
        <v>6.194382152455194E-2</v>
      </c>
      <c r="AI49" s="33"/>
      <c r="AJ49" s="50"/>
      <c r="AK49" s="1"/>
      <c r="AL49" s="23">
        <f t="shared" si="7"/>
        <v>4146</v>
      </c>
      <c r="AM49" s="24"/>
      <c r="AN49" s="24"/>
      <c r="AO49" s="24"/>
      <c r="AP49" s="24">
        <v>141951</v>
      </c>
      <c r="AQ49" s="24"/>
      <c r="AR49" s="25">
        <f t="shared" si="8"/>
        <v>3.0085991074344183E-2</v>
      </c>
      <c r="AS49" s="25"/>
      <c r="AT49" s="25"/>
      <c r="AU49" s="24"/>
      <c r="AV49" s="341">
        <f t="shared" si="25"/>
        <v>0.13431886762280462</v>
      </c>
      <c r="AW49" s="341"/>
      <c r="AX49" s="24">
        <f t="shared" si="26"/>
        <v>3548.7750000000001</v>
      </c>
      <c r="AY49" s="351"/>
      <c r="AZ49" s="1"/>
      <c r="BA49" s="66">
        <f t="shared" si="17"/>
        <v>187926</v>
      </c>
      <c r="BB49" s="67"/>
      <c r="BC49" s="67">
        <v>5861166</v>
      </c>
      <c r="BD49" s="67"/>
      <c r="BE49" s="67">
        <f t="shared" si="12"/>
        <v>25409</v>
      </c>
      <c r="BF49" s="67"/>
      <c r="BG49" s="156">
        <f t="shared" si="20"/>
        <v>0.13520747528282409</v>
      </c>
      <c r="BH49" s="67"/>
      <c r="BI49" s="183"/>
      <c r="BJ49" s="67"/>
      <c r="BK49" s="67"/>
      <c r="BL49" s="67"/>
      <c r="BM49" s="67"/>
      <c r="BN49" s="66">
        <f t="shared" si="21"/>
        <v>146529.15</v>
      </c>
      <c r="BO49" s="67"/>
      <c r="BP49" s="67">
        <f t="shared" si="16"/>
        <v>783443</v>
      </c>
      <c r="BQ49" s="67"/>
      <c r="BR49" s="74">
        <f t="shared" si="13"/>
        <v>0.13366674822040528</v>
      </c>
      <c r="BS49" s="67"/>
      <c r="BT49" s="86"/>
      <c r="BU49" s="183"/>
      <c r="BV49" s="1"/>
      <c r="BW49">
        <f t="shared" si="11"/>
        <v>40</v>
      </c>
    </row>
    <row r="50" spans="2:79" x14ac:dyDescent="0.3">
      <c r="B50" s="171">
        <f t="shared" si="6"/>
        <v>43950</v>
      </c>
      <c r="C50" s="61"/>
      <c r="D50" s="17">
        <v>28429</v>
      </c>
      <c r="E50" s="16"/>
      <c r="F50" s="16"/>
      <c r="G50" s="16"/>
      <c r="H50" s="16">
        <f t="shared" si="27"/>
        <v>1085250</v>
      </c>
      <c r="I50" s="16"/>
      <c r="J50" s="38">
        <f t="shared" si="1"/>
        <v>2.6900487405151864E-2</v>
      </c>
      <c r="K50" s="16"/>
      <c r="L50" s="16"/>
      <c r="M50" s="16"/>
      <c r="N50" s="16"/>
      <c r="O50" s="16">
        <f t="shared" si="22"/>
        <v>26469.512195121952</v>
      </c>
      <c r="P50" s="41"/>
      <c r="Q50" s="17"/>
      <c r="R50" s="16"/>
      <c r="S50" s="16"/>
      <c r="T50" s="16"/>
      <c r="U50" s="41"/>
      <c r="V50" s="1"/>
      <c r="W50" s="34">
        <v>2390</v>
      </c>
      <c r="X50" s="33"/>
      <c r="Y50" s="33"/>
      <c r="Z50" s="33"/>
      <c r="AA50" s="33">
        <f t="shared" si="19"/>
        <v>64408</v>
      </c>
      <c r="AB50" s="33"/>
      <c r="AC50" s="46">
        <f t="shared" si="23"/>
        <v>5.9348537203409352E-2</v>
      </c>
      <c r="AD50" s="33"/>
      <c r="AE50" s="33">
        <f t="shared" si="24"/>
        <v>1570.9268292682927</v>
      </c>
      <c r="AF50" s="50"/>
      <c r="AG50" s="33"/>
      <c r="AH50" s="33">
        <f>SUM(D22:D51)</f>
        <v>898992</v>
      </c>
      <c r="AI50" s="33"/>
      <c r="AJ50" s="50"/>
      <c r="AK50" s="1"/>
      <c r="AL50" s="23">
        <f t="shared" si="7"/>
        <v>5460</v>
      </c>
      <c r="AM50" s="24"/>
      <c r="AN50" s="24"/>
      <c r="AO50" s="24"/>
      <c r="AP50" s="24">
        <v>147411</v>
      </c>
      <c r="AQ50" s="24"/>
      <c r="AR50" s="25">
        <f t="shared" si="8"/>
        <v>3.8463977006150007E-2</v>
      </c>
      <c r="AS50" s="25"/>
      <c r="AT50" s="25"/>
      <c r="AU50" s="24"/>
      <c r="AV50" s="341">
        <f t="shared" si="25"/>
        <v>0.13583137525915687</v>
      </c>
      <c r="AW50" s="341"/>
      <c r="AX50" s="24">
        <f t="shared" si="26"/>
        <v>3595.3902439024391</v>
      </c>
      <c r="AY50" s="351"/>
      <c r="AZ50" s="1"/>
      <c r="BA50" s="66">
        <f t="shared" si="17"/>
        <v>278745</v>
      </c>
      <c r="BB50" s="67"/>
      <c r="BC50" s="67">
        <v>6139911</v>
      </c>
      <c r="BD50" s="67"/>
      <c r="BE50" s="67">
        <f t="shared" si="12"/>
        <v>28429</v>
      </c>
      <c r="BF50" s="67"/>
      <c r="BG50" s="156">
        <f t="shared" si="20"/>
        <v>0.10198927335019463</v>
      </c>
      <c r="BH50" s="67"/>
      <c r="BI50" s="183"/>
      <c r="BJ50" s="67"/>
      <c r="BK50" s="67"/>
      <c r="BL50" s="67"/>
      <c r="BM50" s="67"/>
      <c r="BN50" s="66">
        <f t="shared" si="21"/>
        <v>149753.92682926828</v>
      </c>
      <c r="BO50" s="67"/>
      <c r="BP50" s="67">
        <f t="shared" si="16"/>
        <v>811872</v>
      </c>
      <c r="BQ50" s="67"/>
      <c r="BR50" s="74">
        <f t="shared" si="13"/>
        <v>0.13222862676673977</v>
      </c>
      <c r="BS50" s="67"/>
      <c r="BT50" s="86"/>
      <c r="BU50" s="183"/>
      <c r="BV50" s="1"/>
      <c r="BW50">
        <f t="shared" si="11"/>
        <v>41</v>
      </c>
    </row>
    <row r="51" spans="2:79" x14ac:dyDescent="0.3">
      <c r="B51" s="171">
        <f t="shared" si="6"/>
        <v>43951</v>
      </c>
      <c r="C51" s="61"/>
      <c r="D51" s="17">
        <v>30829</v>
      </c>
      <c r="E51" s="16"/>
      <c r="F51" s="16"/>
      <c r="G51" s="16"/>
      <c r="H51" s="16">
        <f t="shared" si="27"/>
        <v>1116079</v>
      </c>
      <c r="I51" s="16"/>
      <c r="J51" s="38">
        <f t="shared" si="1"/>
        <v>2.8407279428703063E-2</v>
      </c>
      <c r="K51" s="16"/>
      <c r="L51" s="16"/>
      <c r="M51" s="16"/>
      <c r="N51" s="16"/>
      <c r="O51" s="16">
        <f t="shared" si="22"/>
        <v>26573.309523809523</v>
      </c>
      <c r="P51" s="41"/>
      <c r="Q51" s="17"/>
      <c r="R51" s="16"/>
      <c r="S51" s="16"/>
      <c r="T51" s="16"/>
      <c r="U51" s="41"/>
      <c r="V51" s="1"/>
      <c r="W51" s="34">
        <v>2201</v>
      </c>
      <c r="X51" s="33"/>
      <c r="Y51" s="33"/>
      <c r="Z51" s="33"/>
      <c r="AA51" s="33">
        <f t="shared" si="19"/>
        <v>66609</v>
      </c>
      <c r="AB51" s="33"/>
      <c r="AC51" s="46">
        <f t="shared" si="23"/>
        <v>5.9681259122338112E-2</v>
      </c>
      <c r="AD51" s="33"/>
      <c r="AE51" s="33">
        <f t="shared" si="24"/>
        <v>1585.9285714285713</v>
      </c>
      <c r="AF51" s="50"/>
      <c r="AG51" s="33"/>
      <c r="AH51" s="33">
        <f>SUM(W22:W51)</f>
        <v>55687</v>
      </c>
      <c r="AI51" s="33"/>
      <c r="AJ51" s="50"/>
      <c r="AK51" s="1"/>
      <c r="AL51" s="23">
        <f t="shared" si="7"/>
        <v>4913</v>
      </c>
      <c r="AM51" s="24"/>
      <c r="AN51" s="24"/>
      <c r="AO51" s="24"/>
      <c r="AP51" s="24">
        <v>152324</v>
      </c>
      <c r="AQ51" s="24"/>
      <c r="AR51" s="25">
        <f t="shared" si="8"/>
        <v>3.3328584705347636E-2</v>
      </c>
      <c r="AS51" s="25"/>
      <c r="AT51" s="25"/>
      <c r="AU51" s="24"/>
      <c r="AV51" s="341">
        <f t="shared" si="25"/>
        <v>0.1364813781103309</v>
      </c>
      <c r="AW51" s="341"/>
      <c r="AX51" s="24">
        <f t="shared" si="26"/>
        <v>3626.7619047619046</v>
      </c>
      <c r="AY51" s="351"/>
      <c r="AZ51" s="1"/>
      <c r="BA51" s="66">
        <f t="shared" si="17"/>
        <v>236535</v>
      </c>
      <c r="BB51" s="67"/>
      <c r="BC51" s="67">
        <v>6376446</v>
      </c>
      <c r="BD51" s="67"/>
      <c r="BE51" s="67">
        <f t="shared" si="12"/>
        <v>30829</v>
      </c>
      <c r="BF51" s="67"/>
      <c r="BG51" s="156">
        <f t="shared" si="20"/>
        <v>0.13033589109434121</v>
      </c>
      <c r="BH51" s="67"/>
      <c r="BI51" s="183"/>
      <c r="BJ51" s="67"/>
      <c r="BK51" s="67">
        <f>SUM(BA22:BA51)</f>
        <v>6376446</v>
      </c>
      <c r="BL51" s="67"/>
      <c r="BM51" s="67"/>
      <c r="BN51" s="66">
        <f t="shared" si="21"/>
        <v>151820.14285714287</v>
      </c>
      <c r="BO51" s="67"/>
      <c r="BP51" s="67">
        <f t="shared" si="16"/>
        <v>842701</v>
      </c>
      <c r="BQ51" s="67"/>
      <c r="BR51" s="74">
        <f t="shared" si="13"/>
        <v>0.13215841551861335</v>
      </c>
      <c r="BS51" s="67"/>
      <c r="BT51" s="86"/>
      <c r="BU51" s="183"/>
      <c r="BV51" s="1"/>
      <c r="BW51">
        <f t="shared" si="11"/>
        <v>42</v>
      </c>
    </row>
    <row r="52" spans="2:79" x14ac:dyDescent="0.3">
      <c r="B52" s="171">
        <f t="shared" si="6"/>
        <v>43952</v>
      </c>
      <c r="C52" s="61"/>
      <c r="D52" s="17">
        <v>36007</v>
      </c>
      <c r="E52" s="16"/>
      <c r="F52" s="16"/>
      <c r="G52" s="16"/>
      <c r="H52" s="16">
        <f t="shared" si="27"/>
        <v>1152086</v>
      </c>
      <c r="I52" s="16"/>
      <c r="J52" s="38">
        <f t="shared" ref="J52:J64" si="28">+D52/H51</f>
        <v>3.2262053134231534E-2</v>
      </c>
      <c r="K52" s="16"/>
      <c r="L52" s="16"/>
      <c r="M52" s="16"/>
      <c r="N52" s="16"/>
      <c r="O52" s="16">
        <f t="shared" si="22"/>
        <v>26792.697674418603</v>
      </c>
      <c r="P52" s="41"/>
      <c r="Q52" s="17"/>
      <c r="R52" s="16"/>
      <c r="S52" s="16"/>
      <c r="T52" s="16"/>
      <c r="U52" s="41"/>
      <c r="V52" s="1"/>
      <c r="W52" s="34">
        <v>1897</v>
      </c>
      <c r="X52" s="33"/>
      <c r="Y52" s="33"/>
      <c r="Z52" s="33"/>
      <c r="AA52" s="33">
        <f t="shared" ref="AA52:AA64" si="29">+AA51+W52</f>
        <v>68506</v>
      </c>
      <c r="AB52" s="33"/>
      <c r="AC52" s="46">
        <f t="shared" si="23"/>
        <v>5.9462574842503078E-2</v>
      </c>
      <c r="AD52" s="33"/>
      <c r="AE52" s="33">
        <f t="shared" si="24"/>
        <v>1593.1627906976744</v>
      </c>
      <c r="AF52" s="50"/>
      <c r="AG52" s="33"/>
      <c r="AH52" s="33">
        <f>+W52</f>
        <v>1897</v>
      </c>
      <c r="AI52" s="33"/>
      <c r="AJ52" s="50"/>
      <c r="AK52" s="1"/>
      <c r="AL52" s="23">
        <f t="shared" ref="AL52:AL64" si="30">+AP52-AP51</f>
        <v>9239</v>
      </c>
      <c r="AM52" s="24"/>
      <c r="AN52" s="24"/>
      <c r="AO52" s="24"/>
      <c r="AP52" s="24">
        <v>161563</v>
      </c>
      <c r="AQ52" s="24"/>
      <c r="AR52" s="25">
        <f t="shared" ref="AR52:AR64" si="31">+AL52/AP51</f>
        <v>6.0653606785536093E-2</v>
      </c>
      <c r="AS52" s="25"/>
      <c r="AT52" s="25"/>
      <c r="AU52" s="24"/>
      <c r="AV52" s="341">
        <f t="shared" si="25"/>
        <v>0.14023519077568863</v>
      </c>
      <c r="AW52" s="341"/>
      <c r="AX52" s="24">
        <f t="shared" si="26"/>
        <v>3757.2790697674418</v>
      </c>
      <c r="AY52" s="351"/>
      <c r="AZ52" s="503"/>
      <c r="BA52" s="66">
        <f t="shared" ref="BA52:BA64" si="32">+BC52-BC51</f>
        <v>323432</v>
      </c>
      <c r="BB52" s="67"/>
      <c r="BC52" s="67">
        <v>6699878</v>
      </c>
      <c r="BD52" s="67"/>
      <c r="BE52" s="67">
        <f t="shared" si="12"/>
        <v>36007</v>
      </c>
      <c r="BF52" s="67"/>
      <c r="BG52" s="156">
        <f t="shared" ref="BG52:BG64" si="33">+BE52/BA52</f>
        <v>0.11132788344999876</v>
      </c>
      <c r="BH52" s="67"/>
      <c r="BI52" s="183"/>
      <c r="BJ52" s="67"/>
      <c r="BK52" s="67"/>
      <c r="BL52" s="67"/>
      <c r="BM52" s="67"/>
      <c r="BN52" s="66">
        <f t="shared" si="21"/>
        <v>155811.11627906977</v>
      </c>
      <c r="BO52" s="67"/>
      <c r="BP52" s="67">
        <f t="shared" si="16"/>
        <v>878708</v>
      </c>
      <c r="BQ52" s="67"/>
      <c r="BR52" s="74">
        <f t="shared" si="13"/>
        <v>0.13115283591731072</v>
      </c>
      <c r="BS52" s="67"/>
      <c r="BT52" s="86"/>
      <c r="BU52" s="183"/>
      <c r="BV52" s="1"/>
      <c r="BW52">
        <f t="shared" si="11"/>
        <v>43</v>
      </c>
    </row>
    <row r="53" spans="2:79" x14ac:dyDescent="0.3">
      <c r="B53" s="476">
        <f t="shared" si="6"/>
        <v>43953</v>
      </c>
      <c r="C53" s="61"/>
      <c r="D53" s="17">
        <v>29744</v>
      </c>
      <c r="E53" s="16"/>
      <c r="F53" s="16"/>
      <c r="G53" s="16"/>
      <c r="H53" s="16">
        <f t="shared" ref="H53:H64" si="34">+H52+D53</f>
        <v>1181830</v>
      </c>
      <c r="I53" s="16"/>
      <c r="J53" s="38">
        <f t="shared" si="28"/>
        <v>2.5817517095077971E-2</v>
      </c>
      <c r="K53" s="16"/>
      <c r="L53" s="16"/>
      <c r="M53" s="16"/>
      <c r="N53" s="16"/>
      <c r="O53" s="16">
        <f t="shared" si="22"/>
        <v>26859.772727272728</v>
      </c>
      <c r="P53" s="41"/>
      <c r="Q53" s="17"/>
      <c r="R53" s="16"/>
      <c r="S53" s="60"/>
      <c r="T53" s="16"/>
      <c r="U53" s="41"/>
      <c r="V53" s="477"/>
      <c r="W53" s="34">
        <v>1691</v>
      </c>
      <c r="X53" s="33"/>
      <c r="Y53" s="33"/>
      <c r="Z53" s="33"/>
      <c r="AA53" s="33">
        <f t="shared" si="29"/>
        <v>70197</v>
      </c>
      <c r="AB53" s="33"/>
      <c r="AC53" s="46">
        <f t="shared" si="23"/>
        <v>5.9396867569785843E-2</v>
      </c>
      <c r="AD53" s="33"/>
      <c r="AE53" s="33">
        <f t="shared" si="24"/>
        <v>1595.3863636363637</v>
      </c>
      <c r="AF53" s="50"/>
      <c r="AG53" s="33"/>
      <c r="AH53" s="33">
        <f t="shared" ref="AH53:AH82" si="35">+W53</f>
        <v>1691</v>
      </c>
      <c r="AI53" s="231"/>
      <c r="AJ53" s="50"/>
      <c r="AK53" s="1"/>
      <c r="AL53" s="23">
        <f t="shared" si="30"/>
        <v>11755</v>
      </c>
      <c r="AM53" s="24"/>
      <c r="AN53" s="24"/>
      <c r="AO53" s="24"/>
      <c r="AP53" s="24">
        <v>173318</v>
      </c>
      <c r="AQ53" s="24"/>
      <c r="AR53" s="25">
        <f t="shared" si="31"/>
        <v>7.2757995333089881E-2</v>
      </c>
      <c r="AS53" s="25"/>
      <c r="AT53" s="25"/>
      <c r="AU53" s="24"/>
      <c r="AV53" s="341">
        <f t="shared" si="25"/>
        <v>0.14665222578543446</v>
      </c>
      <c r="AW53" s="341"/>
      <c r="AX53" s="24">
        <f t="shared" si="26"/>
        <v>3939.0454545454545</v>
      </c>
      <c r="AY53" s="351"/>
      <c r="AZ53" s="1"/>
      <c r="BA53" s="66">
        <f t="shared" si="32"/>
        <v>231254</v>
      </c>
      <c r="BB53" s="67"/>
      <c r="BC53" s="67">
        <v>6931132</v>
      </c>
      <c r="BD53" s="67"/>
      <c r="BE53" s="67">
        <f t="shared" si="12"/>
        <v>29744</v>
      </c>
      <c r="BF53" s="67"/>
      <c r="BG53" s="156">
        <f t="shared" si="33"/>
        <v>0.12862047791605766</v>
      </c>
      <c r="BH53" s="67"/>
      <c r="BI53" s="183"/>
      <c r="BJ53" s="67"/>
      <c r="BK53" s="67"/>
      <c r="BL53" s="67"/>
      <c r="BM53" s="156"/>
      <c r="BN53" s="66">
        <f t="shared" si="21"/>
        <v>157525.72727272726</v>
      </c>
      <c r="BO53" s="67"/>
      <c r="BP53" s="67">
        <f t="shared" si="16"/>
        <v>908452</v>
      </c>
      <c r="BQ53" s="67"/>
      <c r="BR53" s="74">
        <f t="shared" si="13"/>
        <v>0.13106834496875835</v>
      </c>
      <c r="BS53" s="67"/>
      <c r="BT53" s="86"/>
      <c r="BU53" s="183"/>
      <c r="BV53" s="1"/>
      <c r="BW53">
        <f t="shared" si="11"/>
        <v>44</v>
      </c>
    </row>
    <row r="54" spans="2:79" x14ac:dyDescent="0.3">
      <c r="B54" s="390">
        <f t="shared" si="6"/>
        <v>43954</v>
      </c>
      <c r="C54" s="61"/>
      <c r="D54" s="17">
        <v>27348</v>
      </c>
      <c r="E54" s="16"/>
      <c r="F54" s="16"/>
      <c r="G54" s="16"/>
      <c r="H54" s="16">
        <f t="shared" si="34"/>
        <v>1209178</v>
      </c>
      <c r="I54" s="16"/>
      <c r="J54" s="38">
        <f t="shared" si="28"/>
        <v>2.3140383980775576E-2</v>
      </c>
      <c r="K54" s="16"/>
      <c r="L54" s="16"/>
      <c r="M54" s="16"/>
      <c r="N54" s="16"/>
      <c r="O54" s="16">
        <f t="shared" si="22"/>
        <v>26870.62222222222</v>
      </c>
      <c r="P54" s="41"/>
      <c r="Q54" s="17">
        <f>SUM(D48:D54)</f>
        <v>200962</v>
      </c>
      <c r="R54" s="16"/>
      <c r="S54" s="60">
        <f>+(Q54-Q47)/Q47</f>
        <v>-7.4121170237272521E-2</v>
      </c>
      <c r="T54" s="16"/>
      <c r="U54" s="41"/>
      <c r="V54" s="391"/>
      <c r="W54" s="34">
        <v>1153</v>
      </c>
      <c r="X54" s="33"/>
      <c r="Y54" s="33"/>
      <c r="Z54" s="33"/>
      <c r="AA54" s="33">
        <f t="shared" si="29"/>
        <v>71350</v>
      </c>
      <c r="AB54" s="33"/>
      <c r="AC54" s="46">
        <f t="shared" si="23"/>
        <v>5.9007027914831395E-2</v>
      </c>
      <c r="AD54" s="33"/>
      <c r="AE54" s="33">
        <f t="shared" si="24"/>
        <v>1585.5555555555557</v>
      </c>
      <c r="AF54" s="50"/>
      <c r="AG54" s="33">
        <f>SUM(W48:W54)</f>
        <v>13185</v>
      </c>
      <c r="AH54" s="33">
        <f t="shared" si="35"/>
        <v>1153</v>
      </c>
      <c r="AI54" s="231">
        <f>+(AG54-AG47)/AG47</f>
        <v>-9.1378953897043619E-2</v>
      </c>
      <c r="AJ54" s="50"/>
      <c r="AK54" s="391"/>
      <c r="AL54" s="23">
        <f t="shared" si="30"/>
        <v>4945</v>
      </c>
      <c r="AM54" s="24"/>
      <c r="AN54" s="24"/>
      <c r="AO54" s="24">
        <v>178263</v>
      </c>
      <c r="AP54" s="24">
        <v>178263</v>
      </c>
      <c r="AQ54" s="24"/>
      <c r="AR54" s="25">
        <f t="shared" si="31"/>
        <v>2.8531370082738088E-2</v>
      </c>
      <c r="AS54" s="25"/>
      <c r="AT54" s="25"/>
      <c r="AU54" s="24"/>
      <c r="AV54" s="341">
        <f t="shared" si="25"/>
        <v>0.14742494487991015</v>
      </c>
      <c r="AW54" s="341"/>
      <c r="AX54" s="24">
        <f t="shared" si="26"/>
        <v>3961.4</v>
      </c>
      <c r="AY54" s="351"/>
      <c r="AZ54" s="391"/>
      <c r="BA54" s="66">
        <f t="shared" si="32"/>
        <v>265608</v>
      </c>
      <c r="BB54" s="67"/>
      <c r="BC54" s="67">
        <v>7196740</v>
      </c>
      <c r="BD54" s="67"/>
      <c r="BE54" s="67">
        <f t="shared" si="12"/>
        <v>27348</v>
      </c>
      <c r="BF54" s="67"/>
      <c r="BG54" s="156">
        <f t="shared" si="33"/>
        <v>0.10296376615162194</v>
      </c>
      <c r="BH54" s="67"/>
      <c r="BI54" s="183"/>
      <c r="BJ54" s="67"/>
      <c r="BK54" s="67">
        <f>SUM(BA48:BA54)</f>
        <v>1726276</v>
      </c>
      <c r="BL54" s="67"/>
      <c r="BM54" s="156">
        <f>+Q54/BK54</f>
        <v>0.11641359782560842</v>
      </c>
      <c r="BN54" s="66">
        <f t="shared" si="21"/>
        <v>159927.55555555556</v>
      </c>
      <c r="BO54" s="67"/>
      <c r="BP54" s="67">
        <f t="shared" si="16"/>
        <v>935800</v>
      </c>
      <c r="BQ54" s="67"/>
      <c r="BR54" s="74">
        <f t="shared" si="13"/>
        <v>0.13003109741355112</v>
      </c>
      <c r="BS54" s="67"/>
      <c r="BT54" s="86"/>
      <c r="BU54" s="183"/>
      <c r="BV54" s="1"/>
      <c r="BW54">
        <f t="shared" si="11"/>
        <v>45</v>
      </c>
    </row>
    <row r="55" spans="2:79" x14ac:dyDescent="0.3">
      <c r="B55" s="171">
        <f t="shared" si="6"/>
        <v>43955</v>
      </c>
      <c r="C55" s="61"/>
      <c r="D55" s="17">
        <v>24713</v>
      </c>
      <c r="E55" s="16"/>
      <c r="F55" s="16"/>
      <c r="G55" s="16"/>
      <c r="H55" s="16">
        <f t="shared" si="34"/>
        <v>1233891</v>
      </c>
      <c r="I55" s="16"/>
      <c r="J55" s="38">
        <f t="shared" si="28"/>
        <v>2.0437851168314342E-2</v>
      </c>
      <c r="K55" s="16"/>
      <c r="L55" s="16"/>
      <c r="M55" s="16"/>
      <c r="N55" s="16"/>
      <c r="O55" s="16">
        <f t="shared" si="22"/>
        <v>26823.717391304348</v>
      </c>
      <c r="P55" s="41"/>
      <c r="Q55" s="17"/>
      <c r="R55" s="16"/>
      <c r="S55" s="16"/>
      <c r="T55" s="16"/>
      <c r="U55" s="41"/>
      <c r="V55" s="10"/>
      <c r="W55" s="34">
        <v>1324</v>
      </c>
      <c r="X55" s="33"/>
      <c r="Y55" s="33"/>
      <c r="Z55" s="33"/>
      <c r="AA55" s="33">
        <f t="shared" si="29"/>
        <v>72674</v>
      </c>
      <c r="AB55" s="33"/>
      <c r="AC55" s="46">
        <f t="shared" si="23"/>
        <v>5.8898233312342826E-2</v>
      </c>
      <c r="AD55" s="33"/>
      <c r="AE55" s="33">
        <f t="shared" si="24"/>
        <v>1579.8695652173913</v>
      </c>
      <c r="AF55" s="50"/>
      <c r="AG55" s="33"/>
      <c r="AH55" s="33">
        <f t="shared" si="35"/>
        <v>1324</v>
      </c>
      <c r="AI55" s="33"/>
      <c r="AJ55" s="50"/>
      <c r="AK55" s="10"/>
      <c r="AL55" s="23">
        <f t="shared" si="30"/>
        <v>9764</v>
      </c>
      <c r="AM55" s="24"/>
      <c r="AN55" s="24"/>
      <c r="AO55" s="24">
        <v>178263</v>
      </c>
      <c r="AP55" s="24">
        <v>188027</v>
      </c>
      <c r="AQ55" s="24"/>
      <c r="AR55" s="25">
        <f t="shared" si="31"/>
        <v>5.4773003932392025E-2</v>
      </c>
      <c r="AS55" s="25"/>
      <c r="AT55" s="25"/>
      <c r="AU55" s="24"/>
      <c r="AV55" s="341">
        <f t="shared" si="25"/>
        <v>0.15238542140270089</v>
      </c>
      <c r="AW55" s="341"/>
      <c r="AX55" s="24">
        <f t="shared" si="26"/>
        <v>4087.5434782608695</v>
      </c>
      <c r="AY55" s="351"/>
      <c r="AZ55" s="10"/>
      <c r="BA55" s="66">
        <f t="shared" si="32"/>
        <v>265691</v>
      </c>
      <c r="BB55" s="67"/>
      <c r="BC55" s="67">
        <v>7462431</v>
      </c>
      <c r="BD55" s="67"/>
      <c r="BE55" s="67">
        <f t="shared" si="12"/>
        <v>24713</v>
      </c>
      <c r="BF55" s="67"/>
      <c r="BG55" s="156">
        <f t="shared" si="33"/>
        <v>9.3014065211091082E-2</v>
      </c>
      <c r="BH55" s="67"/>
      <c r="BI55" s="183"/>
      <c r="BJ55" s="67"/>
      <c r="BK55" s="67"/>
      <c r="BL55" s="67"/>
      <c r="BM55" s="67"/>
      <c r="BN55" s="66">
        <f t="shared" si="21"/>
        <v>162226.76086956522</v>
      </c>
      <c r="BO55" s="67"/>
      <c r="BP55" s="67">
        <f t="shared" si="16"/>
        <v>960513</v>
      </c>
      <c r="BQ55" s="67"/>
      <c r="BR55" s="74">
        <f t="shared" si="13"/>
        <v>0.12871314991053184</v>
      </c>
      <c r="BS55" s="67"/>
      <c r="BT55" s="86"/>
      <c r="BU55" s="183"/>
      <c r="BV55" s="1"/>
      <c r="BW55">
        <f t="shared" si="11"/>
        <v>46</v>
      </c>
    </row>
    <row r="56" spans="2:79" x14ac:dyDescent="0.3">
      <c r="B56" s="171">
        <f t="shared" si="6"/>
        <v>43956</v>
      </c>
      <c r="C56" s="61"/>
      <c r="D56" s="17">
        <v>24798</v>
      </c>
      <c r="E56" s="16"/>
      <c r="F56" s="16"/>
      <c r="G56" s="16"/>
      <c r="H56" s="16">
        <f t="shared" si="34"/>
        <v>1258689</v>
      </c>
      <c r="I56" s="16"/>
      <c r="J56" s="38">
        <f t="shared" si="28"/>
        <v>2.0097399203009018E-2</v>
      </c>
      <c r="K56" s="16"/>
      <c r="L56" s="16"/>
      <c r="M56" s="16"/>
      <c r="N56" s="16"/>
      <c r="O56" s="16">
        <f t="shared" si="22"/>
        <v>26780.617021276597</v>
      </c>
      <c r="P56" s="41"/>
      <c r="Q56" s="17"/>
      <c r="R56" s="16"/>
      <c r="S56" s="16"/>
      <c r="T56" s="16"/>
      <c r="U56" s="41"/>
      <c r="V56" s="1"/>
      <c r="W56" s="34">
        <v>2350</v>
      </c>
      <c r="X56" s="33"/>
      <c r="Y56" s="33"/>
      <c r="Z56" s="33"/>
      <c r="AA56" s="33">
        <f t="shared" si="29"/>
        <v>75024</v>
      </c>
      <c r="AB56" s="33"/>
      <c r="AC56" s="46">
        <f t="shared" si="23"/>
        <v>5.9604874595710296E-2</v>
      </c>
      <c r="AD56" s="33"/>
      <c r="AE56" s="33">
        <f t="shared" si="24"/>
        <v>1596.2553191489362</v>
      </c>
      <c r="AF56" s="50"/>
      <c r="AG56" s="33"/>
      <c r="AH56" s="33">
        <f t="shared" si="35"/>
        <v>2350</v>
      </c>
      <c r="AI56" s="33"/>
      <c r="AJ56" s="50"/>
      <c r="AK56" s="1"/>
      <c r="AL56" s="23">
        <f t="shared" si="30"/>
        <v>12599</v>
      </c>
      <c r="AM56" s="24"/>
      <c r="AN56" s="24"/>
      <c r="AO56" s="24">
        <v>178263</v>
      </c>
      <c r="AP56" s="24">
        <v>200626</v>
      </c>
      <c r="AQ56" s="24"/>
      <c r="AR56" s="25">
        <f t="shared" si="31"/>
        <v>6.7006334196684517E-2</v>
      </c>
      <c r="AS56" s="25"/>
      <c r="AT56" s="25"/>
      <c r="AU56" s="24"/>
      <c r="AV56" s="341">
        <f t="shared" si="25"/>
        <v>0.15939282857004392</v>
      </c>
      <c r="AW56" s="341"/>
      <c r="AX56" s="24">
        <f t="shared" si="26"/>
        <v>4268.6382978723404</v>
      </c>
      <c r="AY56" s="351"/>
      <c r="AZ56" s="1"/>
      <c r="BA56" s="66">
        <f t="shared" si="32"/>
        <v>265380</v>
      </c>
      <c r="BB56" s="67"/>
      <c r="BC56" s="67">
        <v>7727811</v>
      </c>
      <c r="BD56" s="67"/>
      <c r="BE56" s="67">
        <f t="shared" si="12"/>
        <v>24798</v>
      </c>
      <c r="BF56" s="67"/>
      <c r="BG56" s="156">
        <f t="shared" si="33"/>
        <v>9.344336423242143E-2</v>
      </c>
      <c r="BH56" s="67"/>
      <c r="BI56" s="183"/>
      <c r="BJ56" s="67"/>
      <c r="BK56" s="67"/>
      <c r="BL56" s="67"/>
      <c r="BM56" s="67"/>
      <c r="BN56" s="66">
        <f t="shared" si="21"/>
        <v>164421.51063829788</v>
      </c>
      <c r="BO56" s="67"/>
      <c r="BP56" s="67">
        <f t="shared" si="16"/>
        <v>985311</v>
      </c>
      <c r="BQ56" s="67"/>
      <c r="BR56" s="74">
        <f t="shared" si="13"/>
        <v>0.12750195365802813</v>
      </c>
      <c r="BS56" s="67"/>
      <c r="BT56" s="86"/>
      <c r="BU56" s="183"/>
      <c r="BV56" s="1"/>
      <c r="BW56">
        <f t="shared" si="11"/>
        <v>47</v>
      </c>
    </row>
    <row r="57" spans="2:79" x14ac:dyDescent="0.3">
      <c r="B57" s="171">
        <f t="shared" si="6"/>
        <v>43957</v>
      </c>
      <c r="C57" s="61"/>
      <c r="D57" s="17">
        <v>25459</v>
      </c>
      <c r="E57" s="16"/>
      <c r="F57" s="16"/>
      <c r="G57" s="16"/>
      <c r="H57" s="16">
        <f t="shared" si="34"/>
        <v>1284148</v>
      </c>
      <c r="I57" s="16"/>
      <c r="J57" s="38">
        <f t="shared" si="28"/>
        <v>2.0226600852156489E-2</v>
      </c>
      <c r="K57" s="16"/>
      <c r="L57" s="16"/>
      <c r="M57" s="16"/>
      <c r="N57" s="16"/>
      <c r="O57" s="16">
        <f t="shared" si="22"/>
        <v>26753.083333333332</v>
      </c>
      <c r="P57" s="41"/>
      <c r="Q57" s="17"/>
      <c r="R57" s="16"/>
      <c r="S57" s="16"/>
      <c r="T57" s="16"/>
      <c r="U57" s="41"/>
      <c r="V57" s="1"/>
      <c r="W57" s="34">
        <v>2528</v>
      </c>
      <c r="X57" s="33"/>
      <c r="Y57" s="33"/>
      <c r="Z57" s="33"/>
      <c r="AA57" s="33">
        <f t="shared" si="29"/>
        <v>77552</v>
      </c>
      <c r="AB57" s="33"/>
      <c r="AC57" s="46">
        <f t="shared" si="23"/>
        <v>6.0391792846307434E-2</v>
      </c>
      <c r="AD57" s="33"/>
      <c r="AE57" s="33">
        <f t="shared" si="24"/>
        <v>1615.6666666666667</v>
      </c>
      <c r="AF57" s="50"/>
      <c r="AG57" s="33"/>
      <c r="AH57" s="33">
        <f t="shared" si="35"/>
        <v>2528</v>
      </c>
      <c r="AI57" s="33"/>
      <c r="AJ57" s="50"/>
      <c r="AK57" s="1"/>
      <c r="AL57" s="23">
        <f t="shared" si="30"/>
        <v>5682</v>
      </c>
      <c r="AM57" s="24"/>
      <c r="AN57" s="24"/>
      <c r="AO57" s="24">
        <v>178263</v>
      </c>
      <c r="AP57" s="24">
        <v>206308</v>
      </c>
      <c r="AQ57" s="24"/>
      <c r="AR57" s="25">
        <f t="shared" si="31"/>
        <v>2.8321354161474584E-2</v>
      </c>
      <c r="AS57" s="25"/>
      <c r="AT57" s="25"/>
      <c r="AU57" s="24"/>
      <c r="AV57" s="341">
        <f t="shared" si="25"/>
        <v>0.16065749430750972</v>
      </c>
      <c r="AW57" s="341"/>
      <c r="AX57" s="24">
        <f t="shared" si="26"/>
        <v>4298.083333333333</v>
      </c>
      <c r="AY57" s="351"/>
      <c r="AZ57" s="1"/>
      <c r="BA57" s="66">
        <f t="shared" si="32"/>
        <v>244534</v>
      </c>
      <c r="BB57" s="67"/>
      <c r="BC57" s="67">
        <v>7972345</v>
      </c>
      <c r="BD57" s="67"/>
      <c r="BE57" s="67">
        <f t="shared" si="12"/>
        <v>25459</v>
      </c>
      <c r="BF57" s="67"/>
      <c r="BG57" s="156">
        <f t="shared" si="33"/>
        <v>0.10411231158039373</v>
      </c>
      <c r="BH57" s="67"/>
      <c r="BI57" s="183"/>
      <c r="BJ57" s="67"/>
      <c r="BK57" s="67"/>
      <c r="BL57" s="67"/>
      <c r="BM57" s="67"/>
      <c r="BN57" s="66">
        <f t="shared" si="21"/>
        <v>166090.52083333334</v>
      </c>
      <c r="BO57" s="67"/>
      <c r="BP57" s="67">
        <f t="shared" si="16"/>
        <v>1010770</v>
      </c>
      <c r="BQ57" s="67"/>
      <c r="BR57" s="74">
        <f t="shared" si="13"/>
        <v>0.12678452826615005</v>
      </c>
      <c r="BS57" s="67"/>
      <c r="BT57" s="86"/>
      <c r="BU57" s="183"/>
      <c r="BV57" s="1"/>
      <c r="BW57">
        <f t="shared" si="11"/>
        <v>48</v>
      </c>
    </row>
    <row r="58" spans="2:79" x14ac:dyDescent="0.3">
      <c r="B58" s="171">
        <f t="shared" si="6"/>
        <v>43958</v>
      </c>
      <c r="C58" s="61"/>
      <c r="D58" s="17">
        <v>29531</v>
      </c>
      <c r="E58" s="16"/>
      <c r="F58" s="16"/>
      <c r="G58" s="16"/>
      <c r="H58" s="16">
        <f t="shared" si="34"/>
        <v>1313679</v>
      </c>
      <c r="I58" s="16"/>
      <c r="J58" s="38">
        <f t="shared" si="28"/>
        <v>2.2996570488759863E-2</v>
      </c>
      <c r="K58" s="16"/>
      <c r="L58" s="16"/>
      <c r="M58" s="16"/>
      <c r="N58" s="16"/>
      <c r="O58" s="16">
        <f t="shared" si="22"/>
        <v>26809.775510204083</v>
      </c>
      <c r="P58" s="41"/>
      <c r="Q58" s="17"/>
      <c r="R58" s="16"/>
      <c r="S58" s="16"/>
      <c r="T58" s="16"/>
      <c r="U58" s="41"/>
      <c r="V58" s="1"/>
      <c r="W58" s="34">
        <v>2129</v>
      </c>
      <c r="X58" s="33"/>
      <c r="Y58" s="33"/>
      <c r="Z58" s="33"/>
      <c r="AA58" s="33">
        <f t="shared" si="29"/>
        <v>79681</v>
      </c>
      <c r="AB58" s="33"/>
      <c r="AC58" s="46">
        <f t="shared" si="23"/>
        <v>6.0654847949917753E-2</v>
      </c>
      <c r="AD58" s="33"/>
      <c r="AE58" s="33">
        <f t="shared" si="24"/>
        <v>1626.1428571428571</v>
      </c>
      <c r="AF58" s="50"/>
      <c r="AG58" s="33"/>
      <c r="AH58" s="33">
        <f t="shared" si="35"/>
        <v>2129</v>
      </c>
      <c r="AI58" s="33"/>
      <c r="AJ58" s="50"/>
      <c r="AK58" s="1"/>
      <c r="AL58" s="23">
        <f t="shared" si="30"/>
        <v>10942</v>
      </c>
      <c r="AM58" s="24"/>
      <c r="AN58" s="24"/>
      <c r="AO58" s="24">
        <v>178263</v>
      </c>
      <c r="AP58" s="24">
        <v>217250</v>
      </c>
      <c r="AQ58" s="24"/>
      <c r="AR58" s="25">
        <f t="shared" si="31"/>
        <v>5.3037206506776277E-2</v>
      </c>
      <c r="AS58" s="25"/>
      <c r="AT58" s="25"/>
      <c r="AU58" s="24"/>
      <c r="AV58" s="341">
        <f t="shared" si="25"/>
        <v>0.16537525529448213</v>
      </c>
      <c r="AW58" s="341"/>
      <c r="AX58" s="24">
        <f t="shared" si="26"/>
        <v>4433.6734693877552</v>
      </c>
      <c r="AY58" s="351"/>
      <c r="AZ58" s="1"/>
      <c r="BA58" s="66">
        <f t="shared" si="32"/>
        <v>325217</v>
      </c>
      <c r="BB58" s="67"/>
      <c r="BC58" s="67">
        <v>8297562</v>
      </c>
      <c r="BD58" s="67"/>
      <c r="BE58" s="67">
        <f t="shared" si="12"/>
        <v>29531</v>
      </c>
      <c r="BF58" s="67"/>
      <c r="BG58" s="156">
        <f t="shared" si="33"/>
        <v>9.0803986261480799E-2</v>
      </c>
      <c r="BH58" s="67"/>
      <c r="BI58" s="183"/>
      <c r="BJ58" s="67"/>
      <c r="BK58" s="67"/>
      <c r="BL58" s="67"/>
      <c r="BM58" s="67"/>
      <c r="BN58" s="66">
        <f t="shared" si="21"/>
        <v>169338</v>
      </c>
      <c r="BO58" s="67"/>
      <c r="BP58" s="67">
        <f t="shared" si="16"/>
        <v>1040301</v>
      </c>
      <c r="BQ58" s="67"/>
      <c r="BR58" s="74">
        <f t="shared" si="13"/>
        <v>0.12537429669100394</v>
      </c>
      <c r="BS58" s="67"/>
      <c r="BT58" s="86"/>
      <c r="BU58" s="183"/>
      <c r="BV58" s="1"/>
      <c r="BW58">
        <f t="shared" si="11"/>
        <v>49</v>
      </c>
      <c r="BY58" s="1"/>
      <c r="CA58" s="1"/>
    </row>
    <row r="59" spans="2:79" x14ac:dyDescent="0.3">
      <c r="B59" s="171">
        <f t="shared" si="6"/>
        <v>43959</v>
      </c>
      <c r="C59" s="61"/>
      <c r="D59" s="17">
        <v>29162</v>
      </c>
      <c r="E59" s="16"/>
      <c r="F59" s="16"/>
      <c r="G59" s="16"/>
      <c r="H59" s="16">
        <f t="shared" si="34"/>
        <v>1342841</v>
      </c>
      <c r="I59" s="16"/>
      <c r="J59" s="38">
        <f t="shared" si="28"/>
        <v>2.2198725868343788E-2</v>
      </c>
      <c r="K59" s="16"/>
      <c r="L59" s="16"/>
      <c r="M59" s="16"/>
      <c r="N59" s="16"/>
      <c r="O59" s="16">
        <f t="shared" si="22"/>
        <v>26856.82</v>
      </c>
      <c r="P59" s="41"/>
      <c r="Q59" s="17"/>
      <c r="R59" s="16"/>
      <c r="S59" s="16"/>
      <c r="T59" s="16"/>
      <c r="U59" s="41"/>
      <c r="V59" s="1"/>
      <c r="W59" s="34">
        <v>1687</v>
      </c>
      <c r="X59" s="33"/>
      <c r="Y59" s="33"/>
      <c r="Z59" s="33"/>
      <c r="AA59" s="33">
        <f t="shared" si="29"/>
        <v>81368</v>
      </c>
      <c r="AB59" s="33"/>
      <c r="AC59" s="46">
        <f t="shared" si="23"/>
        <v>6.0593919905632905E-2</v>
      </c>
      <c r="AD59" s="33"/>
      <c r="AE59" s="33">
        <f t="shared" si="24"/>
        <v>1627.36</v>
      </c>
      <c r="AF59" s="50"/>
      <c r="AG59" s="33"/>
      <c r="AH59" s="33">
        <f t="shared" si="35"/>
        <v>1687</v>
      </c>
      <c r="AI59" s="33"/>
      <c r="AJ59" s="50"/>
      <c r="AK59" s="1"/>
      <c r="AL59" s="23">
        <f t="shared" si="30"/>
        <v>6110</v>
      </c>
      <c r="AM59" s="24"/>
      <c r="AN59" s="24"/>
      <c r="AO59" s="24">
        <v>178263</v>
      </c>
      <c r="AP59" s="24">
        <v>223360</v>
      </c>
      <c r="AQ59" s="24"/>
      <c r="AR59" s="25">
        <f t="shared" si="31"/>
        <v>2.8124280782508632E-2</v>
      </c>
      <c r="AS59" s="25"/>
      <c r="AT59" s="25"/>
      <c r="AU59" s="24"/>
      <c r="AV59" s="341">
        <f t="shared" si="25"/>
        <v>0.16633391443960976</v>
      </c>
      <c r="AW59" s="341"/>
      <c r="AX59" s="24">
        <f t="shared" si="26"/>
        <v>4467.2</v>
      </c>
      <c r="AY59" s="351"/>
      <c r="AZ59" s="1"/>
      <c r="BA59" s="66">
        <f t="shared" si="32"/>
        <v>338873</v>
      </c>
      <c r="BB59" s="67"/>
      <c r="BC59" s="67">
        <v>8636435</v>
      </c>
      <c r="BD59" s="67"/>
      <c r="BE59" s="67">
        <f t="shared" si="12"/>
        <v>29162</v>
      </c>
      <c r="BF59" s="67"/>
      <c r="BG59" s="156">
        <f t="shared" si="33"/>
        <v>8.6055838027815731E-2</v>
      </c>
      <c r="BH59" s="67"/>
      <c r="BI59" s="183"/>
      <c r="BJ59" s="67"/>
      <c r="BK59" s="67"/>
      <c r="BL59" s="67"/>
      <c r="BM59" s="67"/>
      <c r="BN59" s="66">
        <f t="shared" si="21"/>
        <v>172728.7</v>
      </c>
      <c r="BO59" s="67"/>
      <c r="BP59" s="67">
        <f t="shared" si="16"/>
        <v>1069463</v>
      </c>
      <c r="BQ59" s="67"/>
      <c r="BR59" s="74">
        <f t="shared" si="13"/>
        <v>0.12383153465521364</v>
      </c>
      <c r="BS59" s="67"/>
      <c r="BT59" s="86"/>
      <c r="BU59" s="183"/>
      <c r="BV59" s="1"/>
      <c r="BW59">
        <f t="shared" si="11"/>
        <v>50</v>
      </c>
    </row>
    <row r="60" spans="2:79" x14ac:dyDescent="0.3">
      <c r="B60" s="476">
        <f t="shared" si="6"/>
        <v>43960</v>
      </c>
      <c r="C60" s="61"/>
      <c r="D60" s="17">
        <v>25524</v>
      </c>
      <c r="E60" s="16"/>
      <c r="F60" s="16"/>
      <c r="G60" s="16"/>
      <c r="H60" s="16">
        <f t="shared" si="34"/>
        <v>1368365</v>
      </c>
      <c r="I60" s="16"/>
      <c r="J60" s="38">
        <f t="shared" si="28"/>
        <v>1.9007462536517725E-2</v>
      </c>
      <c r="K60" s="16"/>
      <c r="L60" s="16"/>
      <c r="M60" s="16"/>
      <c r="N60" s="16"/>
      <c r="O60" s="16">
        <f t="shared" si="22"/>
        <v>26830.686274509804</v>
      </c>
      <c r="P60" s="41"/>
      <c r="Q60" s="17"/>
      <c r="R60" s="16"/>
      <c r="S60" s="60"/>
      <c r="T60" s="16"/>
      <c r="U60" s="41"/>
      <c r="V60" s="477"/>
      <c r="W60" s="34">
        <v>1422</v>
      </c>
      <c r="X60" s="33"/>
      <c r="Y60" s="33"/>
      <c r="Z60" s="33"/>
      <c r="AA60" s="33">
        <f t="shared" si="29"/>
        <v>82790</v>
      </c>
      <c r="AB60" s="33"/>
      <c r="AC60" s="46">
        <f t="shared" si="23"/>
        <v>6.0502862905730564E-2</v>
      </c>
      <c r="AD60" s="33"/>
      <c r="AE60" s="33">
        <f t="shared" si="24"/>
        <v>1623.3333333333333</v>
      </c>
      <c r="AF60" s="50"/>
      <c r="AG60" s="33"/>
      <c r="AH60" s="33">
        <f t="shared" si="35"/>
        <v>1422</v>
      </c>
      <c r="AI60" s="231"/>
      <c r="AJ60" s="50"/>
      <c r="AK60" s="1"/>
      <c r="AL60" s="23">
        <f t="shared" si="30"/>
        <v>14718</v>
      </c>
      <c r="AM60" s="24"/>
      <c r="AN60" s="24"/>
      <c r="AO60" s="24">
        <v>178263</v>
      </c>
      <c r="AP60" s="24">
        <v>238078</v>
      </c>
      <c r="AQ60" s="24"/>
      <c r="AR60" s="25">
        <f t="shared" si="31"/>
        <v>6.5893624641833806E-2</v>
      </c>
      <c r="AS60" s="25"/>
      <c r="AT60" s="25"/>
      <c r="AU60" s="24"/>
      <c r="AV60" s="341">
        <f t="shared" si="25"/>
        <v>0.17398720370661336</v>
      </c>
      <c r="AW60" s="341"/>
      <c r="AX60" s="24">
        <f t="shared" si="26"/>
        <v>4668.1960784313724</v>
      </c>
      <c r="AY60" s="351"/>
      <c r="AZ60" s="1"/>
      <c r="BA60" s="66">
        <f t="shared" si="32"/>
        <v>281828</v>
      </c>
      <c r="BB60" s="67"/>
      <c r="BC60" s="67">
        <v>8918263</v>
      </c>
      <c r="BD60" s="67"/>
      <c r="BE60" s="67">
        <f t="shared" si="12"/>
        <v>25524</v>
      </c>
      <c r="BF60" s="67"/>
      <c r="BG60" s="156">
        <f t="shared" si="33"/>
        <v>9.0565877059766944E-2</v>
      </c>
      <c r="BH60" s="67"/>
      <c r="BI60" s="183"/>
      <c r="BJ60" s="67"/>
      <c r="BK60" s="67"/>
      <c r="BL60" s="67"/>
      <c r="BM60" s="156"/>
      <c r="BN60" s="66">
        <f t="shared" si="21"/>
        <v>174867.90196078431</v>
      </c>
      <c r="BO60" s="67"/>
      <c r="BP60" s="67">
        <f t="shared" si="16"/>
        <v>1094987</v>
      </c>
      <c r="BQ60" s="67"/>
      <c r="BR60" s="74">
        <f t="shared" si="13"/>
        <v>0.12278029925782633</v>
      </c>
      <c r="BS60" s="67"/>
      <c r="BT60" s="86"/>
      <c r="BU60" s="183"/>
      <c r="BV60" s="1"/>
      <c r="BW60">
        <f t="shared" si="11"/>
        <v>51</v>
      </c>
    </row>
    <row r="61" spans="2:79" x14ac:dyDescent="0.3">
      <c r="B61" s="390">
        <f t="shared" si="6"/>
        <v>43961</v>
      </c>
      <c r="C61" s="61"/>
      <c r="D61" s="17">
        <v>20329</v>
      </c>
      <c r="E61" s="16"/>
      <c r="F61" s="16"/>
      <c r="G61" s="16"/>
      <c r="H61" s="16">
        <f t="shared" si="34"/>
        <v>1388694</v>
      </c>
      <c r="I61" s="16"/>
      <c r="J61" s="38">
        <f t="shared" si="28"/>
        <v>1.4856416233972661E-2</v>
      </c>
      <c r="K61" s="16"/>
      <c r="L61" s="16"/>
      <c r="M61" s="16"/>
      <c r="N61" s="16"/>
      <c r="O61" s="16">
        <f t="shared" si="22"/>
        <v>26705.653846153848</v>
      </c>
      <c r="P61" s="41"/>
      <c r="Q61" s="17">
        <f>SUM(D55:D61)</f>
        <v>179516</v>
      </c>
      <c r="R61" s="16"/>
      <c r="S61" s="60">
        <f>+(Q61-Q54)/Q54</f>
        <v>-0.10671669270807416</v>
      </c>
      <c r="T61" s="16"/>
      <c r="U61" s="41"/>
      <c r="V61" s="391"/>
      <c r="W61" s="34">
        <v>750</v>
      </c>
      <c r="X61" s="33"/>
      <c r="Y61" s="33"/>
      <c r="Z61" s="33"/>
      <c r="AA61" s="33">
        <f t="shared" si="29"/>
        <v>83540</v>
      </c>
      <c r="AB61" s="33"/>
      <c r="AC61" s="46">
        <f t="shared" si="23"/>
        <v>6.0157241264094177E-2</v>
      </c>
      <c r="AD61" s="33"/>
      <c r="AE61" s="33">
        <f t="shared" si="24"/>
        <v>1606.5384615384614</v>
      </c>
      <c r="AF61" s="50"/>
      <c r="AG61" s="33">
        <f>SUM(W55:W61)</f>
        <v>12190</v>
      </c>
      <c r="AH61" s="33">
        <f t="shared" si="35"/>
        <v>750</v>
      </c>
      <c r="AI61" s="231">
        <f>+(AG61-AG54)/AG54</f>
        <v>-7.5464543041334847E-2</v>
      </c>
      <c r="AJ61" s="50"/>
      <c r="AK61" s="391"/>
      <c r="AL61" s="23">
        <f t="shared" si="30"/>
        <v>18258</v>
      </c>
      <c r="AM61" s="24"/>
      <c r="AN61" s="24"/>
      <c r="AO61" s="24">
        <v>178263</v>
      </c>
      <c r="AP61" s="24">
        <v>256336</v>
      </c>
      <c r="AQ61" s="24"/>
      <c r="AR61" s="25">
        <f t="shared" si="31"/>
        <v>7.6689152294626126E-2</v>
      </c>
      <c r="AS61" s="25"/>
      <c r="AT61" s="25"/>
      <c r="AU61" s="24"/>
      <c r="AV61" s="341">
        <f t="shared" si="25"/>
        <v>0.18458782136309368</v>
      </c>
      <c r="AW61" s="341"/>
      <c r="AX61" s="24">
        <f t="shared" si="26"/>
        <v>4929.5384615384619</v>
      </c>
      <c r="AY61" s="351"/>
      <c r="AZ61" s="391"/>
      <c r="BA61" s="66">
        <f t="shared" si="32"/>
        <v>526262</v>
      </c>
      <c r="BB61" s="67"/>
      <c r="BC61" s="67">
        <v>9444525</v>
      </c>
      <c r="BD61" s="67"/>
      <c r="BE61" s="67">
        <f t="shared" si="12"/>
        <v>20329</v>
      </c>
      <c r="BF61" s="67"/>
      <c r="BG61" s="156">
        <f t="shared" si="33"/>
        <v>3.8629047888694222E-2</v>
      </c>
      <c r="BH61" s="67"/>
      <c r="BI61" s="183"/>
      <c r="BJ61" s="67"/>
      <c r="BK61" s="67">
        <f>SUM(BA55:BA61)</f>
        <v>2247785</v>
      </c>
      <c r="BL61" s="67"/>
      <c r="BM61" s="156">
        <f>+Q61/BK61</f>
        <v>7.9863510077698707E-2</v>
      </c>
      <c r="BN61" s="66">
        <f t="shared" si="21"/>
        <v>181625.48076923078</v>
      </c>
      <c r="BO61" s="67"/>
      <c r="BP61" s="67">
        <f t="shared" si="16"/>
        <v>1115316</v>
      </c>
      <c r="BQ61" s="67"/>
      <c r="BR61" s="74">
        <f t="shared" si="13"/>
        <v>0.11809127510383</v>
      </c>
      <c r="BS61" s="67"/>
      <c r="BT61" s="86"/>
      <c r="BU61" s="183"/>
      <c r="BV61" s="1"/>
      <c r="BW61">
        <f t="shared" si="11"/>
        <v>52</v>
      </c>
    </row>
    <row r="62" spans="2:79" x14ac:dyDescent="0.3">
      <c r="B62" s="171">
        <f t="shared" si="6"/>
        <v>43962</v>
      </c>
      <c r="C62" s="61"/>
      <c r="D62" s="17">
        <v>18196</v>
      </c>
      <c r="E62" s="16"/>
      <c r="F62" s="16"/>
      <c r="G62" s="16"/>
      <c r="H62" s="16">
        <f t="shared" si="34"/>
        <v>1406890</v>
      </c>
      <c r="I62" s="16"/>
      <c r="J62" s="38">
        <f t="shared" si="28"/>
        <v>1.3102958607151756E-2</v>
      </c>
      <c r="K62" s="16"/>
      <c r="L62" s="16"/>
      <c r="M62" s="16"/>
      <c r="N62" s="16"/>
      <c r="O62" s="16">
        <f t="shared" si="22"/>
        <v>26545.094339622643</v>
      </c>
      <c r="P62" s="41"/>
      <c r="Q62" s="17"/>
      <c r="R62" s="16"/>
      <c r="S62" s="16"/>
      <c r="T62" s="16"/>
      <c r="U62" s="41"/>
      <c r="V62" s="10"/>
      <c r="W62" s="34">
        <v>1060</v>
      </c>
      <c r="X62" s="33"/>
      <c r="Y62" s="33"/>
      <c r="Z62" s="33"/>
      <c r="AA62" s="33">
        <f t="shared" si="29"/>
        <v>84600</v>
      </c>
      <c r="AB62" s="33"/>
      <c r="AC62" s="46">
        <f t="shared" si="23"/>
        <v>6.0132632970594714E-2</v>
      </c>
      <c r="AD62" s="33"/>
      <c r="AE62" s="33">
        <f t="shared" si="24"/>
        <v>1596.2264150943397</v>
      </c>
      <c r="AF62" s="50"/>
      <c r="AG62" s="33"/>
      <c r="AH62" s="33">
        <f t="shared" si="35"/>
        <v>1060</v>
      </c>
      <c r="AI62" s="33"/>
      <c r="AJ62" s="50"/>
      <c r="AK62" s="10"/>
      <c r="AL62" s="23">
        <f t="shared" si="30"/>
        <v>5889</v>
      </c>
      <c r="AM62" s="24"/>
      <c r="AN62" s="24"/>
      <c r="AO62" s="24">
        <v>178263</v>
      </c>
      <c r="AP62" s="24">
        <v>262225</v>
      </c>
      <c r="AQ62" s="24"/>
      <c r="AR62" s="25">
        <f t="shared" si="31"/>
        <v>2.297375319892641E-2</v>
      </c>
      <c r="AS62" s="25"/>
      <c r="AT62" s="25"/>
      <c r="AU62" s="24"/>
      <c r="AV62" s="341">
        <f t="shared" si="25"/>
        <v>0.18638628464201182</v>
      </c>
      <c r="AW62" s="341"/>
      <c r="AX62" s="24">
        <f t="shared" si="26"/>
        <v>4947.6415094339627</v>
      </c>
      <c r="AY62" s="351"/>
      <c r="AZ62" s="10"/>
      <c r="BA62" s="66">
        <f t="shared" si="32"/>
        <v>175330</v>
      </c>
      <c r="BB62" s="67"/>
      <c r="BC62" s="67">
        <v>9619855</v>
      </c>
      <c r="BD62" s="67"/>
      <c r="BE62" s="67">
        <f t="shared" si="12"/>
        <v>18196</v>
      </c>
      <c r="BF62" s="67"/>
      <c r="BG62" s="156">
        <f t="shared" si="33"/>
        <v>0.10378144071180061</v>
      </c>
      <c r="BH62" s="67"/>
      <c r="BI62" s="183"/>
      <c r="BJ62" s="67"/>
      <c r="BK62" s="67"/>
      <c r="BL62" s="67"/>
      <c r="BM62" s="67"/>
      <c r="BN62" s="66">
        <f t="shared" si="21"/>
        <v>181506.69811320756</v>
      </c>
      <c r="BO62" s="67"/>
      <c r="BP62" s="67">
        <f t="shared" si="16"/>
        <v>1133512</v>
      </c>
      <c r="BQ62" s="67"/>
      <c r="BR62" s="74">
        <f t="shared" si="13"/>
        <v>0.11783046625962658</v>
      </c>
      <c r="BS62" s="67"/>
      <c r="BT62" s="86"/>
      <c r="BU62" s="183"/>
      <c r="BV62" s="1"/>
      <c r="BW62">
        <f t="shared" si="11"/>
        <v>53</v>
      </c>
    </row>
    <row r="63" spans="2:79" x14ac:dyDescent="0.3">
      <c r="B63" s="171">
        <f t="shared" si="6"/>
        <v>43963</v>
      </c>
      <c r="C63" s="61"/>
      <c r="D63" s="17">
        <v>22802</v>
      </c>
      <c r="E63" s="16"/>
      <c r="F63" s="16"/>
      <c r="G63" s="16"/>
      <c r="H63" s="16">
        <f t="shared" si="34"/>
        <v>1429692</v>
      </c>
      <c r="I63" s="16"/>
      <c r="J63" s="38">
        <f t="shared" si="28"/>
        <v>1.6207379397109936E-2</v>
      </c>
      <c r="K63" s="16"/>
      <c r="L63" s="16"/>
      <c r="M63" s="16"/>
      <c r="N63" s="16"/>
      <c r="O63" s="16">
        <f t="shared" si="22"/>
        <v>26475.777777777777</v>
      </c>
      <c r="P63" s="41"/>
      <c r="Q63" s="17"/>
      <c r="R63" s="16"/>
      <c r="S63" s="16"/>
      <c r="T63" s="16"/>
      <c r="U63" s="41"/>
      <c r="V63" s="1"/>
      <c r="W63" s="34">
        <v>1871</v>
      </c>
      <c r="X63" s="33"/>
      <c r="Y63" s="33"/>
      <c r="Z63" s="33"/>
      <c r="AA63" s="33">
        <f t="shared" si="29"/>
        <v>86471</v>
      </c>
      <c r="AB63" s="33"/>
      <c r="AC63" s="46">
        <f t="shared" si="23"/>
        <v>6.0482257717046746E-2</v>
      </c>
      <c r="AD63" s="33"/>
      <c r="AE63" s="33">
        <f t="shared" si="24"/>
        <v>1601.3148148148148</v>
      </c>
      <c r="AF63" s="50"/>
      <c r="AG63" s="33"/>
      <c r="AH63" s="33">
        <f t="shared" si="35"/>
        <v>1871</v>
      </c>
      <c r="AI63" s="33"/>
      <c r="AJ63" s="50"/>
      <c r="AK63" s="1"/>
      <c r="AL63" s="23">
        <f t="shared" si="30"/>
        <v>20014</v>
      </c>
      <c r="AM63" s="24"/>
      <c r="AN63" s="24"/>
      <c r="AO63" s="24">
        <v>178263</v>
      </c>
      <c r="AP63" s="24">
        <v>282239</v>
      </c>
      <c r="AQ63" s="24"/>
      <c r="AR63" s="25">
        <f t="shared" si="31"/>
        <v>7.6323767756697497E-2</v>
      </c>
      <c r="AS63" s="25"/>
      <c r="AT63" s="25"/>
      <c r="AU63" s="24"/>
      <c r="AV63" s="341">
        <f t="shared" si="25"/>
        <v>0.19741244967447535</v>
      </c>
      <c r="AW63" s="341"/>
      <c r="AX63" s="24">
        <f t="shared" si="26"/>
        <v>5226.6481481481478</v>
      </c>
      <c r="AY63" s="351"/>
      <c r="AZ63" s="1"/>
      <c r="BA63" s="66">
        <f t="shared" si="32"/>
        <v>310012</v>
      </c>
      <c r="BB63" s="67"/>
      <c r="BC63" s="67">
        <v>9929867</v>
      </c>
      <c r="BD63" s="67"/>
      <c r="BE63" s="67">
        <f t="shared" si="12"/>
        <v>22802</v>
      </c>
      <c r="BF63" s="67"/>
      <c r="BG63" s="156">
        <f t="shared" si="33"/>
        <v>7.3551991535811517E-2</v>
      </c>
      <c r="BH63" s="67"/>
      <c r="BI63" s="183"/>
      <c r="BJ63" s="67"/>
      <c r="BK63" s="67"/>
      <c r="BL63" s="67"/>
      <c r="BM63" s="67"/>
      <c r="BN63" s="66">
        <f t="shared" si="21"/>
        <v>183886.42592592593</v>
      </c>
      <c r="BO63" s="67"/>
      <c r="BP63" s="67">
        <f t="shared" si="16"/>
        <v>1156314</v>
      </c>
      <c r="BQ63" s="67"/>
      <c r="BR63" s="74">
        <f t="shared" si="13"/>
        <v>0.11644808535703449</v>
      </c>
      <c r="BS63" s="67"/>
      <c r="BT63" s="86"/>
      <c r="BU63" s="183"/>
      <c r="BV63" s="1"/>
      <c r="BW63">
        <f t="shared" si="11"/>
        <v>54</v>
      </c>
    </row>
    <row r="64" spans="2:79" x14ac:dyDescent="0.3">
      <c r="B64" s="171">
        <f t="shared" si="6"/>
        <v>43964</v>
      </c>
      <c r="C64" s="61"/>
      <c r="D64" s="17">
        <v>21712</v>
      </c>
      <c r="E64" s="16"/>
      <c r="F64" s="16"/>
      <c r="G64" s="16"/>
      <c r="H64" s="16">
        <f t="shared" si="34"/>
        <v>1451404</v>
      </c>
      <c r="I64" s="16"/>
      <c r="J64" s="38">
        <f t="shared" si="28"/>
        <v>1.5186487719033191E-2</v>
      </c>
      <c r="K64" s="16"/>
      <c r="L64" s="16"/>
      <c r="M64" s="16"/>
      <c r="N64" s="16"/>
      <c r="O64" s="16">
        <f t="shared" si="22"/>
        <v>26389.163636363635</v>
      </c>
      <c r="P64" s="41"/>
      <c r="Q64" s="17"/>
      <c r="R64" s="16"/>
      <c r="S64" s="16"/>
      <c r="T64" s="16"/>
      <c r="U64" s="41"/>
      <c r="V64" s="1"/>
      <c r="W64" s="34">
        <v>1822</v>
      </c>
      <c r="X64" s="33"/>
      <c r="Y64" s="33"/>
      <c r="Z64" s="33"/>
      <c r="AA64" s="33">
        <f t="shared" si="29"/>
        <v>88293</v>
      </c>
      <c r="AB64" s="33"/>
      <c r="AC64" s="46">
        <f t="shared" si="23"/>
        <v>6.0832821185555504E-2</v>
      </c>
      <c r="AD64" s="33"/>
      <c r="AE64" s="33">
        <f t="shared" si="24"/>
        <v>1605.3272727272727</v>
      </c>
      <c r="AF64" s="50"/>
      <c r="AG64" s="33"/>
      <c r="AH64" s="33">
        <f t="shared" si="35"/>
        <v>1822</v>
      </c>
      <c r="AI64" s="33"/>
      <c r="AJ64" s="50"/>
      <c r="AK64" s="1"/>
      <c r="AL64" s="23">
        <f t="shared" si="30"/>
        <v>28020</v>
      </c>
      <c r="AM64" s="24"/>
      <c r="AN64" s="24"/>
      <c r="AO64" s="24">
        <v>178263</v>
      </c>
      <c r="AP64" s="24">
        <v>310259</v>
      </c>
      <c r="AQ64" s="24"/>
      <c r="AR64" s="25">
        <f t="shared" si="31"/>
        <v>9.9277562633087554E-2</v>
      </c>
      <c r="AS64" s="25"/>
      <c r="AT64" s="25"/>
      <c r="AU64" s="24"/>
      <c r="AV64" s="341">
        <f t="shared" si="25"/>
        <v>0.21376474089915695</v>
      </c>
      <c r="AW64" s="341"/>
      <c r="AX64" s="24">
        <f t="shared" si="26"/>
        <v>5641.0727272727272</v>
      </c>
      <c r="AY64" s="351"/>
      <c r="AZ64" s="1"/>
      <c r="BA64" s="66">
        <f t="shared" si="32"/>
        <v>340129</v>
      </c>
      <c r="BB64" s="67"/>
      <c r="BC64" s="67">
        <v>10269996</v>
      </c>
      <c r="BD64" s="67"/>
      <c r="BE64" s="67">
        <f t="shared" si="12"/>
        <v>21712</v>
      </c>
      <c r="BF64" s="67"/>
      <c r="BG64" s="156">
        <f t="shared" si="33"/>
        <v>6.3834603929685499E-2</v>
      </c>
      <c r="BH64" s="67"/>
      <c r="BI64" s="183"/>
      <c r="BJ64" s="67"/>
      <c r="BK64" s="67"/>
      <c r="BL64" s="67"/>
      <c r="BM64" s="67"/>
      <c r="BN64" s="66">
        <f t="shared" si="21"/>
        <v>186727.2</v>
      </c>
      <c r="BO64" s="67"/>
      <c r="BP64" s="67">
        <f t="shared" si="16"/>
        <v>1178026</v>
      </c>
      <c r="BQ64" s="67"/>
      <c r="BR64" s="74">
        <f t="shared" si="13"/>
        <v>0.11470559482204278</v>
      </c>
      <c r="BS64" s="67"/>
      <c r="BT64" s="86"/>
      <c r="BU64" s="183"/>
      <c r="BV64" s="1"/>
      <c r="BW64">
        <f t="shared" si="11"/>
        <v>55</v>
      </c>
    </row>
    <row r="65" spans="2:75" x14ac:dyDescent="0.3">
      <c r="B65" s="171">
        <f t="shared" si="6"/>
        <v>43965</v>
      </c>
      <c r="C65" s="61"/>
      <c r="D65" s="17">
        <f>27246-1</f>
        <v>27245</v>
      </c>
      <c r="E65" s="16"/>
      <c r="F65" s="16"/>
      <c r="G65" s="16"/>
      <c r="H65" s="16">
        <f t="shared" ref="H65:H96" si="36">+H64+D65</f>
        <v>1478649</v>
      </c>
      <c r="I65" s="16"/>
      <c r="J65" s="38">
        <f t="shared" ref="J65:J96" si="37">+D65/H64</f>
        <v>1.8771479202206967E-2</v>
      </c>
      <c r="K65" s="16"/>
      <c r="L65" s="16"/>
      <c r="M65" s="16"/>
      <c r="N65" s="16"/>
      <c r="O65" s="16">
        <f t="shared" si="22"/>
        <v>26404.446428571428</v>
      </c>
      <c r="P65" s="41"/>
      <c r="Q65" s="17"/>
      <c r="R65" s="16"/>
      <c r="S65" s="16"/>
      <c r="T65" s="16"/>
      <c r="U65" s="41"/>
      <c r="V65" s="1"/>
      <c r="W65" s="34">
        <v>1753</v>
      </c>
      <c r="X65" s="33"/>
      <c r="Y65" s="33"/>
      <c r="Z65" s="33"/>
      <c r="AA65" s="33">
        <f t="shared" ref="AA65:AA96" si="38">+AA64+W65</f>
        <v>90046</v>
      </c>
      <c r="AB65" s="33"/>
      <c r="AC65" s="46">
        <f t="shared" si="23"/>
        <v>6.0897481417158499E-2</v>
      </c>
      <c r="AD65" s="33"/>
      <c r="AE65" s="33">
        <f t="shared" si="24"/>
        <v>1607.9642857142858</v>
      </c>
      <c r="AF65" s="50"/>
      <c r="AG65" s="33"/>
      <c r="AH65" s="33">
        <f t="shared" si="35"/>
        <v>1753</v>
      </c>
      <c r="AI65" s="33"/>
      <c r="AJ65" s="50"/>
      <c r="AK65" s="1"/>
      <c r="AL65" s="23">
        <f t="shared" ref="AL65:AL96" si="39">+AP65-AP64</f>
        <v>7602</v>
      </c>
      <c r="AM65" s="24"/>
      <c r="AN65" s="24"/>
      <c r="AO65" s="24">
        <v>178263</v>
      </c>
      <c r="AP65" s="24">
        <v>317861</v>
      </c>
      <c r="AQ65" s="24"/>
      <c r="AR65" s="25">
        <f t="shared" ref="AR65:AR96" si="40">+AL65/AP64</f>
        <v>2.4502109527846091E-2</v>
      </c>
      <c r="AS65" s="25"/>
      <c r="AT65" s="25"/>
      <c r="AU65" s="24"/>
      <c r="AV65" s="341">
        <f t="shared" si="25"/>
        <v>0.21496717611819979</v>
      </c>
      <c r="AW65" s="341"/>
      <c r="AX65" s="24">
        <f t="shared" si="26"/>
        <v>5676.0892857142853</v>
      </c>
      <c r="AY65" s="351"/>
      <c r="AZ65" s="1"/>
      <c r="BA65" s="66">
        <f t="shared" ref="BA65:BA96" si="41">+BC65-BC64</f>
        <v>365542</v>
      </c>
      <c r="BB65" s="67"/>
      <c r="BC65" s="67">
        <v>10635538</v>
      </c>
      <c r="BD65" s="67"/>
      <c r="BE65" s="67">
        <f t="shared" si="12"/>
        <v>27245</v>
      </c>
      <c r="BF65" s="67"/>
      <c r="BG65" s="156">
        <f t="shared" ref="BG65:BG96" si="42">+BE65/BA65</f>
        <v>7.4533158980363404E-2</v>
      </c>
      <c r="BH65" s="67"/>
      <c r="BI65" s="183"/>
      <c r="BJ65" s="67"/>
      <c r="BK65" s="67"/>
      <c r="BL65" s="67"/>
      <c r="BM65" s="67"/>
      <c r="BN65" s="66">
        <f t="shared" si="21"/>
        <v>189920.32142857142</v>
      </c>
      <c r="BO65" s="67"/>
      <c r="BP65" s="67">
        <f t="shared" si="16"/>
        <v>1205271</v>
      </c>
      <c r="BQ65" s="67"/>
      <c r="BR65" s="74">
        <f t="shared" si="13"/>
        <v>0.11332487364532005</v>
      </c>
      <c r="BS65" s="67"/>
      <c r="BT65" s="86"/>
      <c r="BU65" s="183"/>
      <c r="BV65" s="1"/>
      <c r="BW65">
        <f t="shared" si="11"/>
        <v>56</v>
      </c>
    </row>
    <row r="66" spans="2:75" x14ac:dyDescent="0.3">
      <c r="B66" s="171">
        <f t="shared" si="6"/>
        <v>43966</v>
      </c>
      <c r="C66" s="61"/>
      <c r="D66" s="17">
        <v>26692</v>
      </c>
      <c r="E66" s="16"/>
      <c r="F66" s="16"/>
      <c r="G66" s="16"/>
      <c r="H66" s="16">
        <f t="shared" si="36"/>
        <v>1505341</v>
      </c>
      <c r="I66" s="16"/>
      <c r="J66" s="38">
        <f t="shared" si="37"/>
        <v>1.8051613330817524E-2</v>
      </c>
      <c r="K66" s="16"/>
      <c r="L66" s="16"/>
      <c r="M66" s="16"/>
      <c r="N66" s="16"/>
      <c r="O66" s="16">
        <f t="shared" si="22"/>
        <v>26409.491228070176</v>
      </c>
      <c r="P66" s="41"/>
      <c r="Q66" s="17"/>
      <c r="R66" s="16"/>
      <c r="S66" s="16"/>
      <c r="T66" s="16"/>
      <c r="U66" s="41"/>
      <c r="V66" s="1"/>
      <c r="W66" s="34">
        <v>1602</v>
      </c>
      <c r="X66" s="33"/>
      <c r="Y66" s="33"/>
      <c r="Z66" s="33"/>
      <c r="AA66" s="33">
        <f t="shared" si="38"/>
        <v>91648</v>
      </c>
      <c r="AB66" s="33"/>
      <c r="AC66" s="46">
        <f t="shared" si="23"/>
        <v>6.0881886562579507E-2</v>
      </c>
      <c r="AD66" s="33"/>
      <c r="AE66" s="33">
        <f t="shared" si="24"/>
        <v>1607.859649122807</v>
      </c>
      <c r="AF66" s="50"/>
      <c r="AG66" s="33"/>
      <c r="AH66" s="33">
        <f t="shared" si="35"/>
        <v>1602</v>
      </c>
      <c r="AI66" s="33"/>
      <c r="AJ66" s="50"/>
      <c r="AK66" s="1"/>
      <c r="AL66" s="23">
        <f t="shared" si="39"/>
        <v>8381</v>
      </c>
      <c r="AM66" s="24"/>
      <c r="AN66" s="24"/>
      <c r="AO66" s="24">
        <v>178263</v>
      </c>
      <c r="AP66" s="24">
        <v>326242</v>
      </c>
      <c r="AQ66" s="24"/>
      <c r="AR66" s="25">
        <f t="shared" si="40"/>
        <v>2.6366871053699573E-2</v>
      </c>
      <c r="AS66" s="25"/>
      <c r="AT66" s="25"/>
      <c r="AU66" s="24"/>
      <c r="AV66" s="341">
        <f t="shared" si="25"/>
        <v>0.2167229883461621</v>
      </c>
      <c r="AW66" s="341"/>
      <c r="AX66" s="24">
        <f t="shared" si="26"/>
        <v>5723.5438596491231</v>
      </c>
      <c r="AY66" s="351"/>
      <c r="AZ66" s="1"/>
      <c r="BA66" s="66">
        <f t="shared" si="41"/>
        <v>455362</v>
      </c>
      <c r="BB66" s="67"/>
      <c r="BC66" s="67">
        <v>11090900</v>
      </c>
      <c r="BD66" s="67"/>
      <c r="BE66" s="67">
        <f t="shared" si="12"/>
        <v>26692</v>
      </c>
      <c r="BF66" s="67"/>
      <c r="BG66" s="156">
        <f t="shared" si="42"/>
        <v>5.8617100241126839E-2</v>
      </c>
      <c r="BH66" s="67"/>
      <c r="BI66" s="183"/>
      <c r="BJ66" s="67"/>
      <c r="BK66" s="67"/>
      <c r="BL66" s="67"/>
      <c r="BM66" s="67"/>
      <c r="BN66" s="66">
        <f t="shared" si="21"/>
        <v>194577.19298245615</v>
      </c>
      <c r="BO66" s="67"/>
      <c r="BP66" s="67">
        <f t="shared" si="16"/>
        <v>1231963</v>
      </c>
      <c r="BQ66" s="67"/>
      <c r="BR66" s="74">
        <f t="shared" si="13"/>
        <v>0.11107872219567393</v>
      </c>
      <c r="BS66" s="67"/>
      <c r="BT66" s="86"/>
      <c r="BU66" s="183"/>
      <c r="BV66" s="1"/>
      <c r="BW66">
        <f t="shared" si="11"/>
        <v>57</v>
      </c>
    </row>
    <row r="67" spans="2:75" x14ac:dyDescent="0.3">
      <c r="B67" s="476">
        <f t="shared" si="6"/>
        <v>43967</v>
      </c>
      <c r="C67" s="61"/>
      <c r="D67" s="17">
        <v>23488</v>
      </c>
      <c r="E67" s="16"/>
      <c r="F67" s="16"/>
      <c r="G67" s="16"/>
      <c r="H67" s="16">
        <f t="shared" si="36"/>
        <v>1528829</v>
      </c>
      <c r="I67" s="16"/>
      <c r="J67" s="38">
        <f t="shared" si="37"/>
        <v>1.560310919585662E-2</v>
      </c>
      <c r="K67" s="16"/>
      <c r="L67" s="16"/>
      <c r="M67" s="16"/>
      <c r="N67" s="16"/>
      <c r="O67" s="16">
        <f t="shared" si="22"/>
        <v>26359.120689655174</v>
      </c>
      <c r="P67" s="41"/>
      <c r="Q67" s="17"/>
      <c r="R67" s="16"/>
      <c r="S67" s="60"/>
      <c r="T67" s="16"/>
      <c r="U67" s="41"/>
      <c r="V67" s="477"/>
      <c r="W67" s="34">
        <v>1218</v>
      </c>
      <c r="X67" s="33"/>
      <c r="Y67" s="33"/>
      <c r="Z67" s="33"/>
      <c r="AA67" s="33">
        <f t="shared" si="38"/>
        <v>92866</v>
      </c>
      <c r="AB67" s="33"/>
      <c r="AC67" s="46">
        <f t="shared" si="23"/>
        <v>6.0743222427099432E-2</v>
      </c>
      <c r="AD67" s="33"/>
      <c r="AE67" s="33">
        <f t="shared" si="24"/>
        <v>1601.1379310344828</v>
      </c>
      <c r="AF67" s="50"/>
      <c r="AG67" s="33"/>
      <c r="AH67" s="33">
        <f t="shared" si="35"/>
        <v>1218</v>
      </c>
      <c r="AI67" s="231"/>
      <c r="AJ67" s="50"/>
      <c r="AK67" s="1"/>
      <c r="AL67" s="23">
        <f t="shared" si="39"/>
        <v>12990</v>
      </c>
      <c r="AM67" s="24"/>
      <c r="AN67" s="24"/>
      <c r="AO67" s="24">
        <v>178263</v>
      </c>
      <c r="AP67" s="24">
        <v>339232</v>
      </c>
      <c r="AQ67" s="24"/>
      <c r="AR67" s="25">
        <f t="shared" si="40"/>
        <v>3.981706831125361E-2</v>
      </c>
      <c r="AS67" s="25"/>
      <c r="AT67" s="25"/>
      <c r="AU67" s="24"/>
      <c r="AV67" s="341">
        <f t="shared" si="25"/>
        <v>0.22189008711896491</v>
      </c>
      <c r="AW67" s="341"/>
      <c r="AX67" s="24">
        <f t="shared" si="26"/>
        <v>5848.8275862068967</v>
      </c>
      <c r="AY67" s="351"/>
      <c r="AZ67" s="1"/>
      <c r="BA67" s="66">
        <f t="shared" si="41"/>
        <v>434725</v>
      </c>
      <c r="BB67" s="67"/>
      <c r="BC67" s="67">
        <v>11525625</v>
      </c>
      <c r="BD67" s="67"/>
      <c r="BE67" s="67">
        <f t="shared" si="12"/>
        <v>23488</v>
      </c>
      <c r="BF67" s="67"/>
      <c r="BG67" s="156">
        <f t="shared" si="42"/>
        <v>5.4029558916556447E-2</v>
      </c>
      <c r="BH67" s="67"/>
      <c r="BI67" s="183"/>
      <c r="BJ67" s="67"/>
      <c r="BK67" s="67"/>
      <c r="BL67" s="67"/>
      <c r="BM67" s="156"/>
      <c r="BN67" s="66">
        <f t="shared" si="21"/>
        <v>198717.6724137931</v>
      </c>
      <c r="BO67" s="67"/>
      <c r="BP67" s="67">
        <f t="shared" si="16"/>
        <v>1255451</v>
      </c>
      <c r="BQ67" s="67"/>
      <c r="BR67" s="74">
        <f t="shared" si="13"/>
        <v>0.10892693454801801</v>
      </c>
      <c r="BS67" s="67"/>
      <c r="BT67" s="86"/>
      <c r="BU67" s="183"/>
      <c r="BV67" s="1"/>
      <c r="BW67">
        <f t="shared" si="11"/>
        <v>58</v>
      </c>
    </row>
    <row r="68" spans="2:75" x14ac:dyDescent="0.3">
      <c r="B68" s="390">
        <f t="shared" si="6"/>
        <v>43968</v>
      </c>
      <c r="C68" s="61"/>
      <c r="D68" s="17">
        <v>19891</v>
      </c>
      <c r="E68" s="16"/>
      <c r="F68" s="16"/>
      <c r="G68" s="16"/>
      <c r="H68" s="16">
        <f t="shared" si="36"/>
        <v>1548720</v>
      </c>
      <c r="I68" s="16"/>
      <c r="J68" s="38">
        <f t="shared" si="37"/>
        <v>1.3010611389501377E-2</v>
      </c>
      <c r="K68" s="16"/>
      <c r="L68" s="16"/>
      <c r="M68" s="16"/>
      <c r="N68" s="16"/>
      <c r="O68" s="16">
        <f t="shared" si="22"/>
        <v>26249.491525423728</v>
      </c>
      <c r="P68" s="41"/>
      <c r="Q68" s="17">
        <f>SUM(D62:D68)</f>
        <v>160026</v>
      </c>
      <c r="R68" s="16"/>
      <c r="S68" s="60">
        <f>+(Q68-Q61)/Q61</f>
        <v>-0.10856970966376256</v>
      </c>
      <c r="T68" s="16"/>
      <c r="U68" s="41"/>
      <c r="V68" s="391"/>
      <c r="W68" s="34">
        <v>865</v>
      </c>
      <c r="X68" s="33"/>
      <c r="Y68" s="33"/>
      <c r="Z68" s="33"/>
      <c r="AA68" s="33">
        <f t="shared" si="38"/>
        <v>93731</v>
      </c>
      <c r="AB68" s="33"/>
      <c r="AC68" s="46">
        <f t="shared" si="23"/>
        <v>6.0521592024381426E-2</v>
      </c>
      <c r="AD68" s="33"/>
      <c r="AE68" s="33">
        <f t="shared" si="24"/>
        <v>1588.6610169491526</v>
      </c>
      <c r="AF68" s="50"/>
      <c r="AG68" s="33">
        <f>SUM(W62:W68)</f>
        <v>10191</v>
      </c>
      <c r="AH68" s="33">
        <f t="shared" si="35"/>
        <v>865</v>
      </c>
      <c r="AI68" s="231">
        <f>+(AG68-AG61)/AG61</f>
        <v>-0.16398687448728466</v>
      </c>
      <c r="AJ68" s="50"/>
      <c r="AK68" s="391"/>
      <c r="AL68" s="23">
        <f t="shared" si="39"/>
        <v>7157</v>
      </c>
      <c r="AM68" s="24"/>
      <c r="AN68" s="24"/>
      <c r="AO68" s="24">
        <v>178263</v>
      </c>
      <c r="AP68" s="24">
        <v>346389</v>
      </c>
      <c r="AQ68" s="24"/>
      <c r="AR68" s="25">
        <f t="shared" si="40"/>
        <v>2.109765588152061E-2</v>
      </c>
      <c r="AS68" s="25"/>
      <c r="AT68" s="25"/>
      <c r="AU68" s="24"/>
      <c r="AV68" s="341">
        <f t="shared" si="25"/>
        <v>0.22366147528281419</v>
      </c>
      <c r="AW68" s="341"/>
      <c r="AX68" s="24">
        <f t="shared" si="26"/>
        <v>5871</v>
      </c>
      <c r="AY68" s="351"/>
      <c r="AZ68" s="391"/>
      <c r="BA68" s="66">
        <f t="shared" si="41"/>
        <v>349955</v>
      </c>
      <c r="BB68" s="67"/>
      <c r="BC68" s="67">
        <v>11875580</v>
      </c>
      <c r="BD68" s="67"/>
      <c r="BE68" s="67">
        <f t="shared" si="12"/>
        <v>19891</v>
      </c>
      <c r="BF68" s="67"/>
      <c r="BG68" s="156">
        <f t="shared" si="42"/>
        <v>5.6838736408966868E-2</v>
      </c>
      <c r="BH68" s="67"/>
      <c r="BI68" s="183"/>
      <c r="BJ68" s="67"/>
      <c r="BK68" s="67">
        <f>SUM(BA62:BA68)</f>
        <v>2431055</v>
      </c>
      <c r="BL68" s="67"/>
      <c r="BM68" s="156">
        <f>+Q68/BK68</f>
        <v>6.5825742321749203E-2</v>
      </c>
      <c r="BN68" s="66">
        <f t="shared" si="21"/>
        <v>201281.01694915254</v>
      </c>
      <c r="BO68" s="67"/>
      <c r="BP68" s="67">
        <f t="shared" si="16"/>
        <v>1275342</v>
      </c>
      <c r="BQ68" s="67"/>
      <c r="BR68" s="74">
        <f t="shared" si="13"/>
        <v>0.10739197580244501</v>
      </c>
      <c r="BS68" s="67"/>
      <c r="BT68" s="86"/>
      <c r="BU68" s="183"/>
      <c r="BV68" s="1"/>
      <c r="BW68">
        <f t="shared" si="11"/>
        <v>59</v>
      </c>
    </row>
    <row r="69" spans="2:75" x14ac:dyDescent="0.3">
      <c r="B69" s="171">
        <f t="shared" si="6"/>
        <v>43969</v>
      </c>
      <c r="C69" s="61"/>
      <c r="D69" s="17">
        <v>22630</v>
      </c>
      <c r="E69" s="16"/>
      <c r="F69" s="16"/>
      <c r="G69" s="16"/>
      <c r="H69" s="16">
        <f t="shared" si="36"/>
        <v>1571350</v>
      </c>
      <c r="I69" s="16"/>
      <c r="J69" s="38">
        <f t="shared" si="37"/>
        <v>1.4612066738984452E-2</v>
      </c>
      <c r="K69" s="16"/>
      <c r="L69" s="16"/>
      <c r="M69" s="16"/>
      <c r="N69" s="16"/>
      <c r="O69" s="16">
        <f t="shared" ref="O69:O96" si="43">+H69/BW69</f>
        <v>26189.166666666668</v>
      </c>
      <c r="P69" s="41"/>
      <c r="Q69" s="17"/>
      <c r="R69" s="16"/>
      <c r="S69" s="60"/>
      <c r="T69" s="16"/>
      <c r="U69" s="41"/>
      <c r="V69" s="10"/>
      <c r="W69" s="34">
        <v>1003</v>
      </c>
      <c r="X69" s="33"/>
      <c r="Y69" s="33"/>
      <c r="Z69" s="33"/>
      <c r="AA69" s="33">
        <f t="shared" si="38"/>
        <v>94734</v>
      </c>
      <c r="AB69" s="33"/>
      <c r="AC69" s="46">
        <f t="shared" ref="AC69:AC96" si="44">+AA69/H69</f>
        <v>6.0288287141629808E-2</v>
      </c>
      <c r="AD69" s="33"/>
      <c r="AE69" s="33">
        <f t="shared" ref="AE69:AE96" si="45">+AA69/BW69</f>
        <v>1578.9</v>
      </c>
      <c r="AF69" s="50"/>
      <c r="AG69" s="33"/>
      <c r="AH69" s="33">
        <f t="shared" si="35"/>
        <v>1003</v>
      </c>
      <c r="AI69" s="231"/>
      <c r="AJ69" s="50"/>
      <c r="AK69" s="10"/>
      <c r="AL69" s="23">
        <f t="shared" si="39"/>
        <v>9994</v>
      </c>
      <c r="AM69" s="24"/>
      <c r="AN69" s="24"/>
      <c r="AO69" s="24">
        <v>178263</v>
      </c>
      <c r="AP69" s="24">
        <v>356383</v>
      </c>
      <c r="AQ69" s="24"/>
      <c r="AR69" s="25">
        <f t="shared" si="40"/>
        <v>2.8851955460479403E-2</v>
      </c>
      <c r="AS69" s="25"/>
      <c r="AT69" s="25"/>
      <c r="AU69" s="24"/>
      <c r="AV69" s="341">
        <f t="shared" ref="AV69:AV96" si="46">+AP69/H69</f>
        <v>0.22680052184427404</v>
      </c>
      <c r="AW69" s="341"/>
      <c r="AX69" s="24">
        <f t="shared" ref="AX69:AX96" si="47">+AP69/BW69</f>
        <v>5939.7166666666662</v>
      </c>
      <c r="AY69" s="351"/>
      <c r="AZ69" s="10"/>
      <c r="BA69" s="66">
        <f t="shared" si="41"/>
        <v>425164</v>
      </c>
      <c r="BB69" s="67"/>
      <c r="BC69" s="67">
        <v>12300744</v>
      </c>
      <c r="BD69" s="67"/>
      <c r="BE69" s="67">
        <f t="shared" ref="BE69:BE96" si="48">+D69</f>
        <v>22630</v>
      </c>
      <c r="BF69" s="67"/>
      <c r="BG69" s="156">
        <f t="shared" si="42"/>
        <v>5.3226519648888429E-2</v>
      </c>
      <c r="BH69" s="67"/>
      <c r="BI69" s="183"/>
      <c r="BJ69" s="67"/>
      <c r="BK69" s="67"/>
      <c r="BL69" s="67"/>
      <c r="BM69" s="156"/>
      <c r="BN69" s="66">
        <f t="shared" ref="BN69:BN96" si="49">+BC69/BW69</f>
        <v>205012.4</v>
      </c>
      <c r="BO69" s="67"/>
      <c r="BP69" s="67">
        <f t="shared" ref="BP69:BP96" si="50">+BP68+BE69</f>
        <v>1297972</v>
      </c>
      <c r="BQ69" s="67"/>
      <c r="BR69" s="74">
        <f t="shared" ref="BR69:BR96" si="51">+BP69/BC69</f>
        <v>0.10551979620094525</v>
      </c>
      <c r="BS69" s="67"/>
      <c r="BT69" s="86"/>
      <c r="BU69" s="183"/>
      <c r="BV69" s="1"/>
      <c r="BW69">
        <f t="shared" si="11"/>
        <v>60</v>
      </c>
    </row>
    <row r="70" spans="2:75" x14ac:dyDescent="0.3">
      <c r="B70" s="171">
        <f t="shared" si="6"/>
        <v>43970</v>
      </c>
      <c r="C70" s="61"/>
      <c r="D70" s="17">
        <v>20289</v>
      </c>
      <c r="E70" s="16"/>
      <c r="F70" s="16"/>
      <c r="G70" s="16"/>
      <c r="H70" s="16">
        <f t="shared" si="36"/>
        <v>1591639</v>
      </c>
      <c r="I70" s="16"/>
      <c r="J70" s="38">
        <f t="shared" si="37"/>
        <v>1.2911827409552296E-2</v>
      </c>
      <c r="K70" s="16"/>
      <c r="L70" s="16"/>
      <c r="M70" s="16"/>
      <c r="N70" s="16"/>
      <c r="O70" s="16">
        <f t="shared" si="43"/>
        <v>26092.442622950821</v>
      </c>
      <c r="P70" s="41"/>
      <c r="Q70" s="17"/>
      <c r="R70" s="16"/>
      <c r="S70" s="60"/>
      <c r="T70" s="16"/>
      <c r="U70" s="41"/>
      <c r="V70" s="10"/>
      <c r="W70" s="34">
        <v>1552</v>
      </c>
      <c r="X70" s="33"/>
      <c r="Y70" s="33"/>
      <c r="Z70" s="33"/>
      <c r="AA70" s="33">
        <f t="shared" si="38"/>
        <v>96286</v>
      </c>
      <c r="AB70" s="33"/>
      <c r="AC70" s="46">
        <f t="shared" si="44"/>
        <v>6.0494873523456012E-2</v>
      </c>
      <c r="AD70" s="33"/>
      <c r="AE70" s="33">
        <f t="shared" si="45"/>
        <v>1578.4590163934427</v>
      </c>
      <c r="AF70" s="50"/>
      <c r="AG70" s="33"/>
      <c r="AH70" s="33">
        <f t="shared" si="35"/>
        <v>1552</v>
      </c>
      <c r="AI70" s="231"/>
      <c r="AJ70" s="50"/>
      <c r="AK70" s="10"/>
      <c r="AL70" s="23">
        <f t="shared" si="39"/>
        <v>4797</v>
      </c>
      <c r="AM70" s="24"/>
      <c r="AN70" s="24"/>
      <c r="AO70" s="24">
        <v>178263</v>
      </c>
      <c r="AP70" s="24">
        <v>361180</v>
      </c>
      <c r="AQ70" s="24"/>
      <c r="AR70" s="25">
        <f t="shared" si="40"/>
        <v>1.346023800237385E-2</v>
      </c>
      <c r="AS70" s="25"/>
      <c r="AT70" s="25"/>
      <c r="AU70" s="24"/>
      <c r="AV70" s="341">
        <f t="shared" si="46"/>
        <v>0.22692331615397712</v>
      </c>
      <c r="AW70" s="341"/>
      <c r="AX70" s="24">
        <f t="shared" si="47"/>
        <v>5920.9836065573772</v>
      </c>
      <c r="AY70" s="351"/>
      <c r="AZ70" s="10"/>
      <c r="BA70" s="66">
        <f t="shared" si="41"/>
        <v>344729</v>
      </c>
      <c r="BB70" s="67"/>
      <c r="BC70" s="67">
        <v>12645473</v>
      </c>
      <c r="BD70" s="67"/>
      <c r="BE70" s="67">
        <f t="shared" si="48"/>
        <v>20289</v>
      </c>
      <c r="BF70" s="67"/>
      <c r="BG70" s="156">
        <f t="shared" si="42"/>
        <v>5.8854926623521667E-2</v>
      </c>
      <c r="BH70" s="67"/>
      <c r="BI70" s="183"/>
      <c r="BJ70" s="67"/>
      <c r="BK70" s="67"/>
      <c r="BL70" s="67"/>
      <c r="BM70" s="156"/>
      <c r="BN70" s="66">
        <f t="shared" si="49"/>
        <v>207302.83606557376</v>
      </c>
      <c r="BO70" s="67"/>
      <c r="BP70" s="67">
        <f t="shared" si="50"/>
        <v>1318261</v>
      </c>
      <c r="BQ70" s="67"/>
      <c r="BR70" s="74">
        <f t="shared" si="51"/>
        <v>0.10424766238479177</v>
      </c>
      <c r="BS70" s="67"/>
      <c r="BT70" s="86"/>
      <c r="BU70" s="183"/>
      <c r="BV70" s="1"/>
      <c r="BW70">
        <f t="shared" si="11"/>
        <v>61</v>
      </c>
    </row>
    <row r="71" spans="2:75" x14ac:dyDescent="0.3">
      <c r="B71" s="171">
        <f t="shared" si="6"/>
        <v>43971</v>
      </c>
      <c r="C71" s="61"/>
      <c r="D71" s="17">
        <v>22140</v>
      </c>
      <c r="E71" s="16"/>
      <c r="F71" s="16"/>
      <c r="G71" s="16"/>
      <c r="H71" s="16">
        <f t="shared" si="36"/>
        <v>1613779</v>
      </c>
      <c r="I71" s="16"/>
      <c r="J71" s="38">
        <f t="shared" si="37"/>
        <v>1.3910189433659266E-2</v>
      </c>
      <c r="K71" s="16"/>
      <c r="L71" s="16"/>
      <c r="M71" s="16"/>
      <c r="N71" s="16"/>
      <c r="O71" s="16">
        <f t="shared" si="43"/>
        <v>26028.693548387098</v>
      </c>
      <c r="P71" s="41"/>
      <c r="Q71" s="17"/>
      <c r="R71" s="16"/>
      <c r="S71" s="60"/>
      <c r="T71" s="16"/>
      <c r="U71" s="41"/>
      <c r="V71" s="10"/>
      <c r="W71" s="34">
        <v>1403</v>
      </c>
      <c r="X71" s="33"/>
      <c r="Y71" s="33"/>
      <c r="Z71" s="33"/>
      <c r="AA71" s="33">
        <f t="shared" si="38"/>
        <v>97689</v>
      </c>
      <c r="AB71" s="33"/>
      <c r="AC71" s="46">
        <f t="shared" si="44"/>
        <v>6.0534311079769906E-2</v>
      </c>
      <c r="AD71" s="33"/>
      <c r="AE71" s="33">
        <f t="shared" si="45"/>
        <v>1575.6290322580646</v>
      </c>
      <c r="AF71" s="50"/>
      <c r="AG71" s="33"/>
      <c r="AH71" s="33">
        <f t="shared" si="35"/>
        <v>1403</v>
      </c>
      <c r="AI71" s="231"/>
      <c r="AJ71" s="50"/>
      <c r="AK71" s="10"/>
      <c r="AL71" s="23">
        <f t="shared" si="39"/>
        <v>8896</v>
      </c>
      <c r="AM71" s="24"/>
      <c r="AN71" s="24"/>
      <c r="AO71" s="24">
        <v>178263</v>
      </c>
      <c r="AP71" s="24">
        <v>370076</v>
      </c>
      <c r="AQ71" s="24"/>
      <c r="AR71" s="25">
        <f t="shared" si="40"/>
        <v>2.4630378204773245E-2</v>
      </c>
      <c r="AS71" s="25"/>
      <c r="AT71" s="25"/>
      <c r="AU71" s="24"/>
      <c r="AV71" s="341">
        <f t="shared" si="46"/>
        <v>0.2293226024133416</v>
      </c>
      <c r="AW71" s="341"/>
      <c r="AX71" s="24">
        <f t="shared" si="47"/>
        <v>5968.9677419354839</v>
      </c>
      <c r="AY71" s="351"/>
      <c r="AZ71" s="10"/>
      <c r="BA71" s="66">
        <f t="shared" si="41"/>
        <v>323101</v>
      </c>
      <c r="BB71" s="67"/>
      <c r="BC71" s="67">
        <v>12968574</v>
      </c>
      <c r="BD71" s="67"/>
      <c r="BE71" s="67">
        <f t="shared" si="48"/>
        <v>22140</v>
      </c>
      <c r="BF71" s="67"/>
      <c r="BG71" s="156">
        <f t="shared" si="42"/>
        <v>6.8523464798932843E-2</v>
      </c>
      <c r="BH71" s="67"/>
      <c r="BI71" s="183"/>
      <c r="BJ71" s="67"/>
      <c r="BK71" s="67"/>
      <c r="BL71" s="67"/>
      <c r="BM71" s="156"/>
      <c r="BN71" s="66">
        <f t="shared" si="49"/>
        <v>209170.54838709679</v>
      </c>
      <c r="BO71" s="67"/>
      <c r="BP71" s="67">
        <f t="shared" si="50"/>
        <v>1340401</v>
      </c>
      <c r="BQ71" s="67"/>
      <c r="BR71" s="74">
        <f t="shared" si="51"/>
        <v>0.10335762436178411</v>
      </c>
      <c r="BS71" s="67"/>
      <c r="BT71" s="86"/>
      <c r="BU71" s="183"/>
      <c r="BV71" s="1"/>
      <c r="BW71">
        <f t="shared" si="11"/>
        <v>62</v>
      </c>
    </row>
    <row r="72" spans="2:75" x14ac:dyDescent="0.3">
      <c r="B72" s="171">
        <f t="shared" si="6"/>
        <v>43972</v>
      </c>
      <c r="C72" s="61"/>
      <c r="D72" s="17">
        <v>28175</v>
      </c>
      <c r="E72" s="16"/>
      <c r="F72" s="16"/>
      <c r="G72" s="16"/>
      <c r="H72" s="16">
        <f t="shared" si="36"/>
        <v>1641954</v>
      </c>
      <c r="I72" s="16"/>
      <c r="J72" s="38">
        <f t="shared" si="37"/>
        <v>1.7459020101265415E-2</v>
      </c>
      <c r="K72" s="16"/>
      <c r="L72" s="16"/>
      <c r="M72" s="16"/>
      <c r="N72" s="16"/>
      <c r="O72" s="16">
        <f t="shared" si="43"/>
        <v>26062.761904761905</v>
      </c>
      <c r="P72" s="41"/>
      <c r="Q72" s="17"/>
      <c r="R72" s="16"/>
      <c r="S72" s="60"/>
      <c r="T72" s="16"/>
      <c r="U72" s="41"/>
      <c r="V72" s="10"/>
      <c r="W72" s="34">
        <v>1418</v>
      </c>
      <c r="X72" s="33"/>
      <c r="Y72" s="33"/>
      <c r="Z72" s="33"/>
      <c r="AA72" s="33">
        <f t="shared" si="38"/>
        <v>99107</v>
      </c>
      <c r="AB72" s="33"/>
      <c r="AC72" s="46">
        <f t="shared" si="44"/>
        <v>6.0359181804118749E-2</v>
      </c>
      <c r="AD72" s="33"/>
      <c r="AE72" s="33">
        <f t="shared" si="45"/>
        <v>1573.1269841269841</v>
      </c>
      <c r="AF72" s="50"/>
      <c r="AG72" s="33"/>
      <c r="AH72" s="33">
        <f t="shared" si="35"/>
        <v>1418</v>
      </c>
      <c r="AI72" s="231"/>
      <c r="AJ72" s="50"/>
      <c r="AK72" s="10"/>
      <c r="AL72" s="23">
        <f t="shared" si="39"/>
        <v>12093</v>
      </c>
      <c r="AM72" s="24"/>
      <c r="AN72" s="24"/>
      <c r="AO72" s="24">
        <v>178263</v>
      </c>
      <c r="AP72" s="24">
        <v>382169</v>
      </c>
      <c r="AQ72" s="24"/>
      <c r="AR72" s="25">
        <f t="shared" si="40"/>
        <v>3.2677071736616263E-2</v>
      </c>
      <c r="AS72" s="25"/>
      <c r="AT72" s="25"/>
      <c r="AU72" s="24"/>
      <c r="AV72" s="341">
        <f t="shared" si="46"/>
        <v>0.23275256188663021</v>
      </c>
      <c r="AW72" s="341"/>
      <c r="AX72" s="24">
        <f t="shared" si="47"/>
        <v>6066.1746031746034</v>
      </c>
      <c r="AY72" s="351"/>
      <c r="AZ72" s="10"/>
      <c r="BA72" s="66">
        <f t="shared" si="41"/>
        <v>470540</v>
      </c>
      <c r="BB72" s="67"/>
      <c r="BC72" s="67">
        <v>13439114</v>
      </c>
      <c r="BD72" s="67"/>
      <c r="BE72" s="67">
        <f t="shared" si="48"/>
        <v>28175</v>
      </c>
      <c r="BF72" s="67"/>
      <c r="BG72" s="156">
        <f t="shared" si="42"/>
        <v>5.9878012496280872E-2</v>
      </c>
      <c r="BH72" s="67"/>
      <c r="BI72" s="183"/>
      <c r="BJ72" s="67"/>
      <c r="BK72" s="67"/>
      <c r="BL72" s="67"/>
      <c r="BM72" s="156"/>
      <c r="BN72" s="66">
        <f t="shared" si="49"/>
        <v>213319.26984126985</v>
      </c>
      <c r="BO72" s="67"/>
      <c r="BP72" s="67">
        <f t="shared" si="50"/>
        <v>1368576</v>
      </c>
      <c r="BQ72" s="67"/>
      <c r="BR72" s="74">
        <f t="shared" si="51"/>
        <v>0.10183528467724881</v>
      </c>
      <c r="BS72" s="67"/>
      <c r="BT72" s="86"/>
      <c r="BU72" s="183"/>
      <c r="BV72" s="1"/>
      <c r="BW72">
        <f t="shared" si="11"/>
        <v>63</v>
      </c>
    </row>
    <row r="73" spans="2:75" x14ac:dyDescent="0.3">
      <c r="B73" s="171">
        <f t="shared" si="6"/>
        <v>43973</v>
      </c>
      <c r="C73" s="61"/>
      <c r="D73" s="17">
        <v>24002</v>
      </c>
      <c r="E73" s="16"/>
      <c r="F73" s="16"/>
      <c r="G73" s="16"/>
      <c r="H73" s="16">
        <f t="shared" si="36"/>
        <v>1665956</v>
      </c>
      <c r="I73" s="16"/>
      <c r="J73" s="38">
        <f t="shared" si="37"/>
        <v>1.4617949102106393E-2</v>
      </c>
      <c r="K73" s="16"/>
      <c r="L73" s="16"/>
      <c r="M73" s="16"/>
      <c r="N73" s="16"/>
      <c r="O73" s="16">
        <f t="shared" si="43"/>
        <v>26030.5625</v>
      </c>
      <c r="P73" s="41"/>
      <c r="Q73" s="17"/>
      <c r="R73" s="16"/>
      <c r="S73" s="60"/>
      <c r="T73" s="16"/>
      <c r="U73" s="41"/>
      <c r="V73" s="10"/>
      <c r="W73" s="34">
        <v>1293</v>
      </c>
      <c r="X73" s="33"/>
      <c r="Y73" s="33"/>
      <c r="Z73" s="33"/>
      <c r="AA73" s="33">
        <f t="shared" si="38"/>
        <v>100400</v>
      </c>
      <c r="AB73" s="33"/>
      <c r="AC73" s="46">
        <f t="shared" si="44"/>
        <v>6.0265697293325877E-2</v>
      </c>
      <c r="AD73" s="33"/>
      <c r="AE73" s="33">
        <f t="shared" si="45"/>
        <v>1568.75</v>
      </c>
      <c r="AF73" s="50"/>
      <c r="AG73" s="33"/>
      <c r="AH73" s="33">
        <f t="shared" si="35"/>
        <v>1293</v>
      </c>
      <c r="AI73" s="231"/>
      <c r="AJ73" s="50"/>
      <c r="AK73" s="10"/>
      <c r="AL73" s="23">
        <f t="shared" si="39"/>
        <v>51428</v>
      </c>
      <c r="AM73" s="24"/>
      <c r="AN73" s="24"/>
      <c r="AO73" s="24">
        <v>178263</v>
      </c>
      <c r="AP73" s="24">
        <v>433597</v>
      </c>
      <c r="AQ73" s="24"/>
      <c r="AR73" s="25">
        <f t="shared" si="40"/>
        <v>0.13456873791437821</v>
      </c>
      <c r="AS73" s="25"/>
      <c r="AT73" s="25"/>
      <c r="AU73" s="24"/>
      <c r="AV73" s="341">
        <f t="shared" si="46"/>
        <v>0.26026917877783085</v>
      </c>
      <c r="AW73" s="341"/>
      <c r="AX73" s="24">
        <f t="shared" si="47"/>
        <v>6774.953125</v>
      </c>
      <c r="AY73" s="351"/>
      <c r="AZ73" s="10"/>
      <c r="BA73" s="66">
        <f t="shared" si="41"/>
        <v>470791</v>
      </c>
      <c r="BB73" s="67"/>
      <c r="BC73" s="67">
        <v>13909905</v>
      </c>
      <c r="BD73" s="67"/>
      <c r="BE73" s="67">
        <f t="shared" si="48"/>
        <v>24002</v>
      </c>
      <c r="BF73" s="67"/>
      <c r="BG73" s="156">
        <f t="shared" si="42"/>
        <v>5.0982283008808582E-2</v>
      </c>
      <c r="BH73" s="67"/>
      <c r="BI73" s="183"/>
      <c r="BJ73" s="67"/>
      <c r="BK73" s="67"/>
      <c r="BL73" s="67"/>
      <c r="BM73" s="156"/>
      <c r="BN73" s="66">
        <f t="shared" si="49"/>
        <v>217342.265625</v>
      </c>
      <c r="BO73" s="67"/>
      <c r="BP73" s="67">
        <f t="shared" si="50"/>
        <v>1392578</v>
      </c>
      <c r="BQ73" s="67"/>
      <c r="BR73" s="74">
        <f t="shared" si="51"/>
        <v>0.10011412730712395</v>
      </c>
      <c r="BS73" s="67"/>
      <c r="BT73" s="86"/>
      <c r="BU73" s="183"/>
      <c r="BV73" s="1"/>
      <c r="BW73">
        <f t="shared" si="11"/>
        <v>64</v>
      </c>
    </row>
    <row r="74" spans="2:75" x14ac:dyDescent="0.3">
      <c r="B74" s="475">
        <f t="shared" si="6"/>
        <v>43974</v>
      </c>
      <c r="C74" s="61"/>
      <c r="D74" s="17">
        <v>21928</v>
      </c>
      <c r="E74" s="16"/>
      <c r="F74" s="16"/>
      <c r="G74" s="16"/>
      <c r="H74" s="16">
        <f t="shared" si="36"/>
        <v>1687884</v>
      </c>
      <c r="I74" s="16"/>
      <c r="J74" s="38">
        <f t="shared" si="37"/>
        <v>1.3162412452669818E-2</v>
      </c>
      <c r="K74" s="16"/>
      <c r="L74" s="16"/>
      <c r="M74" s="16"/>
      <c r="N74" s="16"/>
      <c r="O74" s="16">
        <f t="shared" si="43"/>
        <v>25967.446153846155</v>
      </c>
      <c r="P74" s="41"/>
      <c r="Q74" s="17"/>
      <c r="R74" s="16"/>
      <c r="S74" s="60"/>
      <c r="T74" s="16"/>
      <c r="U74" s="41"/>
      <c r="V74" s="477"/>
      <c r="W74" s="34">
        <v>1036</v>
      </c>
      <c r="X74" s="33"/>
      <c r="Y74" s="33"/>
      <c r="Z74" s="33"/>
      <c r="AA74" s="33">
        <f t="shared" si="38"/>
        <v>101436</v>
      </c>
      <c r="AB74" s="33"/>
      <c r="AC74" s="46">
        <f t="shared" si="44"/>
        <v>6.0096546919101074E-2</v>
      </c>
      <c r="AD74" s="33"/>
      <c r="AE74" s="33">
        <f t="shared" si="45"/>
        <v>1560.5538461538461</v>
      </c>
      <c r="AF74" s="50"/>
      <c r="AG74" s="33"/>
      <c r="AH74" s="33">
        <f t="shared" si="35"/>
        <v>1036</v>
      </c>
      <c r="AI74" s="231"/>
      <c r="AJ74" s="50"/>
      <c r="AK74" s="10"/>
      <c r="AL74" s="23">
        <f t="shared" si="39"/>
        <v>13317</v>
      </c>
      <c r="AM74" s="24"/>
      <c r="AN74" s="24"/>
      <c r="AO74" s="24">
        <v>178263</v>
      </c>
      <c r="AP74" s="24">
        <v>446914</v>
      </c>
      <c r="AQ74" s="24"/>
      <c r="AR74" s="25">
        <f t="shared" si="40"/>
        <v>3.0712850873045709E-2</v>
      </c>
      <c r="AS74" s="25"/>
      <c r="AT74" s="25"/>
      <c r="AU74" s="24"/>
      <c r="AV74" s="341">
        <f t="shared" si="46"/>
        <v>0.26477767429515298</v>
      </c>
      <c r="AW74" s="341"/>
      <c r="AX74" s="24">
        <f t="shared" si="47"/>
        <v>6875.6</v>
      </c>
      <c r="AY74" s="351"/>
      <c r="AZ74" s="10"/>
      <c r="BA74" s="66">
        <f t="shared" si="41"/>
        <v>448064</v>
      </c>
      <c r="BB74" s="67"/>
      <c r="BC74" s="67">
        <v>14357969</v>
      </c>
      <c r="BD74" s="67"/>
      <c r="BE74" s="67">
        <f t="shared" si="48"/>
        <v>21928</v>
      </c>
      <c r="BF74" s="67"/>
      <c r="BG74" s="156">
        <f t="shared" si="42"/>
        <v>4.8939437223253821E-2</v>
      </c>
      <c r="BH74" s="67"/>
      <c r="BI74" s="183"/>
      <c r="BJ74" s="67"/>
      <c r="BK74" s="67"/>
      <c r="BL74" s="67"/>
      <c r="BM74" s="156"/>
      <c r="BN74" s="66">
        <f t="shared" si="49"/>
        <v>220891.83076923076</v>
      </c>
      <c r="BO74" s="67"/>
      <c r="BP74" s="67">
        <f t="shared" si="50"/>
        <v>1414506</v>
      </c>
      <c r="BQ74" s="67"/>
      <c r="BR74" s="74">
        <f t="shared" si="51"/>
        <v>9.8517137068620225E-2</v>
      </c>
      <c r="BS74" s="67"/>
      <c r="BT74" s="86"/>
      <c r="BU74" s="183"/>
      <c r="BV74" s="1"/>
      <c r="BW74">
        <f t="shared" si="11"/>
        <v>65</v>
      </c>
    </row>
    <row r="75" spans="2:75" x14ac:dyDescent="0.3">
      <c r="B75" s="390">
        <f t="shared" si="6"/>
        <v>43975</v>
      </c>
      <c r="C75" s="61"/>
      <c r="D75" s="17">
        <v>19608</v>
      </c>
      <c r="E75" s="16"/>
      <c r="F75" s="16"/>
      <c r="G75" s="16"/>
      <c r="H75" s="16">
        <f t="shared" si="36"/>
        <v>1707492</v>
      </c>
      <c r="I75" s="16"/>
      <c r="J75" s="38">
        <f t="shared" si="37"/>
        <v>1.1616912062677292E-2</v>
      </c>
      <c r="K75" s="16"/>
      <c r="L75" s="16"/>
      <c r="M75" s="16"/>
      <c r="N75" s="16"/>
      <c r="O75" s="16">
        <f t="shared" si="43"/>
        <v>25871.090909090908</v>
      </c>
      <c r="P75" s="41"/>
      <c r="Q75" s="17">
        <f>SUM(D69:D75)</f>
        <v>158772</v>
      </c>
      <c r="R75" s="16"/>
      <c r="S75" s="60">
        <f>+(Q75-Q68)/Q68</f>
        <v>-7.8362266131753594E-3</v>
      </c>
      <c r="T75" s="16"/>
      <c r="U75" s="41"/>
      <c r="V75" s="391"/>
      <c r="W75" s="34">
        <v>617</v>
      </c>
      <c r="X75" s="33"/>
      <c r="Y75" s="33"/>
      <c r="Z75" s="33"/>
      <c r="AA75" s="33">
        <f t="shared" si="38"/>
        <v>102053</v>
      </c>
      <c r="AB75" s="33"/>
      <c r="AC75" s="46">
        <f t="shared" si="44"/>
        <v>5.9767776364398777E-2</v>
      </c>
      <c r="AD75" s="33"/>
      <c r="AE75" s="33">
        <f t="shared" si="45"/>
        <v>1546.2575757575758</v>
      </c>
      <c r="AF75" s="50"/>
      <c r="AG75" s="33">
        <f>SUM(W69:W75)</f>
        <v>8322</v>
      </c>
      <c r="AH75" s="33">
        <f t="shared" si="35"/>
        <v>617</v>
      </c>
      <c r="AI75" s="231">
        <f>+(AG75-AG68)/AG68</f>
        <v>-0.1833971151015602</v>
      </c>
      <c r="AJ75" s="50"/>
      <c r="AK75" s="391"/>
      <c r="AL75" s="23">
        <f t="shared" si="39"/>
        <v>4788</v>
      </c>
      <c r="AM75" s="24"/>
      <c r="AN75" s="24"/>
      <c r="AO75" s="24">
        <v>178263</v>
      </c>
      <c r="AP75" s="24">
        <v>451702</v>
      </c>
      <c r="AQ75" s="24"/>
      <c r="AR75" s="25">
        <f t="shared" si="40"/>
        <v>1.0713470600607723E-2</v>
      </c>
      <c r="AS75" s="25"/>
      <c r="AT75" s="25"/>
      <c r="AU75" s="24"/>
      <c r="AV75" s="341">
        <f t="shared" si="46"/>
        <v>0.26454121014915444</v>
      </c>
      <c r="AW75" s="341"/>
      <c r="AX75" s="24">
        <f t="shared" si="47"/>
        <v>6843.969696969697</v>
      </c>
      <c r="AY75" s="351"/>
      <c r="AZ75" s="391"/>
      <c r="BA75" s="66">
        <f t="shared" si="41"/>
        <v>391787</v>
      </c>
      <c r="BB75" s="67"/>
      <c r="BC75" s="67">
        <v>14749756</v>
      </c>
      <c r="BD75" s="67"/>
      <c r="BE75" s="67">
        <f t="shared" si="48"/>
        <v>19608</v>
      </c>
      <c r="BF75" s="67"/>
      <c r="BG75" s="156">
        <f t="shared" si="42"/>
        <v>5.0047602396199979E-2</v>
      </c>
      <c r="BH75" s="67"/>
      <c r="BI75" s="183"/>
      <c r="BJ75" s="67"/>
      <c r="BK75" s="67">
        <f>SUM(BA69:BA75)</f>
        <v>2874176</v>
      </c>
      <c r="BL75" s="67"/>
      <c r="BM75" s="156">
        <f>+Q75/BK75</f>
        <v>5.5240875993676102E-2</v>
      </c>
      <c r="BN75" s="66">
        <f t="shared" si="49"/>
        <v>223481.15151515152</v>
      </c>
      <c r="BO75" s="67"/>
      <c r="BP75" s="67">
        <f t="shared" si="50"/>
        <v>1434114</v>
      </c>
      <c r="BQ75" s="67"/>
      <c r="BR75" s="74">
        <f t="shared" si="51"/>
        <v>9.7229676206169111E-2</v>
      </c>
      <c r="BS75" s="67"/>
      <c r="BT75" s="86"/>
      <c r="BU75" s="183"/>
      <c r="BV75" s="1"/>
      <c r="BW75">
        <f t="shared" si="11"/>
        <v>66</v>
      </c>
    </row>
    <row r="76" spans="2:75" x14ac:dyDescent="0.3">
      <c r="B76" s="171">
        <f t="shared" si="6"/>
        <v>43976</v>
      </c>
      <c r="C76" s="61"/>
      <c r="D76" s="17">
        <v>19790</v>
      </c>
      <c r="E76" s="16"/>
      <c r="F76" s="16"/>
      <c r="G76" s="16"/>
      <c r="H76" s="16">
        <f t="shared" si="36"/>
        <v>1727282</v>
      </c>
      <c r="I76" s="16"/>
      <c r="J76" s="38">
        <f t="shared" si="37"/>
        <v>1.1590098225936051E-2</v>
      </c>
      <c r="K76" s="16"/>
      <c r="L76" s="16"/>
      <c r="M76" s="16"/>
      <c r="N76" s="16"/>
      <c r="O76" s="16">
        <f t="shared" si="43"/>
        <v>25780.328358208953</v>
      </c>
      <c r="P76" s="41"/>
      <c r="Q76" s="17"/>
      <c r="R76" s="16"/>
      <c r="S76" s="60"/>
      <c r="T76" s="16"/>
      <c r="U76" s="41"/>
      <c r="V76" s="10"/>
      <c r="W76" s="34">
        <v>505</v>
      </c>
      <c r="X76" s="33"/>
      <c r="Y76" s="33"/>
      <c r="Z76" s="33"/>
      <c r="AA76" s="33">
        <f t="shared" si="38"/>
        <v>102558</v>
      </c>
      <c r="AB76" s="33"/>
      <c r="AC76" s="46">
        <f t="shared" si="44"/>
        <v>5.937536545856438E-2</v>
      </c>
      <c r="AD76" s="33"/>
      <c r="AE76" s="33">
        <f t="shared" si="45"/>
        <v>1530.7164179104477</v>
      </c>
      <c r="AF76" s="50"/>
      <c r="AG76" s="33"/>
      <c r="AH76" s="33">
        <f t="shared" si="35"/>
        <v>505</v>
      </c>
      <c r="AI76" s="231"/>
      <c r="AJ76" s="50"/>
      <c r="AK76" s="10"/>
      <c r="AL76" s="23">
        <f t="shared" si="39"/>
        <v>12968</v>
      </c>
      <c r="AM76" s="24"/>
      <c r="AN76" s="24"/>
      <c r="AO76" s="24">
        <v>178263</v>
      </c>
      <c r="AP76" s="24">
        <v>464670</v>
      </c>
      <c r="AQ76" s="24"/>
      <c r="AR76" s="25">
        <f t="shared" si="40"/>
        <v>2.8709193229164362E-2</v>
      </c>
      <c r="AS76" s="25"/>
      <c r="AT76" s="25"/>
      <c r="AU76" s="24"/>
      <c r="AV76" s="341">
        <f t="shared" si="46"/>
        <v>0.26901802948215753</v>
      </c>
      <c r="AW76" s="341"/>
      <c r="AX76" s="24">
        <f t="shared" si="47"/>
        <v>6935.373134328358</v>
      </c>
      <c r="AY76" s="351"/>
      <c r="AZ76" s="10"/>
      <c r="BA76" s="66">
        <f t="shared" si="41"/>
        <v>437891</v>
      </c>
      <c r="BB76" s="67"/>
      <c r="BC76" s="67">
        <v>15187647</v>
      </c>
      <c r="BD76" s="67"/>
      <c r="BE76" s="67">
        <f t="shared" si="48"/>
        <v>19790</v>
      </c>
      <c r="BF76" s="67"/>
      <c r="BG76" s="156">
        <f t="shared" si="42"/>
        <v>4.5193895284442932E-2</v>
      </c>
      <c r="BH76" s="67"/>
      <c r="BI76" s="183"/>
      <c r="BJ76" s="67"/>
      <c r="BK76" s="67"/>
      <c r="BL76" s="67"/>
      <c r="BM76" s="156"/>
      <c r="BN76" s="66">
        <f t="shared" si="49"/>
        <v>226681.29850746269</v>
      </c>
      <c r="BO76" s="67"/>
      <c r="BP76" s="67">
        <f t="shared" si="50"/>
        <v>1453904</v>
      </c>
      <c r="BQ76" s="67"/>
      <c r="BR76" s="74">
        <f t="shared" si="51"/>
        <v>9.572937796091785E-2</v>
      </c>
      <c r="BS76" s="67"/>
      <c r="BT76" s="86"/>
      <c r="BU76" s="183"/>
      <c r="BV76" s="1"/>
      <c r="BW76">
        <f t="shared" si="11"/>
        <v>67</v>
      </c>
    </row>
    <row r="77" spans="2:75" x14ac:dyDescent="0.3">
      <c r="B77" s="171">
        <f t="shared" ref="B77:B165" si="52">1+B76</f>
        <v>43977</v>
      </c>
      <c r="C77" s="61"/>
      <c r="D77" s="17">
        <v>19031</v>
      </c>
      <c r="E77" s="16"/>
      <c r="F77" s="16"/>
      <c r="G77" s="16"/>
      <c r="H77" s="16">
        <f t="shared" si="36"/>
        <v>1746313</v>
      </c>
      <c r="I77" s="16"/>
      <c r="J77" s="38">
        <f t="shared" si="37"/>
        <v>1.1017888219757977E-2</v>
      </c>
      <c r="K77" s="16"/>
      <c r="L77" s="16"/>
      <c r="M77" s="16"/>
      <c r="N77" s="16"/>
      <c r="O77" s="16">
        <f t="shared" si="43"/>
        <v>25681.073529411766</v>
      </c>
      <c r="P77" s="41"/>
      <c r="Q77" s="17"/>
      <c r="R77" s="16"/>
      <c r="S77" s="60"/>
      <c r="T77" s="16"/>
      <c r="U77" s="41"/>
      <c r="V77" s="10"/>
      <c r="W77" s="34">
        <v>774</v>
      </c>
      <c r="X77" s="33"/>
      <c r="Y77" s="33"/>
      <c r="Z77" s="33"/>
      <c r="AA77" s="33">
        <f t="shared" si="38"/>
        <v>103332</v>
      </c>
      <c r="AB77" s="33"/>
      <c r="AC77" s="46">
        <f t="shared" si="44"/>
        <v>5.917152308893079E-2</v>
      </c>
      <c r="AD77" s="33"/>
      <c r="AE77" s="33">
        <f t="shared" si="45"/>
        <v>1519.5882352941176</v>
      </c>
      <c r="AF77" s="50"/>
      <c r="AG77" s="33"/>
      <c r="AH77" s="33">
        <f t="shared" si="35"/>
        <v>774</v>
      </c>
      <c r="AI77" s="231"/>
      <c r="AJ77" s="50"/>
      <c r="AK77" s="10"/>
      <c r="AL77" s="23">
        <f t="shared" si="39"/>
        <v>15299</v>
      </c>
      <c r="AM77" s="24"/>
      <c r="AN77" s="24"/>
      <c r="AO77" s="24">
        <v>178263</v>
      </c>
      <c r="AP77" s="24">
        <v>479969</v>
      </c>
      <c r="AQ77" s="24"/>
      <c r="AR77" s="25">
        <f t="shared" si="40"/>
        <v>3.2924441001140593E-2</v>
      </c>
      <c r="AS77" s="25"/>
      <c r="AT77" s="25"/>
      <c r="AU77" s="24"/>
      <c r="AV77" s="341">
        <f t="shared" si="46"/>
        <v>0.27484706349892601</v>
      </c>
      <c r="AW77" s="341"/>
      <c r="AX77" s="24">
        <f t="shared" si="47"/>
        <v>7058.3676470588234</v>
      </c>
      <c r="AY77" s="351"/>
      <c r="AZ77" s="10"/>
      <c r="BA77" s="66">
        <f t="shared" si="41"/>
        <v>344512</v>
      </c>
      <c r="BB77" s="67"/>
      <c r="BC77" s="67">
        <v>15532159</v>
      </c>
      <c r="BD77" s="67"/>
      <c r="BE77" s="67">
        <f t="shared" si="48"/>
        <v>19031</v>
      </c>
      <c r="BF77" s="67"/>
      <c r="BG77" s="156">
        <f t="shared" si="42"/>
        <v>5.5240456065391047E-2</v>
      </c>
      <c r="BH77" s="67"/>
      <c r="BI77" s="183"/>
      <c r="BJ77" s="67"/>
      <c r="BK77" s="67"/>
      <c r="BL77" s="67"/>
      <c r="BM77" s="156"/>
      <c r="BN77" s="66">
        <f t="shared" si="49"/>
        <v>228414.10294117648</v>
      </c>
      <c r="BO77" s="67"/>
      <c r="BP77" s="67">
        <f t="shared" si="50"/>
        <v>1472935</v>
      </c>
      <c r="BQ77" s="67"/>
      <c r="BR77" s="74">
        <f t="shared" si="51"/>
        <v>9.4831310959410081E-2</v>
      </c>
      <c r="BS77" s="67"/>
      <c r="BT77" s="86"/>
      <c r="BU77" s="183"/>
      <c r="BV77" s="1"/>
      <c r="BW77">
        <f t="shared" ref="BW77:BW165" si="53">+BW76+1</f>
        <v>68</v>
      </c>
    </row>
    <row r="78" spans="2:75" x14ac:dyDescent="0.3">
      <c r="B78" s="171">
        <f t="shared" si="52"/>
        <v>43978</v>
      </c>
      <c r="C78" s="61"/>
      <c r="D78" s="17">
        <v>20546</v>
      </c>
      <c r="E78" s="16"/>
      <c r="F78" s="16"/>
      <c r="G78" s="16"/>
      <c r="H78" s="16">
        <f t="shared" si="36"/>
        <v>1766859</v>
      </c>
      <c r="I78" s="16"/>
      <c r="J78" s="38">
        <f t="shared" si="37"/>
        <v>1.1765359359977278E-2</v>
      </c>
      <c r="K78" s="16"/>
      <c r="L78" s="16"/>
      <c r="M78" s="16"/>
      <c r="N78" s="16"/>
      <c r="O78" s="16">
        <f t="shared" si="43"/>
        <v>25606.652173913044</v>
      </c>
      <c r="P78" s="41"/>
      <c r="Q78" s="17"/>
      <c r="R78" s="16"/>
      <c r="S78" s="60"/>
      <c r="T78" s="16"/>
      <c r="U78" s="41"/>
      <c r="V78" s="10"/>
      <c r="W78" s="34">
        <f>1535-7</f>
        <v>1528</v>
      </c>
      <c r="X78" s="33"/>
      <c r="Y78" s="33"/>
      <c r="Z78" s="33"/>
      <c r="AA78" s="33">
        <f t="shared" si="38"/>
        <v>104860</v>
      </c>
      <c r="AB78" s="33"/>
      <c r="AC78" s="46">
        <f t="shared" si="44"/>
        <v>5.9348255859692257E-2</v>
      </c>
      <c r="AD78" s="33"/>
      <c r="AE78" s="33">
        <f t="shared" si="45"/>
        <v>1519.7101449275362</v>
      </c>
      <c r="AF78" s="50"/>
      <c r="AG78" s="33"/>
      <c r="AH78" s="33">
        <f t="shared" si="35"/>
        <v>1528</v>
      </c>
      <c r="AI78" s="231"/>
      <c r="AJ78" s="50"/>
      <c r="AK78" s="10"/>
      <c r="AL78" s="23">
        <f t="shared" si="39"/>
        <v>10161</v>
      </c>
      <c r="AM78" s="24"/>
      <c r="AN78" s="24"/>
      <c r="AO78" s="24">
        <v>178263</v>
      </c>
      <c r="AP78" s="24">
        <v>490130</v>
      </c>
      <c r="AQ78" s="24"/>
      <c r="AR78" s="25">
        <f t="shared" si="40"/>
        <v>2.1170117236738208E-2</v>
      </c>
      <c r="AS78" s="25"/>
      <c r="AT78" s="25"/>
      <c r="AU78" s="24"/>
      <c r="AV78" s="341">
        <f t="shared" si="46"/>
        <v>0.27740187530527338</v>
      </c>
      <c r="AW78" s="341"/>
      <c r="AX78" s="24">
        <f t="shared" si="47"/>
        <v>7103.333333333333</v>
      </c>
      <c r="AY78" s="351"/>
      <c r="AZ78" s="10"/>
      <c r="BA78" s="66">
        <f t="shared" si="41"/>
        <v>343314</v>
      </c>
      <c r="BB78" s="67"/>
      <c r="BC78" s="67">
        <v>15875473</v>
      </c>
      <c r="BD78" s="67"/>
      <c r="BE78" s="67">
        <f t="shared" si="48"/>
        <v>20546</v>
      </c>
      <c r="BF78" s="67"/>
      <c r="BG78" s="156">
        <f t="shared" si="42"/>
        <v>5.9846088420512998E-2</v>
      </c>
      <c r="BH78" s="67"/>
      <c r="BI78" s="183"/>
      <c r="BJ78" s="67"/>
      <c r="BK78" s="67"/>
      <c r="BL78" s="67"/>
      <c r="BM78" s="156"/>
      <c r="BN78" s="66">
        <f t="shared" si="49"/>
        <v>230079.31884057971</v>
      </c>
      <c r="BO78" s="67"/>
      <c r="BP78" s="67">
        <f t="shared" si="50"/>
        <v>1493481</v>
      </c>
      <c r="BQ78" s="67"/>
      <c r="BR78" s="74">
        <f t="shared" si="51"/>
        <v>9.4074740324272543E-2</v>
      </c>
      <c r="BS78" s="67"/>
      <c r="BT78" s="86"/>
      <c r="BU78" s="183"/>
      <c r="BV78" s="1"/>
      <c r="BW78">
        <f t="shared" si="53"/>
        <v>69</v>
      </c>
    </row>
    <row r="79" spans="2:75" x14ac:dyDescent="0.3">
      <c r="B79" s="171">
        <f t="shared" si="52"/>
        <v>43979</v>
      </c>
      <c r="C79" s="61"/>
      <c r="D79" s="17">
        <v>22658</v>
      </c>
      <c r="E79" s="16"/>
      <c r="F79" s="16"/>
      <c r="G79" s="16"/>
      <c r="H79" s="16">
        <f t="shared" si="36"/>
        <v>1789517</v>
      </c>
      <c r="I79" s="16"/>
      <c r="J79" s="38">
        <f t="shared" si="37"/>
        <v>1.2823886908915765E-2</v>
      </c>
      <c r="K79" s="16"/>
      <c r="L79" s="16"/>
      <c r="M79" s="16"/>
      <c r="N79" s="16"/>
      <c r="O79" s="16">
        <f t="shared" si="43"/>
        <v>25564.528571428571</v>
      </c>
      <c r="P79" s="41"/>
      <c r="Q79" s="17"/>
      <c r="R79" s="16"/>
      <c r="S79" s="60"/>
      <c r="T79" s="16"/>
      <c r="U79" s="41"/>
      <c r="V79" s="10"/>
      <c r="W79" s="34">
        <v>1223</v>
      </c>
      <c r="X79" s="33"/>
      <c r="Y79" s="33"/>
      <c r="Z79" s="33"/>
      <c r="AA79" s="33">
        <f t="shared" si="38"/>
        <v>106083</v>
      </c>
      <c r="AB79" s="33"/>
      <c r="AC79" s="46">
        <f t="shared" si="44"/>
        <v>5.9280241540035666E-2</v>
      </c>
      <c r="AD79" s="33"/>
      <c r="AE79" s="33">
        <f t="shared" si="45"/>
        <v>1515.4714285714285</v>
      </c>
      <c r="AF79" s="50"/>
      <c r="AG79" s="33"/>
      <c r="AH79" s="33">
        <f t="shared" si="35"/>
        <v>1223</v>
      </c>
      <c r="AI79" s="231"/>
      <c r="AJ79" s="50"/>
      <c r="AK79" s="10"/>
      <c r="AL79" s="23">
        <f t="shared" si="39"/>
        <v>8595</v>
      </c>
      <c r="AM79" s="24"/>
      <c r="AN79" s="24"/>
      <c r="AO79" s="24">
        <v>178263</v>
      </c>
      <c r="AP79" s="24">
        <v>498725</v>
      </c>
      <c r="AQ79" s="24"/>
      <c r="AR79" s="25">
        <f t="shared" si="40"/>
        <v>1.7536163874890334E-2</v>
      </c>
      <c r="AS79" s="25"/>
      <c r="AT79" s="25"/>
      <c r="AU79" s="24"/>
      <c r="AV79" s="341">
        <f t="shared" si="46"/>
        <v>0.2786925187075619</v>
      </c>
      <c r="AW79" s="341"/>
      <c r="AX79" s="24">
        <f t="shared" si="47"/>
        <v>7124.6428571428569</v>
      </c>
      <c r="AY79" s="351"/>
      <c r="AZ79" s="10"/>
      <c r="BA79" s="66">
        <f t="shared" si="41"/>
        <v>455839</v>
      </c>
      <c r="BB79" s="67"/>
      <c r="BC79" s="67">
        <v>16331312</v>
      </c>
      <c r="BD79" s="67"/>
      <c r="BE79" s="67">
        <f t="shared" si="48"/>
        <v>22658</v>
      </c>
      <c r="BF79" s="67"/>
      <c r="BG79" s="156">
        <f t="shared" si="42"/>
        <v>4.9706146249004581E-2</v>
      </c>
      <c r="BH79" s="67"/>
      <c r="BI79" s="183"/>
      <c r="BJ79" s="67"/>
      <c r="BK79" s="67"/>
      <c r="BL79" s="67"/>
      <c r="BM79" s="156"/>
      <c r="BN79" s="66">
        <f t="shared" si="49"/>
        <v>233304.45714285714</v>
      </c>
      <c r="BO79" s="67"/>
      <c r="BP79" s="67">
        <f t="shared" si="50"/>
        <v>1516139</v>
      </c>
      <c r="BQ79" s="67"/>
      <c r="BR79" s="74">
        <f t="shared" si="51"/>
        <v>9.2836325703654424E-2</v>
      </c>
      <c r="BS79" s="67"/>
      <c r="BT79" s="86"/>
      <c r="BU79" s="183"/>
      <c r="BV79" s="1"/>
      <c r="BW79">
        <f t="shared" si="53"/>
        <v>70</v>
      </c>
    </row>
    <row r="80" spans="2:75" x14ac:dyDescent="0.3">
      <c r="B80" s="171">
        <f t="shared" si="52"/>
        <v>43980</v>
      </c>
      <c r="C80" s="61"/>
      <c r="D80" s="17">
        <v>25069</v>
      </c>
      <c r="E80" s="16"/>
      <c r="F80" s="16"/>
      <c r="G80" s="16"/>
      <c r="H80" s="16">
        <f t="shared" si="36"/>
        <v>1814586</v>
      </c>
      <c r="I80" s="16"/>
      <c r="J80" s="38">
        <f t="shared" si="37"/>
        <v>1.4008807963266066E-2</v>
      </c>
      <c r="K80" s="16"/>
      <c r="L80" s="16"/>
      <c r="M80" s="16"/>
      <c r="N80" s="16"/>
      <c r="O80" s="16">
        <f t="shared" si="43"/>
        <v>25557.549295774646</v>
      </c>
      <c r="P80" s="41"/>
      <c r="Q80" s="17"/>
      <c r="R80" s="16"/>
      <c r="S80" s="60"/>
      <c r="T80" s="16"/>
      <c r="U80" s="41"/>
      <c r="V80" s="10"/>
      <c r="W80" s="34">
        <v>1212</v>
      </c>
      <c r="X80" s="33"/>
      <c r="Y80" s="33"/>
      <c r="Z80" s="33"/>
      <c r="AA80" s="33">
        <f t="shared" si="38"/>
        <v>107295</v>
      </c>
      <c r="AB80" s="33"/>
      <c r="AC80" s="46">
        <f t="shared" si="44"/>
        <v>5.912918979866482E-2</v>
      </c>
      <c r="AD80" s="33"/>
      <c r="AE80" s="33">
        <f t="shared" si="45"/>
        <v>1511.1971830985915</v>
      </c>
      <c r="AF80" s="50"/>
      <c r="AG80" s="33"/>
      <c r="AH80" s="33">
        <f t="shared" si="35"/>
        <v>1212</v>
      </c>
      <c r="AI80" s="231"/>
      <c r="AJ80" s="50"/>
      <c r="AK80" s="10"/>
      <c r="AL80" s="23">
        <f t="shared" si="39"/>
        <v>20844</v>
      </c>
      <c r="AM80" s="24"/>
      <c r="AN80" s="24"/>
      <c r="AO80" s="24">
        <v>178263</v>
      </c>
      <c r="AP80" s="24">
        <v>519569</v>
      </c>
      <c r="AQ80" s="24"/>
      <c r="AR80" s="25">
        <f t="shared" si="40"/>
        <v>4.1794576169231538E-2</v>
      </c>
      <c r="AS80" s="25"/>
      <c r="AT80" s="25"/>
      <c r="AU80" s="24"/>
      <c r="AV80" s="341">
        <f t="shared" si="46"/>
        <v>0.28632922330493016</v>
      </c>
      <c r="AW80" s="341"/>
      <c r="AX80" s="24">
        <f t="shared" si="47"/>
        <v>7317.8732394366198</v>
      </c>
      <c r="AY80" s="351"/>
      <c r="AZ80" s="10"/>
      <c r="BA80" s="66">
        <f t="shared" si="41"/>
        <v>479466</v>
      </c>
      <c r="BB80" s="67"/>
      <c r="BC80" s="67">
        <v>16810778</v>
      </c>
      <c r="BD80" s="67"/>
      <c r="BE80" s="67">
        <f t="shared" si="48"/>
        <v>25069</v>
      </c>
      <c r="BF80" s="67"/>
      <c r="BG80" s="156">
        <f t="shared" si="42"/>
        <v>5.2285250674708947E-2</v>
      </c>
      <c r="BH80" s="67"/>
      <c r="BI80" s="183"/>
      <c r="BJ80" s="67"/>
      <c r="BK80" s="67"/>
      <c r="BL80" s="67"/>
      <c r="BM80" s="156"/>
      <c r="BN80" s="66">
        <f t="shared" si="49"/>
        <v>236771.52112676058</v>
      </c>
      <c r="BO80" s="67"/>
      <c r="BP80" s="67">
        <f t="shared" si="50"/>
        <v>1541208</v>
      </c>
      <c r="BQ80" s="67"/>
      <c r="BR80" s="74">
        <f t="shared" si="51"/>
        <v>9.1679754500356855E-2</v>
      </c>
      <c r="BS80" s="67"/>
      <c r="BT80" s="86"/>
      <c r="BU80" s="183"/>
      <c r="BV80" s="1"/>
      <c r="BW80">
        <f t="shared" si="53"/>
        <v>71</v>
      </c>
    </row>
    <row r="81" spans="2:75" x14ac:dyDescent="0.3">
      <c r="B81" s="475">
        <f t="shared" si="52"/>
        <v>43981</v>
      </c>
      <c r="C81" s="61"/>
      <c r="D81" s="17">
        <v>23290</v>
      </c>
      <c r="E81" s="16"/>
      <c r="F81" s="16"/>
      <c r="G81" s="16"/>
      <c r="H81" s="16">
        <f t="shared" si="36"/>
        <v>1837876</v>
      </c>
      <c r="I81" s="16"/>
      <c r="J81" s="38">
        <f t="shared" si="37"/>
        <v>1.2834883549195243E-2</v>
      </c>
      <c r="K81" s="16"/>
      <c r="L81" s="16"/>
      <c r="M81" s="16"/>
      <c r="N81" s="16"/>
      <c r="O81" s="16">
        <f t="shared" si="43"/>
        <v>25526.055555555555</v>
      </c>
      <c r="P81" s="41"/>
      <c r="Q81" s="17"/>
      <c r="R81" s="16"/>
      <c r="S81" s="60"/>
      <c r="T81" s="16"/>
      <c r="U81" s="41"/>
      <c r="V81" s="477"/>
      <c r="W81" s="34">
        <v>1015</v>
      </c>
      <c r="X81" s="33"/>
      <c r="Y81" s="33"/>
      <c r="Z81" s="33"/>
      <c r="AA81" s="33">
        <f t="shared" si="38"/>
        <v>108310</v>
      </c>
      <c r="AB81" s="33"/>
      <c r="AC81" s="46">
        <f t="shared" si="44"/>
        <v>5.8932158643999921E-2</v>
      </c>
      <c r="AD81" s="33"/>
      <c r="AE81" s="33">
        <f t="shared" si="45"/>
        <v>1504.3055555555557</v>
      </c>
      <c r="AF81" s="50"/>
      <c r="AG81" s="33"/>
      <c r="AH81" s="33">
        <f t="shared" si="35"/>
        <v>1015</v>
      </c>
      <c r="AI81" s="231"/>
      <c r="AJ81" s="50"/>
      <c r="AK81" s="10"/>
      <c r="AL81" s="23">
        <f t="shared" si="39"/>
        <v>15669</v>
      </c>
      <c r="AM81" s="24"/>
      <c r="AN81" s="24"/>
      <c r="AO81" s="24">
        <v>178263</v>
      </c>
      <c r="AP81" s="24">
        <v>535238</v>
      </c>
      <c r="AQ81" s="24"/>
      <c r="AR81" s="25">
        <f t="shared" si="40"/>
        <v>3.0157688391724679E-2</v>
      </c>
      <c r="AS81" s="25"/>
      <c r="AT81" s="25"/>
      <c r="AU81" s="24"/>
      <c r="AV81" s="341">
        <f t="shared" si="46"/>
        <v>0.2912263939460551</v>
      </c>
      <c r="AW81" s="341"/>
      <c r="AX81" s="24">
        <f t="shared" si="47"/>
        <v>7433.8611111111113</v>
      </c>
      <c r="AY81" s="351"/>
      <c r="AZ81" s="503"/>
      <c r="BA81" s="66">
        <f t="shared" si="41"/>
        <v>460063</v>
      </c>
      <c r="BB81" s="67"/>
      <c r="BC81" s="67">
        <v>17270841</v>
      </c>
      <c r="BD81" s="67"/>
      <c r="BE81" s="67">
        <f t="shared" si="48"/>
        <v>23290</v>
      </c>
      <c r="BF81" s="67"/>
      <c r="BG81" s="156">
        <f t="shared" si="42"/>
        <v>5.0623501563916248E-2</v>
      </c>
      <c r="BH81" s="67"/>
      <c r="BI81" s="183"/>
      <c r="BJ81" s="67"/>
      <c r="BK81" s="67"/>
      <c r="BL81" s="67"/>
      <c r="BM81" s="156"/>
      <c r="BN81" s="66">
        <f t="shared" si="49"/>
        <v>239872.79166666666</v>
      </c>
      <c r="BO81" s="67"/>
      <c r="BP81" s="67">
        <f t="shared" si="50"/>
        <v>1564498</v>
      </c>
      <c r="BQ81" s="67"/>
      <c r="BR81" s="74">
        <f t="shared" si="51"/>
        <v>9.0586092478067509E-2</v>
      </c>
      <c r="BS81" s="67"/>
      <c r="BT81" s="86"/>
      <c r="BU81" s="183"/>
      <c r="BV81" s="1"/>
      <c r="BW81">
        <f t="shared" si="53"/>
        <v>72</v>
      </c>
    </row>
    <row r="82" spans="2:75" x14ac:dyDescent="0.3">
      <c r="B82" s="390">
        <f t="shared" si="52"/>
        <v>43982</v>
      </c>
      <c r="C82" s="61"/>
      <c r="D82" s="17">
        <v>20350</v>
      </c>
      <c r="E82" s="16"/>
      <c r="F82" s="16"/>
      <c r="G82" s="16"/>
      <c r="H82" s="16">
        <f t="shared" si="36"/>
        <v>1858226</v>
      </c>
      <c r="I82" s="16"/>
      <c r="J82" s="38">
        <f t="shared" si="37"/>
        <v>1.1072564199108102E-2</v>
      </c>
      <c r="K82" s="16"/>
      <c r="L82" s="16"/>
      <c r="M82" s="16"/>
      <c r="N82" s="16"/>
      <c r="O82" s="16">
        <f t="shared" si="43"/>
        <v>25455.150684931508</v>
      </c>
      <c r="P82" s="41"/>
      <c r="Q82" s="17">
        <f>SUM(D76:D82)</f>
        <v>150734</v>
      </c>
      <c r="R82" s="16"/>
      <c r="S82" s="60">
        <f>+(Q82-Q75)/Q75</f>
        <v>-5.0626054971909404E-2</v>
      </c>
      <c r="T82" s="16"/>
      <c r="U82" s="41"/>
      <c r="V82" s="391"/>
      <c r="W82" s="34">
        <v>638</v>
      </c>
      <c r="X82" s="33"/>
      <c r="Y82" s="33"/>
      <c r="Z82" s="33"/>
      <c r="AA82" s="33">
        <f t="shared" si="38"/>
        <v>108948</v>
      </c>
      <c r="AB82" s="33"/>
      <c r="AC82" s="46">
        <f t="shared" si="44"/>
        <v>5.8630112806515464E-2</v>
      </c>
      <c r="AD82" s="33"/>
      <c r="AE82" s="33">
        <f t="shared" si="45"/>
        <v>1492.4383561643835</v>
      </c>
      <c r="AF82" s="50"/>
      <c r="AG82" s="33">
        <f>SUM(W76:W82)</f>
        <v>6895</v>
      </c>
      <c r="AH82" s="33">
        <f t="shared" si="35"/>
        <v>638</v>
      </c>
      <c r="AI82" s="231">
        <f>+(AG82-AG75)/AG75</f>
        <v>-0.17147320355683729</v>
      </c>
      <c r="AJ82" s="50"/>
      <c r="AK82" s="391"/>
      <c r="AL82" s="23">
        <f t="shared" si="39"/>
        <v>64629</v>
      </c>
      <c r="AM82" s="24"/>
      <c r="AN82" s="24"/>
      <c r="AO82" s="24">
        <v>178263</v>
      </c>
      <c r="AP82" s="24">
        <v>599867</v>
      </c>
      <c r="AQ82" s="24"/>
      <c r="AR82" s="25">
        <f t="shared" si="40"/>
        <v>0.12074815315803437</v>
      </c>
      <c r="AS82" s="25"/>
      <c r="AT82" s="25"/>
      <c r="AU82" s="24"/>
      <c r="AV82" s="341">
        <f t="shared" si="46"/>
        <v>0.32281703086707431</v>
      </c>
      <c r="AW82" s="341"/>
      <c r="AX82" s="24">
        <f t="shared" si="47"/>
        <v>8217.3561643835619</v>
      </c>
      <c r="AY82" s="351"/>
      <c r="AZ82" s="391"/>
      <c r="BA82" s="66">
        <f t="shared" si="41"/>
        <v>401726</v>
      </c>
      <c r="BB82" s="67"/>
      <c r="BC82" s="67">
        <v>17672567</v>
      </c>
      <c r="BD82" s="67"/>
      <c r="BE82" s="67">
        <f t="shared" si="48"/>
        <v>20350</v>
      </c>
      <c r="BF82" s="67"/>
      <c r="BG82" s="156">
        <f t="shared" si="42"/>
        <v>5.0656417558236209E-2</v>
      </c>
      <c r="BH82" s="67"/>
      <c r="BI82" s="183"/>
      <c r="BJ82" s="67"/>
      <c r="BK82" s="67">
        <f>SUM(BA76:BA82)</f>
        <v>2922811</v>
      </c>
      <c r="BL82" s="67"/>
      <c r="BM82" s="156">
        <f>+Q82/BK82</f>
        <v>5.1571586394056956E-2</v>
      </c>
      <c r="BN82" s="66">
        <f t="shared" si="49"/>
        <v>242089.95890410958</v>
      </c>
      <c r="BO82" s="67"/>
      <c r="BP82" s="67">
        <f t="shared" si="50"/>
        <v>1584848</v>
      </c>
      <c r="BQ82" s="67"/>
      <c r="BR82" s="74">
        <f t="shared" si="51"/>
        <v>8.9678426456100011E-2</v>
      </c>
      <c r="BS82" s="67"/>
      <c r="BT82" s="86"/>
      <c r="BU82" s="183"/>
      <c r="BV82" s="1"/>
      <c r="BW82">
        <f t="shared" si="53"/>
        <v>73</v>
      </c>
    </row>
    <row r="83" spans="2:75" x14ac:dyDescent="0.3">
      <c r="B83" s="171">
        <f t="shared" si="52"/>
        <v>43983</v>
      </c>
      <c r="C83" s="61"/>
      <c r="D83" s="17">
        <v>22153</v>
      </c>
      <c r="E83" s="16"/>
      <c r="F83" s="16"/>
      <c r="G83" s="16"/>
      <c r="H83" s="16">
        <f t="shared" si="36"/>
        <v>1880379</v>
      </c>
      <c r="I83" s="16"/>
      <c r="J83" s="38">
        <f t="shared" si="37"/>
        <v>1.1921585426099947E-2</v>
      </c>
      <c r="K83" s="16"/>
      <c r="L83" s="16"/>
      <c r="M83" s="16"/>
      <c r="N83" s="16"/>
      <c r="O83" s="16">
        <f t="shared" si="43"/>
        <v>25410.527027027027</v>
      </c>
      <c r="P83" s="41"/>
      <c r="Q83" s="17"/>
      <c r="R83" s="16"/>
      <c r="S83" s="60"/>
      <c r="T83" s="16"/>
      <c r="U83" s="41"/>
      <c r="V83" s="10"/>
      <c r="W83" s="34">
        <v>730</v>
      </c>
      <c r="X83" s="33"/>
      <c r="Y83" s="33"/>
      <c r="Z83" s="33"/>
      <c r="AA83" s="33">
        <f t="shared" si="38"/>
        <v>109678</v>
      </c>
      <c r="AB83" s="33"/>
      <c r="AC83" s="46">
        <f t="shared" si="44"/>
        <v>5.8327603105544149E-2</v>
      </c>
      <c r="AD83" s="33"/>
      <c r="AE83" s="33">
        <f t="shared" si="45"/>
        <v>1482.1351351351352</v>
      </c>
      <c r="AF83" s="50"/>
      <c r="AG83" s="33">
        <f>SUM(D52:D82)</f>
        <v>742147</v>
      </c>
      <c r="AH83" s="33"/>
      <c r="AI83" s="231"/>
      <c r="AJ83" s="50"/>
      <c r="AK83" s="10"/>
      <c r="AL83" s="23">
        <f t="shared" si="39"/>
        <v>15461</v>
      </c>
      <c r="AM83" s="24"/>
      <c r="AN83" s="24"/>
      <c r="AO83" s="24">
        <v>178263</v>
      </c>
      <c r="AP83" s="24">
        <v>615328</v>
      </c>
      <c r="AQ83" s="24"/>
      <c r="AR83" s="25">
        <f t="shared" si="40"/>
        <v>2.5774046580325307E-2</v>
      </c>
      <c r="AS83" s="25"/>
      <c r="AT83" s="25"/>
      <c r="AU83" s="24"/>
      <c r="AV83" s="341">
        <f t="shared" si="46"/>
        <v>0.32723615824256708</v>
      </c>
      <c r="AW83" s="341"/>
      <c r="AX83" s="24">
        <f t="shared" si="47"/>
        <v>8315.2432432432433</v>
      </c>
      <c r="AY83" s="351"/>
      <c r="AZ83" s="10"/>
      <c r="BA83" s="66">
        <f t="shared" si="41"/>
        <v>477486</v>
      </c>
      <c r="BB83" s="67"/>
      <c r="BC83" s="67">
        <v>18150053</v>
      </c>
      <c r="BD83" s="67"/>
      <c r="BE83" s="67">
        <f t="shared" si="48"/>
        <v>22153</v>
      </c>
      <c r="BF83" s="67"/>
      <c r="BG83" s="156">
        <f t="shared" si="42"/>
        <v>4.6395077552011998E-2</v>
      </c>
      <c r="BH83" s="67"/>
      <c r="BI83" s="183"/>
      <c r="BJ83" s="67"/>
      <c r="BK83" s="67">
        <f>SUM(BA76:BA83)</f>
        <v>3400297</v>
      </c>
      <c r="BL83" s="67"/>
      <c r="BM83" s="156"/>
      <c r="BN83" s="66">
        <f t="shared" si="49"/>
        <v>245270.98648648648</v>
      </c>
      <c r="BO83" s="67"/>
      <c r="BP83" s="67">
        <f t="shared" si="50"/>
        <v>1607001</v>
      </c>
      <c r="BQ83" s="67"/>
      <c r="BR83" s="74">
        <f t="shared" si="51"/>
        <v>8.8539741454198503E-2</v>
      </c>
      <c r="BS83" s="67"/>
      <c r="BT83" s="86"/>
      <c r="BU83" s="183"/>
      <c r="BV83" s="1"/>
      <c r="BW83">
        <f t="shared" si="53"/>
        <v>74</v>
      </c>
    </row>
    <row r="84" spans="2:75" x14ac:dyDescent="0.3">
      <c r="B84" s="171">
        <f t="shared" si="52"/>
        <v>43984</v>
      </c>
      <c r="C84" s="61"/>
      <c r="D84" s="17">
        <v>21882</v>
      </c>
      <c r="E84" s="16"/>
      <c r="F84" s="16"/>
      <c r="G84" s="16"/>
      <c r="H84" s="16">
        <f t="shared" si="36"/>
        <v>1902261</v>
      </c>
      <c r="I84" s="16"/>
      <c r="J84" s="38">
        <f t="shared" si="37"/>
        <v>1.1637015729275854E-2</v>
      </c>
      <c r="K84" s="16"/>
      <c r="L84" s="16"/>
      <c r="M84" s="16"/>
      <c r="N84" s="16"/>
      <c r="O84" s="16">
        <f t="shared" si="43"/>
        <v>25363.48</v>
      </c>
      <c r="P84" s="41"/>
      <c r="Q84" s="17"/>
      <c r="R84" s="16"/>
      <c r="S84" s="60"/>
      <c r="T84" s="16"/>
      <c r="U84" s="41"/>
      <c r="V84" s="10"/>
      <c r="W84" s="34">
        <v>1134</v>
      </c>
      <c r="X84" s="33"/>
      <c r="Y84" s="33"/>
      <c r="Z84" s="33"/>
      <c r="AA84" s="33">
        <f t="shared" si="38"/>
        <v>110812</v>
      </c>
      <c r="AB84" s="33"/>
      <c r="AC84" s="46">
        <f t="shared" si="44"/>
        <v>5.8252784449662795E-2</v>
      </c>
      <c r="AD84" s="33"/>
      <c r="AE84" s="33">
        <f t="shared" si="45"/>
        <v>1477.4933333333333</v>
      </c>
      <c r="AF84" s="50"/>
      <c r="AG84" s="33">
        <f>SUM(AH52:AH82)</f>
        <v>42339</v>
      </c>
      <c r="AH84" s="33"/>
      <c r="AI84" s="231"/>
      <c r="AJ84" s="50"/>
      <c r="AK84" s="10"/>
      <c r="AL84" s="23">
        <f t="shared" si="39"/>
        <v>30348</v>
      </c>
      <c r="AM84" s="24"/>
      <c r="AN84" s="24"/>
      <c r="AO84" s="24">
        <v>178263</v>
      </c>
      <c r="AP84" s="24">
        <v>645676</v>
      </c>
      <c r="AQ84" s="24"/>
      <c r="AR84" s="25">
        <f t="shared" si="40"/>
        <v>4.9320037443444799E-2</v>
      </c>
      <c r="AS84" s="25"/>
      <c r="AT84" s="25"/>
      <c r="AU84" s="24"/>
      <c r="AV84" s="341">
        <f t="shared" si="46"/>
        <v>0.33942555727105794</v>
      </c>
      <c r="AW84" s="341"/>
      <c r="AX84" s="24">
        <f t="shared" si="47"/>
        <v>8609.0133333333342</v>
      </c>
      <c r="AY84" s="351"/>
      <c r="AZ84" s="10"/>
      <c r="BA84" s="66">
        <f t="shared" si="41"/>
        <v>453121</v>
      </c>
      <c r="BB84" s="67"/>
      <c r="BC84" s="67">
        <v>18603174</v>
      </c>
      <c r="BD84" s="67"/>
      <c r="BE84" s="67">
        <f t="shared" si="48"/>
        <v>21882</v>
      </c>
      <c r="BF84" s="67"/>
      <c r="BG84" s="156">
        <f t="shared" si="42"/>
        <v>4.8291736644295896E-2</v>
      </c>
      <c r="BH84" s="67"/>
      <c r="BI84" s="183"/>
      <c r="BJ84" s="67"/>
      <c r="BK84" s="67"/>
      <c r="BL84" s="67"/>
      <c r="BM84" s="156"/>
      <c r="BN84" s="66">
        <f t="shared" si="49"/>
        <v>248042.32</v>
      </c>
      <c r="BO84" s="67"/>
      <c r="BP84" s="67">
        <f t="shared" si="50"/>
        <v>1628883</v>
      </c>
      <c r="BQ84" s="67"/>
      <c r="BR84" s="74">
        <f t="shared" si="51"/>
        <v>8.7559413248513393E-2</v>
      </c>
      <c r="BS84" s="67"/>
      <c r="BT84" s="86"/>
      <c r="BU84" s="183"/>
      <c r="BV84" s="1"/>
      <c r="BW84">
        <f t="shared" si="53"/>
        <v>75</v>
      </c>
    </row>
    <row r="85" spans="2:75" x14ac:dyDescent="0.3">
      <c r="B85" s="171">
        <f t="shared" si="52"/>
        <v>43985</v>
      </c>
      <c r="C85" s="61"/>
      <c r="D85" s="17">
        <v>20578</v>
      </c>
      <c r="E85" s="16"/>
      <c r="F85" s="16"/>
      <c r="G85" s="16"/>
      <c r="H85" s="16">
        <f t="shared" si="36"/>
        <v>1922839</v>
      </c>
      <c r="I85" s="16"/>
      <c r="J85" s="38">
        <f t="shared" si="37"/>
        <v>1.0817653308352534E-2</v>
      </c>
      <c r="K85" s="16"/>
      <c r="L85" s="16"/>
      <c r="M85" s="16"/>
      <c r="N85" s="16"/>
      <c r="O85" s="16">
        <f t="shared" si="43"/>
        <v>25300.513157894737</v>
      </c>
      <c r="P85" s="41"/>
      <c r="Q85" s="17"/>
      <c r="R85" s="16"/>
      <c r="S85" s="60"/>
      <c r="T85" s="16"/>
      <c r="U85" s="41"/>
      <c r="V85" s="10"/>
      <c r="W85" s="34">
        <v>1083</v>
      </c>
      <c r="X85" s="33"/>
      <c r="Y85" s="33"/>
      <c r="Z85" s="33"/>
      <c r="AA85" s="33">
        <f t="shared" si="38"/>
        <v>111895</v>
      </c>
      <c r="AB85" s="33"/>
      <c r="AC85" s="46">
        <f t="shared" si="44"/>
        <v>5.819259958842108E-2</v>
      </c>
      <c r="AD85" s="33"/>
      <c r="AE85" s="33">
        <f t="shared" si="45"/>
        <v>1472.3026315789473</v>
      </c>
      <c r="AF85" s="50"/>
      <c r="AG85" s="231">
        <f>+AG84/AG83</f>
        <v>5.7049344671608188E-2</v>
      </c>
      <c r="AH85" s="33"/>
      <c r="AI85" s="231"/>
      <c r="AJ85" s="50"/>
      <c r="AK85" s="10"/>
      <c r="AL85" s="23">
        <f t="shared" si="39"/>
        <v>42994</v>
      </c>
      <c r="AM85" s="24"/>
      <c r="AN85" s="24"/>
      <c r="AO85" s="24">
        <v>178263</v>
      </c>
      <c r="AP85" s="24">
        <v>688670</v>
      </c>
      <c r="AQ85" s="24"/>
      <c r="AR85" s="25">
        <f t="shared" si="40"/>
        <v>6.6587576431522938E-2</v>
      </c>
      <c r="AS85" s="25"/>
      <c r="AT85" s="25"/>
      <c r="AU85" s="24"/>
      <c r="AV85" s="341">
        <f t="shared" si="46"/>
        <v>0.35815271065336202</v>
      </c>
      <c r="AW85" s="341"/>
      <c r="AX85" s="24">
        <f t="shared" si="47"/>
        <v>9061.4473684210534</v>
      </c>
      <c r="AY85" s="351"/>
      <c r="AZ85" s="10"/>
      <c r="BA85" s="66">
        <f t="shared" si="41"/>
        <v>493497</v>
      </c>
      <c r="BB85" s="67"/>
      <c r="BC85" s="67">
        <v>19096671</v>
      </c>
      <c r="BD85" s="67"/>
      <c r="BE85" s="67">
        <f t="shared" si="48"/>
        <v>20578</v>
      </c>
      <c r="BF85" s="67"/>
      <c r="BG85" s="156">
        <f t="shared" si="42"/>
        <v>4.1698328459950113E-2</v>
      </c>
      <c r="BH85" s="67"/>
      <c r="BI85" s="183"/>
      <c r="BJ85" s="67"/>
      <c r="BK85" s="67"/>
      <c r="BL85" s="67"/>
      <c r="BM85" s="156"/>
      <c r="BN85" s="66">
        <f t="shared" si="49"/>
        <v>251271.98684210525</v>
      </c>
      <c r="BO85" s="67"/>
      <c r="BP85" s="67">
        <f t="shared" si="50"/>
        <v>1649461</v>
      </c>
      <c r="BQ85" s="67"/>
      <c r="BR85" s="74">
        <f t="shared" si="51"/>
        <v>8.6374269106903503E-2</v>
      </c>
      <c r="BS85" s="67"/>
      <c r="BT85" s="86"/>
      <c r="BU85" s="183"/>
      <c r="BV85" s="1"/>
      <c r="BW85">
        <f t="shared" si="53"/>
        <v>76</v>
      </c>
    </row>
    <row r="86" spans="2:75" x14ac:dyDescent="0.3">
      <c r="B86" s="171">
        <f t="shared" si="52"/>
        <v>43986</v>
      </c>
      <c r="C86" s="61"/>
      <c r="D86" s="17">
        <v>22268</v>
      </c>
      <c r="E86" s="16"/>
      <c r="F86" s="16"/>
      <c r="G86" s="16"/>
      <c r="H86" s="16">
        <f t="shared" si="36"/>
        <v>1945107</v>
      </c>
      <c r="I86" s="16"/>
      <c r="J86" s="38">
        <f t="shared" si="37"/>
        <v>1.1580792775682207E-2</v>
      </c>
      <c r="K86" s="16"/>
      <c r="L86" s="16"/>
      <c r="M86" s="16"/>
      <c r="N86" s="16"/>
      <c r="O86" s="16">
        <f t="shared" si="43"/>
        <v>25261.129870129869</v>
      </c>
      <c r="P86" s="41"/>
      <c r="Q86" s="17"/>
      <c r="R86" s="16"/>
      <c r="S86" s="60"/>
      <c r="T86" s="16"/>
      <c r="U86" s="41"/>
      <c r="V86" s="10"/>
      <c r="W86" s="34">
        <v>1031</v>
      </c>
      <c r="X86" s="33"/>
      <c r="Y86" s="33"/>
      <c r="Z86" s="33"/>
      <c r="AA86" s="33">
        <f t="shared" si="38"/>
        <v>112926</v>
      </c>
      <c r="AB86" s="33"/>
      <c r="AC86" s="46">
        <f t="shared" si="44"/>
        <v>5.8056446252057088E-2</v>
      </c>
      <c r="AD86" s="33"/>
      <c r="AE86" s="33">
        <f t="shared" si="45"/>
        <v>1466.5714285714287</v>
      </c>
      <c r="AF86" s="50"/>
      <c r="AG86" s="33"/>
      <c r="AH86" s="33"/>
      <c r="AI86" s="231"/>
      <c r="AJ86" s="50"/>
      <c r="AK86" s="10"/>
      <c r="AL86" s="23">
        <f t="shared" si="39"/>
        <v>23582</v>
      </c>
      <c r="AM86" s="24"/>
      <c r="AN86" s="24"/>
      <c r="AO86" s="24">
        <v>178263</v>
      </c>
      <c r="AP86" s="24">
        <v>712252</v>
      </c>
      <c r="AQ86" s="24"/>
      <c r="AR86" s="25">
        <f t="shared" si="40"/>
        <v>3.4242815862459523E-2</v>
      </c>
      <c r="AS86" s="25"/>
      <c r="AT86" s="25"/>
      <c r="AU86" s="24"/>
      <c r="AV86" s="341">
        <f t="shared" si="46"/>
        <v>0.36617625662752745</v>
      </c>
      <c r="AW86" s="341"/>
      <c r="AX86" s="24">
        <f t="shared" si="47"/>
        <v>9250.0259740259735</v>
      </c>
      <c r="AY86" s="351"/>
      <c r="AZ86" s="10"/>
      <c r="BA86" s="66">
        <f t="shared" si="41"/>
        <v>471398</v>
      </c>
      <c r="BB86" s="67"/>
      <c r="BC86" s="67">
        <v>19568069</v>
      </c>
      <c r="BD86" s="67"/>
      <c r="BE86" s="67">
        <f t="shared" si="48"/>
        <v>22268</v>
      </c>
      <c r="BF86" s="67"/>
      <c r="BG86" s="156">
        <f t="shared" si="42"/>
        <v>4.7238214841810955E-2</v>
      </c>
      <c r="BH86" s="67"/>
      <c r="BI86" s="183"/>
      <c r="BJ86" s="67"/>
      <c r="BK86" s="67"/>
      <c r="BL86" s="67"/>
      <c r="BM86" s="156"/>
      <c r="BN86" s="66">
        <f t="shared" si="49"/>
        <v>254130.76623376625</v>
      </c>
      <c r="BO86" s="67"/>
      <c r="BP86" s="67">
        <f t="shared" si="50"/>
        <v>1671729</v>
      </c>
      <c r="BQ86" s="67"/>
      <c r="BR86" s="74">
        <f t="shared" si="51"/>
        <v>8.5431475124091188E-2</v>
      </c>
      <c r="BS86" s="67"/>
      <c r="BT86" s="86"/>
      <c r="BU86" s="183"/>
      <c r="BV86" s="1"/>
      <c r="BW86">
        <f t="shared" si="53"/>
        <v>77</v>
      </c>
    </row>
    <row r="87" spans="2:75" x14ac:dyDescent="0.3">
      <c r="B87" s="171">
        <f t="shared" si="52"/>
        <v>43987</v>
      </c>
      <c r="C87" s="61"/>
      <c r="D87" s="17">
        <v>25393</v>
      </c>
      <c r="E87" s="16"/>
      <c r="F87" s="16"/>
      <c r="G87" s="16"/>
      <c r="H87" s="16">
        <f t="shared" si="36"/>
        <v>1970500</v>
      </c>
      <c r="I87" s="16"/>
      <c r="J87" s="38">
        <f t="shared" si="37"/>
        <v>1.3054808810003768E-2</v>
      </c>
      <c r="K87" s="16"/>
      <c r="L87" s="16"/>
      <c r="M87" s="16"/>
      <c r="N87" s="16"/>
      <c r="O87" s="16">
        <f t="shared" si="43"/>
        <v>25262.820512820512</v>
      </c>
      <c r="P87" s="41"/>
      <c r="Q87" s="17"/>
      <c r="R87" s="16"/>
      <c r="S87" s="60"/>
      <c r="T87" s="16"/>
      <c r="U87" s="41"/>
      <c r="V87" s="10"/>
      <c r="W87" s="34">
        <v>975</v>
      </c>
      <c r="X87" s="33"/>
      <c r="Y87" s="33"/>
      <c r="Z87" s="33"/>
      <c r="AA87" s="33">
        <f t="shared" si="38"/>
        <v>113901</v>
      </c>
      <c r="AB87" s="33"/>
      <c r="AC87" s="46">
        <f t="shared" si="44"/>
        <v>5.7803095660999747E-2</v>
      </c>
      <c r="AD87" s="33"/>
      <c r="AE87" s="33">
        <f t="shared" si="45"/>
        <v>1460.2692307692307</v>
      </c>
      <c r="AF87" s="50"/>
      <c r="AG87" s="33"/>
      <c r="AH87" s="33"/>
      <c r="AI87" s="231"/>
      <c r="AJ87" s="50"/>
      <c r="AK87" s="10"/>
      <c r="AL87" s="23">
        <f t="shared" si="39"/>
        <v>26394</v>
      </c>
      <c r="AM87" s="24"/>
      <c r="AN87" s="24"/>
      <c r="AO87" s="24">
        <v>178263</v>
      </c>
      <c r="AP87" s="24">
        <v>738646</v>
      </c>
      <c r="AQ87" s="24"/>
      <c r="AR87" s="25">
        <f t="shared" si="40"/>
        <v>3.7057109000746928E-2</v>
      </c>
      <c r="AS87" s="25"/>
      <c r="AT87" s="25"/>
      <c r="AU87" s="24"/>
      <c r="AV87" s="341">
        <f t="shared" si="46"/>
        <v>0.37485206800304494</v>
      </c>
      <c r="AW87" s="341"/>
      <c r="AX87" s="24">
        <f t="shared" si="47"/>
        <v>9469.8205128205136</v>
      </c>
      <c r="AY87" s="351"/>
      <c r="AZ87" s="10"/>
      <c r="BA87" s="66">
        <f t="shared" si="41"/>
        <v>699286</v>
      </c>
      <c r="BB87" s="67"/>
      <c r="BC87" s="67">
        <v>20267355</v>
      </c>
      <c r="BD87" s="67"/>
      <c r="BE87" s="67">
        <f t="shared" si="48"/>
        <v>25393</v>
      </c>
      <c r="BF87" s="67"/>
      <c r="BG87" s="156">
        <f t="shared" si="42"/>
        <v>3.631275329407424E-2</v>
      </c>
      <c r="BH87" s="67"/>
      <c r="BI87" s="183"/>
      <c r="BJ87" s="67"/>
      <c r="BK87" s="67"/>
      <c r="BL87" s="67"/>
      <c r="BM87" s="156"/>
      <c r="BN87" s="66">
        <f t="shared" si="49"/>
        <v>259837.88461538462</v>
      </c>
      <c r="BO87" s="67"/>
      <c r="BP87" s="67">
        <f t="shared" si="50"/>
        <v>1697122</v>
      </c>
      <c r="BQ87" s="67"/>
      <c r="BR87" s="74">
        <f t="shared" si="51"/>
        <v>8.3736728349604578E-2</v>
      </c>
      <c r="BS87" s="67"/>
      <c r="BT87" s="86"/>
      <c r="BU87" s="183"/>
      <c r="BV87" s="1"/>
      <c r="BW87">
        <f t="shared" si="53"/>
        <v>78</v>
      </c>
    </row>
    <row r="88" spans="2:75" x14ac:dyDescent="0.3">
      <c r="B88" s="475">
        <f t="shared" si="52"/>
        <v>43988</v>
      </c>
      <c r="C88" s="61"/>
      <c r="D88" s="17">
        <v>22836</v>
      </c>
      <c r="E88" s="16"/>
      <c r="F88" s="16"/>
      <c r="G88" s="16"/>
      <c r="H88" s="16">
        <f t="shared" si="36"/>
        <v>1993336</v>
      </c>
      <c r="I88" s="16"/>
      <c r="J88" s="38">
        <f t="shared" si="37"/>
        <v>1.158893681806648E-2</v>
      </c>
      <c r="K88" s="16"/>
      <c r="L88" s="16"/>
      <c r="M88" s="16"/>
      <c r="N88" s="16"/>
      <c r="O88" s="16">
        <f t="shared" si="43"/>
        <v>25232.101265822785</v>
      </c>
      <c r="P88" s="41"/>
      <c r="Q88" s="17"/>
      <c r="R88" s="16"/>
      <c r="S88" s="60"/>
      <c r="T88" s="16"/>
      <c r="U88" s="41"/>
      <c r="V88" s="477"/>
      <c r="W88" s="34">
        <v>706</v>
      </c>
      <c r="X88" s="33"/>
      <c r="Y88" s="33"/>
      <c r="Z88" s="33"/>
      <c r="AA88" s="33">
        <f t="shared" si="38"/>
        <v>114607</v>
      </c>
      <c r="AB88" s="33"/>
      <c r="AC88" s="46">
        <f t="shared" si="44"/>
        <v>5.7495073585185838E-2</v>
      </c>
      <c r="AD88" s="33"/>
      <c r="AE88" s="33">
        <f t="shared" si="45"/>
        <v>1450.7215189873418</v>
      </c>
      <c r="AF88" s="50"/>
      <c r="AG88" s="33"/>
      <c r="AH88" s="33"/>
      <c r="AI88" s="231"/>
      <c r="AJ88" s="50"/>
      <c r="AK88" s="10"/>
      <c r="AL88" s="23">
        <f t="shared" si="39"/>
        <v>13049</v>
      </c>
      <c r="AM88" s="24"/>
      <c r="AN88" s="24"/>
      <c r="AO88" s="24">
        <v>178263</v>
      </c>
      <c r="AP88" s="24">
        <v>751695</v>
      </c>
      <c r="AQ88" s="24"/>
      <c r="AR88" s="25">
        <f t="shared" si="40"/>
        <v>1.7666107986775804E-2</v>
      </c>
      <c r="AS88" s="25"/>
      <c r="AT88" s="25"/>
      <c r="AU88" s="24"/>
      <c r="AV88" s="341">
        <f t="shared" si="46"/>
        <v>0.37710401056319659</v>
      </c>
      <c r="AW88" s="341"/>
      <c r="AX88" s="24">
        <f t="shared" si="47"/>
        <v>9515.1265822784808</v>
      </c>
      <c r="AY88" s="351"/>
      <c r="AZ88" s="10"/>
      <c r="BA88" s="66">
        <f t="shared" si="41"/>
        <v>551073</v>
      </c>
      <c r="BB88" s="67"/>
      <c r="BC88" s="67">
        <v>20818428</v>
      </c>
      <c r="BD88" s="67"/>
      <c r="BE88" s="67">
        <f t="shared" si="48"/>
        <v>22836</v>
      </c>
      <c r="BF88" s="67"/>
      <c r="BG88" s="156">
        <f t="shared" si="42"/>
        <v>4.1439155973890938E-2</v>
      </c>
      <c r="BH88" s="67"/>
      <c r="BI88" s="183"/>
      <c r="BJ88" s="67"/>
      <c r="BK88" s="67"/>
      <c r="BL88" s="67"/>
      <c r="BM88" s="156"/>
      <c r="BN88" s="66">
        <f t="shared" si="49"/>
        <v>263524.40506329114</v>
      </c>
      <c r="BO88" s="67"/>
      <c r="BP88" s="67">
        <f t="shared" si="50"/>
        <v>1719958</v>
      </c>
      <c r="BQ88" s="67"/>
      <c r="BR88" s="74">
        <f t="shared" si="51"/>
        <v>8.2617092894814156E-2</v>
      </c>
      <c r="BS88" s="67"/>
      <c r="BT88" s="86"/>
      <c r="BU88" s="183"/>
      <c r="BV88" s="1"/>
      <c r="BW88">
        <f t="shared" si="53"/>
        <v>79</v>
      </c>
    </row>
    <row r="89" spans="2:75" x14ac:dyDescent="0.3">
      <c r="B89" s="390">
        <f t="shared" si="52"/>
        <v>43989</v>
      </c>
      <c r="C89" s="61"/>
      <c r="D89" s="17">
        <v>18375</v>
      </c>
      <c r="E89" s="16"/>
      <c r="F89" s="16"/>
      <c r="G89" s="16"/>
      <c r="H89" s="16">
        <f t="shared" si="36"/>
        <v>2011711</v>
      </c>
      <c r="I89" s="16"/>
      <c r="J89" s="38">
        <f t="shared" si="37"/>
        <v>9.2182150926888393E-3</v>
      </c>
      <c r="K89" s="16"/>
      <c r="L89" s="16"/>
      <c r="M89" s="16"/>
      <c r="N89" s="16"/>
      <c r="O89" s="16">
        <f t="shared" si="43"/>
        <v>25146.387500000001</v>
      </c>
      <c r="P89" s="41"/>
      <c r="Q89" s="17">
        <f>SUM(D83:D89)</f>
        <v>153485</v>
      </c>
      <c r="R89" s="16"/>
      <c r="S89" s="60">
        <f>+(Q89-Q82)/Q82</f>
        <v>1.8250693274244695E-2</v>
      </c>
      <c r="T89" s="16"/>
      <c r="U89" s="41"/>
      <c r="V89" s="391"/>
      <c r="W89" s="34">
        <v>542</v>
      </c>
      <c r="X89" s="33"/>
      <c r="Y89" s="33"/>
      <c r="Z89" s="33"/>
      <c r="AA89" s="33">
        <f t="shared" si="38"/>
        <v>115149</v>
      </c>
      <c r="AB89" s="33"/>
      <c r="AC89" s="46">
        <f t="shared" si="44"/>
        <v>5.7239335073477254E-2</v>
      </c>
      <c r="AD89" s="33"/>
      <c r="AE89" s="33">
        <f t="shared" si="45"/>
        <v>1439.3625</v>
      </c>
      <c r="AF89" s="50"/>
      <c r="AG89" s="33">
        <f>SUM(W83:W89)</f>
        <v>6201</v>
      </c>
      <c r="AH89" s="33"/>
      <c r="AI89" s="231">
        <f>+(AG89-AG82)/AG82</f>
        <v>-0.10065264684554025</v>
      </c>
      <c r="AJ89" s="50"/>
      <c r="AK89" s="391"/>
      <c r="AL89" s="23">
        <f t="shared" si="39"/>
        <v>10013</v>
      </c>
      <c r="AM89" s="24"/>
      <c r="AN89" s="24"/>
      <c r="AO89" s="24">
        <v>178263</v>
      </c>
      <c r="AP89" s="24">
        <v>761708</v>
      </c>
      <c r="AQ89" s="24"/>
      <c r="AR89" s="25">
        <f t="shared" si="40"/>
        <v>1.3320562196103473E-2</v>
      </c>
      <c r="AS89" s="25"/>
      <c r="AT89" s="25"/>
      <c r="AU89" s="24"/>
      <c r="AV89" s="341">
        <f t="shared" si="46"/>
        <v>0.37863689168076331</v>
      </c>
      <c r="AW89" s="341"/>
      <c r="AX89" s="24">
        <f t="shared" si="47"/>
        <v>9521.35</v>
      </c>
      <c r="AY89" s="351"/>
      <c r="AZ89" s="391"/>
      <c r="BA89" s="66">
        <f t="shared" si="41"/>
        <v>473249</v>
      </c>
      <c r="BB89" s="67"/>
      <c r="BC89" s="67">
        <v>21291677</v>
      </c>
      <c r="BD89" s="67"/>
      <c r="BE89" s="67">
        <f t="shared" si="48"/>
        <v>18375</v>
      </c>
      <c r="BF89" s="67"/>
      <c r="BG89" s="156">
        <f t="shared" si="42"/>
        <v>3.8827340364163472E-2</v>
      </c>
      <c r="BH89" s="67"/>
      <c r="BI89" s="183"/>
      <c r="BJ89" s="67"/>
      <c r="BK89" s="67">
        <f>SUM(BA83:BA89)</f>
        <v>3619110</v>
      </c>
      <c r="BL89" s="67"/>
      <c r="BM89" s="156">
        <f>+Q89/BK89</f>
        <v>4.2409597939824982E-2</v>
      </c>
      <c r="BN89" s="66">
        <f t="shared" si="49"/>
        <v>266145.96250000002</v>
      </c>
      <c r="BO89" s="67"/>
      <c r="BP89" s="67">
        <f t="shared" si="50"/>
        <v>1738333</v>
      </c>
      <c r="BQ89" s="67"/>
      <c r="BR89" s="74">
        <f t="shared" si="51"/>
        <v>8.1643780337265118E-2</v>
      </c>
      <c r="BS89" s="67"/>
      <c r="BT89" s="86"/>
      <c r="BU89" s="183"/>
      <c r="BV89" s="1"/>
      <c r="BW89">
        <f t="shared" si="53"/>
        <v>80</v>
      </c>
    </row>
    <row r="90" spans="2:75" x14ac:dyDescent="0.3">
      <c r="B90" s="171">
        <f t="shared" si="52"/>
        <v>43990</v>
      </c>
      <c r="C90" s="61"/>
      <c r="D90" s="17">
        <v>19044</v>
      </c>
      <c r="E90" s="16"/>
      <c r="F90" s="16"/>
      <c r="G90" s="16"/>
      <c r="H90" s="16">
        <f t="shared" si="36"/>
        <v>2030755</v>
      </c>
      <c r="I90" s="16"/>
      <c r="J90" s="38">
        <f t="shared" si="37"/>
        <v>9.4665685081008165E-3</v>
      </c>
      <c r="K90" s="16"/>
      <c r="L90" s="16"/>
      <c r="M90" s="16"/>
      <c r="N90" s="16"/>
      <c r="O90" s="16">
        <f t="shared" si="43"/>
        <v>25071.04938271605</v>
      </c>
      <c r="P90" s="41"/>
      <c r="Q90" s="17"/>
      <c r="R90" s="16"/>
      <c r="S90" s="60"/>
      <c r="T90" s="16"/>
      <c r="U90" s="41"/>
      <c r="V90" s="10"/>
      <c r="W90" s="34">
        <v>586</v>
      </c>
      <c r="X90" s="33"/>
      <c r="Y90" s="33"/>
      <c r="Z90" s="33"/>
      <c r="AA90" s="33">
        <f t="shared" si="38"/>
        <v>115735</v>
      </c>
      <c r="AB90" s="33"/>
      <c r="AC90" s="46">
        <f t="shared" si="44"/>
        <v>5.6991119066554068E-2</v>
      </c>
      <c r="AD90" s="33"/>
      <c r="AE90" s="33">
        <f t="shared" si="45"/>
        <v>1428.8271604938273</v>
      </c>
      <c r="AF90" s="50"/>
      <c r="AG90" s="33"/>
      <c r="AH90" s="33"/>
      <c r="AI90" s="231"/>
      <c r="AJ90" s="50"/>
      <c r="AK90" s="10"/>
      <c r="AL90" s="23">
        <f t="shared" si="39"/>
        <v>11772</v>
      </c>
      <c r="AM90" s="24"/>
      <c r="AN90" s="24"/>
      <c r="AO90" s="24">
        <v>178263</v>
      </c>
      <c r="AP90" s="24">
        <v>773480</v>
      </c>
      <c r="AQ90" s="24"/>
      <c r="AR90" s="25">
        <f t="shared" si="40"/>
        <v>1.545474118691152E-2</v>
      </c>
      <c r="AS90" s="25"/>
      <c r="AT90" s="25"/>
      <c r="AU90" s="24"/>
      <c r="AV90" s="341">
        <f t="shared" si="46"/>
        <v>0.38088297209658478</v>
      </c>
      <c r="AW90" s="341"/>
      <c r="AX90" s="24">
        <f t="shared" si="47"/>
        <v>9549.1358024691363</v>
      </c>
      <c r="AY90" s="351"/>
      <c r="AZ90" s="10"/>
      <c r="BA90" s="66">
        <f t="shared" si="41"/>
        <v>433387</v>
      </c>
      <c r="BB90" s="67"/>
      <c r="BC90" s="67">
        <v>21725064</v>
      </c>
      <c r="BD90" s="67"/>
      <c r="BE90" s="67">
        <f t="shared" si="48"/>
        <v>19044</v>
      </c>
      <c r="BF90" s="67"/>
      <c r="BG90" s="156">
        <f t="shared" si="42"/>
        <v>4.3942250229010098E-2</v>
      </c>
      <c r="BH90" s="67"/>
      <c r="BI90" s="183"/>
      <c r="BJ90" s="67"/>
      <c r="BK90" s="67"/>
      <c r="BL90" s="67"/>
      <c r="BM90" s="156"/>
      <c r="BN90" s="66">
        <f t="shared" si="49"/>
        <v>268210.66666666669</v>
      </c>
      <c r="BO90" s="67"/>
      <c r="BP90" s="67">
        <f t="shared" si="50"/>
        <v>1757377</v>
      </c>
      <c r="BQ90" s="67"/>
      <c r="BR90" s="74">
        <f t="shared" si="51"/>
        <v>8.0891683449125854E-2</v>
      </c>
      <c r="BS90" s="67"/>
      <c r="BT90" s="86"/>
      <c r="BU90" s="183"/>
      <c r="BV90" s="1"/>
      <c r="BW90">
        <f t="shared" si="53"/>
        <v>81</v>
      </c>
    </row>
    <row r="91" spans="2:75" x14ac:dyDescent="0.3">
      <c r="B91" s="171">
        <f t="shared" si="52"/>
        <v>43991</v>
      </c>
      <c r="C91" s="61"/>
      <c r="D91" s="17">
        <v>19056</v>
      </c>
      <c r="E91" s="16"/>
      <c r="F91" s="16"/>
      <c r="G91" s="16"/>
      <c r="H91" s="16">
        <f t="shared" si="36"/>
        <v>2049811</v>
      </c>
      <c r="I91" s="16"/>
      <c r="J91" s="38">
        <f t="shared" si="37"/>
        <v>9.3837021206398599E-3</v>
      </c>
      <c r="K91" s="16"/>
      <c r="L91" s="16"/>
      <c r="M91" s="16"/>
      <c r="N91" s="16"/>
      <c r="O91" s="16">
        <f t="shared" si="43"/>
        <v>24997.695121951219</v>
      </c>
      <c r="P91" s="41"/>
      <c r="Q91" s="17"/>
      <c r="R91" s="16"/>
      <c r="S91" s="60"/>
      <c r="T91" s="16"/>
      <c r="U91" s="41"/>
      <c r="V91" s="10"/>
      <c r="W91" s="34">
        <v>1093</v>
      </c>
      <c r="X91" s="33"/>
      <c r="Y91" s="33"/>
      <c r="Z91" s="33"/>
      <c r="AA91" s="33">
        <f t="shared" si="38"/>
        <v>116828</v>
      </c>
      <c r="AB91" s="33"/>
      <c r="AC91" s="46">
        <f t="shared" si="44"/>
        <v>5.6994522909673134E-2</v>
      </c>
      <c r="AD91" s="33"/>
      <c r="AE91" s="33">
        <f t="shared" si="45"/>
        <v>1424.7317073170732</v>
      </c>
      <c r="AF91" s="50"/>
      <c r="AG91" s="33"/>
      <c r="AH91" s="33"/>
      <c r="AI91" s="231"/>
      <c r="AJ91" s="50"/>
      <c r="AK91" s="10"/>
      <c r="AL91" s="23">
        <f t="shared" si="39"/>
        <v>15382</v>
      </c>
      <c r="AM91" s="24"/>
      <c r="AN91" s="24"/>
      <c r="AO91" s="24">
        <v>178263</v>
      </c>
      <c r="AP91" s="24">
        <v>788862</v>
      </c>
      <c r="AQ91" s="24"/>
      <c r="AR91" s="25">
        <f t="shared" si="40"/>
        <v>1.988674561721053E-2</v>
      </c>
      <c r="AS91" s="25"/>
      <c r="AT91" s="25"/>
      <c r="AU91" s="24"/>
      <c r="AV91" s="341">
        <f t="shared" si="46"/>
        <v>0.38484621265082486</v>
      </c>
      <c r="AW91" s="341"/>
      <c r="AX91" s="24">
        <f t="shared" si="47"/>
        <v>9620.2682926829275</v>
      </c>
      <c r="AY91" s="351"/>
      <c r="AZ91" s="10"/>
      <c r="BA91" s="66">
        <f t="shared" si="41"/>
        <v>415612</v>
      </c>
      <c r="BB91" s="67"/>
      <c r="BC91" s="67">
        <v>22140676</v>
      </c>
      <c r="BD91" s="67"/>
      <c r="BE91" s="67">
        <f t="shared" si="48"/>
        <v>19056</v>
      </c>
      <c r="BF91" s="67"/>
      <c r="BG91" s="156">
        <f t="shared" si="42"/>
        <v>4.5850456675938137E-2</v>
      </c>
      <c r="BH91" s="67"/>
      <c r="BI91" s="183"/>
      <c r="BJ91" s="67"/>
      <c r="BK91" s="67"/>
      <c r="BL91" s="67"/>
      <c r="BM91" s="156"/>
      <c r="BN91" s="66">
        <f t="shared" si="49"/>
        <v>270008.24390243902</v>
      </c>
      <c r="BO91" s="67"/>
      <c r="BP91" s="67">
        <f t="shared" si="50"/>
        <v>1776433</v>
      </c>
      <c r="BQ91" s="67"/>
      <c r="BR91" s="74">
        <f t="shared" si="51"/>
        <v>8.0233909750542398E-2</v>
      </c>
      <c r="BS91" s="67"/>
      <c r="BT91" s="86"/>
      <c r="BU91" s="183"/>
      <c r="BV91" s="1"/>
      <c r="BW91">
        <f t="shared" si="53"/>
        <v>82</v>
      </c>
    </row>
    <row r="92" spans="2:75" x14ac:dyDescent="0.3">
      <c r="B92" s="171">
        <f t="shared" si="52"/>
        <v>43992</v>
      </c>
      <c r="C92" s="61"/>
      <c r="D92" s="17">
        <v>20852</v>
      </c>
      <c r="E92" s="16"/>
      <c r="F92" s="16"/>
      <c r="G92" s="16"/>
      <c r="H92" s="16">
        <f t="shared" si="36"/>
        <v>2070663</v>
      </c>
      <c r="I92" s="16"/>
      <c r="J92" s="38">
        <f t="shared" si="37"/>
        <v>1.0172645185336599E-2</v>
      </c>
      <c r="K92" s="16"/>
      <c r="L92" s="16"/>
      <c r="M92" s="16"/>
      <c r="N92" s="16"/>
      <c r="O92" s="16">
        <f t="shared" si="43"/>
        <v>24947.746987951807</v>
      </c>
      <c r="P92" s="41"/>
      <c r="Q92" s="17"/>
      <c r="R92" s="16"/>
      <c r="S92" s="60"/>
      <c r="T92" s="16"/>
      <c r="U92" s="41"/>
      <c r="V92" s="10"/>
      <c r="W92" s="34">
        <v>982</v>
      </c>
      <c r="X92" s="33"/>
      <c r="Y92" s="33"/>
      <c r="Z92" s="33"/>
      <c r="AA92" s="33">
        <f t="shared" si="38"/>
        <v>117810</v>
      </c>
      <c r="AB92" s="33"/>
      <c r="AC92" s="46">
        <f t="shared" si="44"/>
        <v>5.6894820644402301E-2</v>
      </c>
      <c r="AD92" s="33"/>
      <c r="AE92" s="33">
        <f t="shared" si="45"/>
        <v>1419.3975903614457</v>
      </c>
      <c r="AF92" s="50"/>
      <c r="AG92" s="33"/>
      <c r="AH92" s="33"/>
      <c r="AI92" s="231"/>
      <c r="AJ92" s="50"/>
      <c r="AK92" s="10"/>
      <c r="AL92" s="23">
        <f t="shared" si="39"/>
        <v>19632</v>
      </c>
      <c r="AM92" s="24"/>
      <c r="AN92" s="24"/>
      <c r="AO92" s="24">
        <v>178263</v>
      </c>
      <c r="AP92" s="24">
        <v>808494</v>
      </c>
      <c r="AQ92" s="24"/>
      <c r="AR92" s="25">
        <f t="shared" si="40"/>
        <v>2.4886482046289467E-2</v>
      </c>
      <c r="AS92" s="25"/>
      <c r="AT92" s="25"/>
      <c r="AU92" s="24"/>
      <c r="AV92" s="341">
        <f t="shared" si="46"/>
        <v>0.39045175385854675</v>
      </c>
      <c r="AW92" s="341"/>
      <c r="AX92" s="24">
        <f t="shared" si="47"/>
        <v>9740.8915662650597</v>
      </c>
      <c r="AY92" s="351"/>
      <c r="AZ92" s="10"/>
      <c r="BA92" s="66">
        <f t="shared" si="41"/>
        <v>485082</v>
      </c>
      <c r="BB92" s="67"/>
      <c r="BC92" s="67">
        <v>22625758</v>
      </c>
      <c r="BD92" s="67"/>
      <c r="BE92" s="67">
        <f t="shared" si="48"/>
        <v>20852</v>
      </c>
      <c r="BF92" s="67"/>
      <c r="BG92" s="156">
        <f t="shared" si="42"/>
        <v>4.298654660449161E-2</v>
      </c>
      <c r="BH92" s="67"/>
      <c r="BI92" s="183"/>
      <c r="BJ92" s="67"/>
      <c r="BK92" s="67"/>
      <c r="BL92" s="67"/>
      <c r="BM92" s="156"/>
      <c r="BN92" s="66">
        <f t="shared" si="49"/>
        <v>272599.49397590361</v>
      </c>
      <c r="BO92" s="67"/>
      <c r="BP92" s="67">
        <f t="shared" si="50"/>
        <v>1797285</v>
      </c>
      <c r="BQ92" s="67"/>
      <c r="BR92" s="74">
        <f t="shared" si="51"/>
        <v>7.9435349746072595E-2</v>
      </c>
      <c r="BS92" s="67"/>
      <c r="BT92" s="86"/>
      <c r="BU92" s="183"/>
      <c r="BV92" s="1"/>
      <c r="BW92">
        <f t="shared" si="53"/>
        <v>83</v>
      </c>
    </row>
    <row r="93" spans="2:75" x14ac:dyDescent="0.3">
      <c r="B93" s="171">
        <f t="shared" si="52"/>
        <v>43993</v>
      </c>
      <c r="C93" s="61"/>
      <c r="D93" s="17">
        <v>23300</v>
      </c>
      <c r="E93" s="16"/>
      <c r="F93" s="16"/>
      <c r="G93" s="16"/>
      <c r="H93" s="16">
        <f t="shared" si="36"/>
        <v>2093963</v>
      </c>
      <c r="I93" s="16"/>
      <c r="J93" s="38">
        <f t="shared" si="37"/>
        <v>1.1252434606693605E-2</v>
      </c>
      <c r="K93" s="16"/>
      <c r="L93" s="16"/>
      <c r="M93" s="16"/>
      <c r="N93" s="16"/>
      <c r="O93" s="16">
        <f t="shared" si="43"/>
        <v>24928.130952380954</v>
      </c>
      <c r="P93" s="41"/>
      <c r="Q93" s="17"/>
      <c r="R93" s="16"/>
      <c r="S93" s="60"/>
      <c r="T93" s="16"/>
      <c r="U93" s="41"/>
      <c r="V93" s="10"/>
      <c r="W93" s="34">
        <v>904</v>
      </c>
      <c r="X93" s="33"/>
      <c r="Y93" s="33"/>
      <c r="Z93" s="33"/>
      <c r="AA93" s="33">
        <f t="shared" si="38"/>
        <v>118714</v>
      </c>
      <c r="AB93" s="33"/>
      <c r="AC93" s="46">
        <f t="shared" si="44"/>
        <v>5.669345637912418E-2</v>
      </c>
      <c r="AD93" s="33"/>
      <c r="AE93" s="33">
        <f t="shared" si="45"/>
        <v>1413.2619047619048</v>
      </c>
      <c r="AF93" s="50"/>
      <c r="AG93" s="33"/>
      <c r="AH93" s="33"/>
      <c r="AI93" s="231"/>
      <c r="AJ93" s="50"/>
      <c r="AK93" s="10"/>
      <c r="AL93" s="23">
        <f t="shared" si="39"/>
        <v>5331</v>
      </c>
      <c r="AM93" s="24"/>
      <c r="AN93" s="24"/>
      <c r="AO93" s="24">
        <v>178263</v>
      </c>
      <c r="AP93" s="24">
        <v>813825</v>
      </c>
      <c r="AQ93" s="24"/>
      <c r="AR93" s="25">
        <f t="shared" si="40"/>
        <v>6.5937409554059773E-3</v>
      </c>
      <c r="AS93" s="25"/>
      <c r="AT93" s="25"/>
      <c r="AU93" s="24"/>
      <c r="AV93" s="341">
        <f t="shared" si="46"/>
        <v>0.38865299912176099</v>
      </c>
      <c r="AW93" s="341"/>
      <c r="AX93" s="24">
        <f t="shared" si="47"/>
        <v>9688.3928571428569</v>
      </c>
      <c r="AY93" s="351"/>
      <c r="AZ93" s="10"/>
      <c r="BA93" s="66">
        <f t="shared" si="41"/>
        <v>447712</v>
      </c>
      <c r="BB93" s="67"/>
      <c r="BC93" s="67">
        <v>23073470</v>
      </c>
      <c r="BD93" s="67"/>
      <c r="BE93" s="67">
        <f t="shared" si="48"/>
        <v>23300</v>
      </c>
      <c r="BF93" s="67"/>
      <c r="BG93" s="156">
        <f t="shared" si="42"/>
        <v>5.2042384389964974E-2</v>
      </c>
      <c r="BH93" s="67"/>
      <c r="BI93" s="183"/>
      <c r="BJ93" s="67"/>
      <c r="BK93" s="67"/>
      <c r="BL93" s="67"/>
      <c r="BM93" s="156"/>
      <c r="BN93" s="66">
        <f t="shared" si="49"/>
        <v>274684.16666666669</v>
      </c>
      <c r="BO93" s="67"/>
      <c r="BP93" s="67">
        <f t="shared" si="50"/>
        <v>1820585</v>
      </c>
      <c r="BQ93" s="67"/>
      <c r="BR93" s="74">
        <f t="shared" si="51"/>
        <v>7.8903823308761098E-2</v>
      </c>
      <c r="BS93" s="67"/>
      <c r="BT93" s="86"/>
      <c r="BU93" s="183"/>
      <c r="BV93" s="1"/>
      <c r="BW93">
        <f t="shared" si="53"/>
        <v>84</v>
      </c>
    </row>
    <row r="94" spans="2:75" x14ac:dyDescent="0.3">
      <c r="B94" s="171">
        <f t="shared" si="52"/>
        <v>43994</v>
      </c>
      <c r="C94" s="61"/>
      <c r="D94" s="17">
        <v>27221</v>
      </c>
      <c r="E94" s="16"/>
      <c r="F94" s="16"/>
      <c r="G94" s="16"/>
      <c r="H94" s="16">
        <f t="shared" si="36"/>
        <v>2121184</v>
      </c>
      <c r="I94" s="16"/>
      <c r="J94" s="38">
        <f t="shared" si="37"/>
        <v>1.2999752144617646E-2</v>
      </c>
      <c r="K94" s="16"/>
      <c r="L94" s="16"/>
      <c r="M94" s="16"/>
      <c r="N94" s="16"/>
      <c r="O94" s="16">
        <f t="shared" si="43"/>
        <v>24955.105882352942</v>
      </c>
      <c r="P94" s="41"/>
      <c r="Q94" s="17"/>
      <c r="R94" s="16"/>
      <c r="S94" s="60"/>
      <c r="T94" s="16"/>
      <c r="U94" s="41"/>
      <c r="V94" s="10"/>
      <c r="W94" s="34">
        <v>791</v>
      </c>
      <c r="X94" s="33"/>
      <c r="Y94" s="33"/>
      <c r="Z94" s="33"/>
      <c r="AA94" s="33">
        <f t="shared" si="38"/>
        <v>119505</v>
      </c>
      <c r="AB94" s="33"/>
      <c r="AC94" s="46">
        <f t="shared" si="44"/>
        <v>5.6338818320334307E-2</v>
      </c>
      <c r="AD94" s="33"/>
      <c r="AE94" s="33">
        <f t="shared" si="45"/>
        <v>1405.9411764705883</v>
      </c>
      <c r="AF94" s="50"/>
      <c r="AG94" s="33"/>
      <c r="AH94" s="33"/>
      <c r="AI94" s="231"/>
      <c r="AJ94" s="50"/>
      <c r="AK94" s="10"/>
      <c r="AL94" s="23">
        <f t="shared" si="39"/>
        <v>28109</v>
      </c>
      <c r="AM94" s="24"/>
      <c r="AN94" s="24"/>
      <c r="AO94" s="24">
        <v>178263</v>
      </c>
      <c r="AP94" s="24">
        <v>841934</v>
      </c>
      <c r="AQ94" s="24"/>
      <c r="AR94" s="25">
        <f t="shared" si="40"/>
        <v>3.4539366571437351E-2</v>
      </c>
      <c r="AS94" s="25"/>
      <c r="AT94" s="25"/>
      <c r="AU94" s="24"/>
      <c r="AV94" s="341">
        <f t="shared" si="46"/>
        <v>0.39691700484257847</v>
      </c>
      <c r="AW94" s="341"/>
      <c r="AX94" s="24">
        <f t="shared" si="47"/>
        <v>9905.105882352942</v>
      </c>
      <c r="AY94" s="351"/>
      <c r="AZ94" s="10"/>
      <c r="BA94" s="66">
        <f t="shared" si="41"/>
        <v>718721</v>
      </c>
      <c r="BB94" s="67"/>
      <c r="BC94" s="67">
        <v>23792191</v>
      </c>
      <c r="BD94" s="67"/>
      <c r="BE94" s="67">
        <f t="shared" si="48"/>
        <v>27221</v>
      </c>
      <c r="BF94" s="67"/>
      <c r="BG94" s="156">
        <f t="shared" si="42"/>
        <v>3.7874223794768763E-2</v>
      </c>
      <c r="BH94" s="67"/>
      <c r="BI94" s="183"/>
      <c r="BJ94" s="67"/>
      <c r="BK94" s="67"/>
      <c r="BL94" s="67"/>
      <c r="BM94" s="156"/>
      <c r="BN94" s="66">
        <f t="shared" si="49"/>
        <v>279908.12941176473</v>
      </c>
      <c r="BO94" s="67"/>
      <c r="BP94" s="67">
        <f t="shared" si="50"/>
        <v>1847806</v>
      </c>
      <c r="BQ94" s="67"/>
      <c r="BR94" s="74">
        <f t="shared" si="51"/>
        <v>7.7664389967279604E-2</v>
      </c>
      <c r="BS94" s="67"/>
      <c r="BT94" s="86"/>
      <c r="BU94" s="183"/>
      <c r="BV94" s="1"/>
      <c r="BW94">
        <f t="shared" si="53"/>
        <v>85</v>
      </c>
    </row>
    <row r="95" spans="2:75" x14ac:dyDescent="0.3">
      <c r="B95" s="475">
        <f t="shared" si="52"/>
        <v>43995</v>
      </c>
      <c r="C95" s="61"/>
      <c r="D95" s="17">
        <v>25302</v>
      </c>
      <c r="E95" s="16"/>
      <c r="F95" s="16"/>
      <c r="G95" s="16"/>
      <c r="H95" s="16">
        <f t="shared" si="36"/>
        <v>2146486</v>
      </c>
      <c r="I95" s="16"/>
      <c r="J95" s="38">
        <f t="shared" si="37"/>
        <v>1.1928243848718451E-2</v>
      </c>
      <c r="K95" s="16"/>
      <c r="L95" s="16"/>
      <c r="M95" s="16"/>
      <c r="N95" s="16"/>
      <c r="O95" s="16">
        <f t="shared" si="43"/>
        <v>24959.139534883721</v>
      </c>
      <c r="P95" s="41"/>
      <c r="Q95" s="17"/>
      <c r="R95" s="16"/>
      <c r="S95" s="60"/>
      <c r="T95" s="16"/>
      <c r="U95" s="41"/>
      <c r="V95" s="10"/>
      <c r="W95" s="34">
        <v>702</v>
      </c>
      <c r="X95" s="33"/>
      <c r="Y95" s="33"/>
      <c r="Z95" s="33"/>
      <c r="AA95" s="33">
        <f t="shared" si="38"/>
        <v>120207</v>
      </c>
      <c r="AB95" s="33"/>
      <c r="AC95" s="46">
        <f t="shared" si="44"/>
        <v>5.6001762881285971E-2</v>
      </c>
      <c r="AD95" s="33"/>
      <c r="AE95" s="33">
        <f t="shared" si="45"/>
        <v>1397.7558139534883</v>
      </c>
      <c r="AF95" s="50"/>
      <c r="AG95" s="33"/>
      <c r="AH95" s="33"/>
      <c r="AI95" s="231"/>
      <c r="AJ95" s="50"/>
      <c r="AK95" s="10"/>
      <c r="AL95" s="23">
        <f t="shared" si="39"/>
        <v>17978</v>
      </c>
      <c r="AM95" s="24"/>
      <c r="AN95" s="24"/>
      <c r="AO95" s="24">
        <v>178263</v>
      </c>
      <c r="AP95" s="24">
        <v>859912</v>
      </c>
      <c r="AQ95" s="24"/>
      <c r="AR95" s="25">
        <f t="shared" si="40"/>
        <v>2.1353217710651903E-2</v>
      </c>
      <c r="AS95" s="25"/>
      <c r="AT95" s="25"/>
      <c r="AU95" s="24"/>
      <c r="AV95" s="341">
        <f t="shared" si="46"/>
        <v>0.40061384048160575</v>
      </c>
      <c r="AW95" s="341"/>
      <c r="AX95" s="24">
        <f t="shared" si="47"/>
        <v>9998.9767441860458</v>
      </c>
      <c r="AY95" s="351"/>
      <c r="AZ95" s="10"/>
      <c r="BA95" s="66">
        <f t="shared" si="41"/>
        <v>500980</v>
      </c>
      <c r="BB95" s="67"/>
      <c r="BC95" s="67">
        <v>24293171</v>
      </c>
      <c r="BD95" s="67"/>
      <c r="BE95" s="67">
        <f t="shared" si="48"/>
        <v>25302</v>
      </c>
      <c r="BF95" s="67"/>
      <c r="BG95" s="156">
        <f t="shared" si="42"/>
        <v>5.0505010180047105E-2</v>
      </c>
      <c r="BH95" s="67"/>
      <c r="BI95" s="183"/>
      <c r="BJ95" s="67"/>
      <c r="BK95" s="67"/>
      <c r="BL95" s="67"/>
      <c r="BM95" s="156"/>
      <c r="BN95" s="66">
        <f t="shared" si="49"/>
        <v>282478.73255813954</v>
      </c>
      <c r="BO95" s="67"/>
      <c r="BP95" s="67">
        <f t="shared" si="50"/>
        <v>1873108</v>
      </c>
      <c r="BQ95" s="67"/>
      <c r="BR95" s="74">
        <f t="shared" si="51"/>
        <v>7.7104302274906805E-2</v>
      </c>
      <c r="BS95" s="67"/>
      <c r="BT95" s="86"/>
      <c r="BU95" s="183"/>
      <c r="BV95" s="1"/>
      <c r="BW95">
        <f t="shared" si="53"/>
        <v>86</v>
      </c>
    </row>
    <row r="96" spans="2:75" x14ac:dyDescent="0.3">
      <c r="B96" s="390">
        <f t="shared" si="52"/>
        <v>43996</v>
      </c>
      <c r="C96" s="61"/>
      <c r="D96" s="17">
        <v>20004</v>
      </c>
      <c r="E96" s="16"/>
      <c r="F96" s="16"/>
      <c r="G96" s="16"/>
      <c r="H96" s="16">
        <f t="shared" si="36"/>
        <v>2166490</v>
      </c>
      <c r="I96" s="16"/>
      <c r="J96" s="38">
        <f t="shared" si="37"/>
        <v>9.3194178764734546E-3</v>
      </c>
      <c r="K96" s="16"/>
      <c r="L96" s="16"/>
      <c r="M96" s="16"/>
      <c r="N96" s="16"/>
      <c r="O96" s="16">
        <f t="shared" si="43"/>
        <v>24902.183908045976</v>
      </c>
      <c r="P96" s="41"/>
      <c r="Q96" s="17">
        <f>SUM(D90:D96)</f>
        <v>154779</v>
      </c>
      <c r="R96" s="16"/>
      <c r="S96" s="60">
        <f>+(Q96-Q89)/Q89</f>
        <v>8.4307912825357535E-3</v>
      </c>
      <c r="T96" s="16"/>
      <c r="U96" s="41"/>
      <c r="V96" s="391"/>
      <c r="W96" s="34">
        <v>331</v>
      </c>
      <c r="X96" s="33"/>
      <c r="Y96" s="33"/>
      <c r="Z96" s="33"/>
      <c r="AA96" s="33">
        <f t="shared" si="38"/>
        <v>120538</v>
      </c>
      <c r="AB96" s="33"/>
      <c r="AC96" s="46">
        <f t="shared" si="44"/>
        <v>5.5637459669788461E-2</v>
      </c>
      <c r="AD96" s="33"/>
      <c r="AE96" s="33">
        <f t="shared" si="45"/>
        <v>1385.4942528735633</v>
      </c>
      <c r="AF96" s="50"/>
      <c r="AG96" s="33">
        <f>SUM(W90:W96)</f>
        <v>5389</v>
      </c>
      <c r="AH96" s="33"/>
      <c r="AI96" s="231">
        <f>+(AG96-AG89)/AG89</f>
        <v>-0.13094662151265926</v>
      </c>
      <c r="AJ96" s="50"/>
      <c r="AK96" s="391"/>
      <c r="AL96" s="23">
        <f t="shared" si="39"/>
        <v>7937</v>
      </c>
      <c r="AM96" s="24"/>
      <c r="AN96" s="24"/>
      <c r="AO96" s="24">
        <v>178263</v>
      </c>
      <c r="AP96" s="24">
        <v>867849</v>
      </c>
      <c r="AQ96" s="24"/>
      <c r="AR96" s="25">
        <f t="shared" si="40"/>
        <v>9.2300142340146427E-3</v>
      </c>
      <c r="AS96" s="25"/>
      <c r="AT96" s="25"/>
      <c r="AU96" s="24"/>
      <c r="AV96" s="341">
        <f t="shared" si="46"/>
        <v>0.40057835485047244</v>
      </c>
      <c r="AW96" s="341"/>
      <c r="AX96" s="24">
        <f t="shared" si="47"/>
        <v>9975.2758620689656</v>
      </c>
      <c r="AY96" s="351"/>
      <c r="AZ96" s="391"/>
      <c r="BA96" s="66">
        <f t="shared" si="41"/>
        <v>497760</v>
      </c>
      <c r="BB96" s="67"/>
      <c r="BC96" s="67">
        <v>24790931</v>
      </c>
      <c r="BD96" s="67"/>
      <c r="BE96" s="67">
        <f t="shared" si="48"/>
        <v>20004</v>
      </c>
      <c r="BF96" s="67"/>
      <c r="BG96" s="156">
        <f t="shared" si="42"/>
        <v>4.0188042430086786E-2</v>
      </c>
      <c r="BH96" s="67"/>
      <c r="BI96" s="183"/>
      <c r="BJ96" s="67"/>
      <c r="BK96" s="67">
        <f>SUM(BA90:BA96)</f>
        <v>3499254</v>
      </c>
      <c r="BL96" s="67"/>
      <c r="BM96" s="156">
        <f>+Q96/BK96</f>
        <v>4.4231999163250227E-2</v>
      </c>
      <c r="BN96" s="66">
        <f t="shared" si="49"/>
        <v>284953.22988505749</v>
      </c>
      <c r="BO96" s="67"/>
      <c r="BP96" s="67">
        <f t="shared" si="50"/>
        <v>1893112</v>
      </c>
      <c r="BQ96" s="67"/>
      <c r="BR96" s="74">
        <f t="shared" si="51"/>
        <v>7.636308616243577E-2</v>
      </c>
      <c r="BS96" s="67"/>
      <c r="BT96" s="86"/>
      <c r="BU96" s="183"/>
      <c r="BV96" s="1"/>
      <c r="BW96">
        <f t="shared" si="53"/>
        <v>87</v>
      </c>
    </row>
    <row r="97" spans="2:75" x14ac:dyDescent="0.3">
      <c r="B97" s="171">
        <f t="shared" si="52"/>
        <v>43997</v>
      </c>
      <c r="C97" s="61"/>
      <c r="D97" s="17">
        <v>20722</v>
      </c>
      <c r="E97" s="16"/>
      <c r="F97" s="16"/>
      <c r="G97" s="16"/>
      <c r="H97" s="16">
        <f t="shared" ref="H97:H108" si="54">+H96+D97</f>
        <v>2187212</v>
      </c>
      <c r="I97" s="16"/>
      <c r="J97" s="38">
        <f t="shared" ref="J97:J108" si="55">+D97/H96</f>
        <v>9.5647798974377914E-3</v>
      </c>
      <c r="K97" s="16"/>
      <c r="L97" s="16"/>
      <c r="M97" s="16"/>
      <c r="N97" s="16"/>
      <c r="O97" s="16">
        <f t="shared" ref="O97:O108" si="56">+H97/BW97</f>
        <v>24854.68181818182</v>
      </c>
      <c r="P97" s="41"/>
      <c r="Q97" s="17"/>
      <c r="R97" s="16"/>
      <c r="S97" s="60"/>
      <c r="T97" s="16"/>
      <c r="U97" s="41"/>
      <c r="V97" s="10"/>
      <c r="W97" s="34">
        <v>425</v>
      </c>
      <c r="X97" s="33"/>
      <c r="Y97" s="33"/>
      <c r="Z97" s="33"/>
      <c r="AA97" s="33">
        <f t="shared" ref="AA97:AA108" si="57">+AA96+W97</f>
        <v>120963</v>
      </c>
      <c r="AB97" s="33"/>
      <c r="AC97" s="46">
        <f t="shared" ref="AC97:AC108" si="58">+AA97/H97</f>
        <v>5.5304652681130134E-2</v>
      </c>
      <c r="AD97" s="33"/>
      <c r="AE97" s="33">
        <f t="shared" ref="AE97:AE108" si="59">+AA97/BW97</f>
        <v>1374.5795454545455</v>
      </c>
      <c r="AF97" s="50"/>
      <c r="AG97" s="33"/>
      <c r="AH97" s="33"/>
      <c r="AI97" s="231"/>
      <c r="AJ97" s="50"/>
      <c r="AK97" s="10"/>
      <c r="AL97" s="23">
        <f t="shared" ref="AL97:AL108" si="60">+AP97-AP96</f>
        <v>22017</v>
      </c>
      <c r="AM97" s="24"/>
      <c r="AN97" s="24"/>
      <c r="AO97" s="24">
        <v>178263</v>
      </c>
      <c r="AP97" s="24">
        <v>889866</v>
      </c>
      <c r="AQ97" s="24"/>
      <c r="AR97" s="25">
        <f t="shared" ref="AR97:AR108" si="61">+AL97/AP96</f>
        <v>2.5369620751997179E-2</v>
      </c>
      <c r="AS97" s="25"/>
      <c r="AT97" s="25"/>
      <c r="AU97" s="24"/>
      <c r="AV97" s="341">
        <f t="shared" ref="AV97:AV108" si="62">+AP97/H97</f>
        <v>0.40684945035049186</v>
      </c>
      <c r="AW97" s="341"/>
      <c r="AX97" s="24">
        <f t="shared" ref="AX97:AX108" si="63">+AP97/BW97</f>
        <v>10112.113636363636</v>
      </c>
      <c r="AY97" s="351"/>
      <c r="AZ97" s="10"/>
      <c r="BA97" s="66">
        <f t="shared" ref="BA97:BA108" si="64">+BC97-BC96</f>
        <v>468146</v>
      </c>
      <c r="BB97" s="67"/>
      <c r="BC97" s="67">
        <v>25259077</v>
      </c>
      <c r="BD97" s="67"/>
      <c r="BE97" s="67">
        <f t="shared" ref="BE97:BE108" si="65">+D97</f>
        <v>20722</v>
      </c>
      <c r="BF97" s="67"/>
      <c r="BG97" s="156">
        <f t="shared" ref="BG97:BG108" si="66">+BE97/BA97</f>
        <v>4.4263968932768835E-2</v>
      </c>
      <c r="BH97" s="67"/>
      <c r="BI97" s="183"/>
      <c r="BJ97" s="67"/>
      <c r="BK97" s="67"/>
      <c r="BL97" s="67"/>
      <c r="BM97" s="156"/>
      <c r="BN97" s="66">
        <f t="shared" ref="BN97:BN108" si="67">+BC97/BW97</f>
        <v>287034.96590909088</v>
      </c>
      <c r="BO97" s="67"/>
      <c r="BP97" s="67">
        <f t="shared" ref="BP97:BP108" si="68">+BP96+BE97</f>
        <v>1913834</v>
      </c>
      <c r="BQ97" s="67"/>
      <c r="BR97" s="74">
        <f t="shared" ref="BR97:BR108" si="69">+BP97/BC97</f>
        <v>7.5768168409320741E-2</v>
      </c>
      <c r="BS97" s="67"/>
      <c r="BT97" s="86"/>
      <c r="BU97" s="183"/>
      <c r="BV97" s="1"/>
      <c r="BW97">
        <f t="shared" si="53"/>
        <v>88</v>
      </c>
    </row>
    <row r="98" spans="2:75" x14ac:dyDescent="0.3">
      <c r="B98" s="171">
        <f t="shared" si="52"/>
        <v>43998</v>
      </c>
      <c r="C98" s="61"/>
      <c r="D98" s="17">
        <v>25294</v>
      </c>
      <c r="E98" s="16"/>
      <c r="F98" s="16"/>
      <c r="G98" s="16"/>
      <c r="H98" s="16">
        <f t="shared" si="54"/>
        <v>2212506</v>
      </c>
      <c r="I98" s="16"/>
      <c r="J98" s="38">
        <f t="shared" si="55"/>
        <v>1.1564493976807004E-2</v>
      </c>
      <c r="K98" s="16"/>
      <c r="L98" s="16"/>
      <c r="M98" s="16"/>
      <c r="N98" s="16"/>
      <c r="O98" s="16">
        <f t="shared" si="56"/>
        <v>24859.617977528091</v>
      </c>
      <c r="P98" s="41"/>
      <c r="Q98" s="17"/>
      <c r="R98" s="16"/>
      <c r="S98" s="60"/>
      <c r="T98" s="16"/>
      <c r="U98" s="41"/>
      <c r="V98" s="10"/>
      <c r="W98" s="34">
        <v>846</v>
      </c>
      <c r="X98" s="33"/>
      <c r="Y98" s="33"/>
      <c r="Z98" s="33"/>
      <c r="AA98" s="33">
        <f t="shared" si="57"/>
        <v>121809</v>
      </c>
      <c r="AB98" s="33"/>
      <c r="AC98" s="46">
        <f t="shared" si="58"/>
        <v>5.5054765953177077E-2</v>
      </c>
      <c r="AD98" s="33"/>
      <c r="AE98" s="33">
        <f t="shared" si="59"/>
        <v>1368.6404494382023</v>
      </c>
      <c r="AF98" s="50"/>
      <c r="AG98" s="33"/>
      <c r="AH98" s="33"/>
      <c r="AI98" s="231"/>
      <c r="AJ98" s="50"/>
      <c r="AK98" s="10"/>
      <c r="AL98" s="23">
        <f t="shared" si="60"/>
        <v>13175</v>
      </c>
      <c r="AM98" s="24"/>
      <c r="AN98" s="24"/>
      <c r="AO98" s="24">
        <v>178263</v>
      </c>
      <c r="AP98" s="24">
        <v>903041</v>
      </c>
      <c r="AQ98" s="24"/>
      <c r="AR98" s="25">
        <f t="shared" si="61"/>
        <v>1.4805599944261271E-2</v>
      </c>
      <c r="AS98" s="25"/>
      <c r="AT98" s="25"/>
      <c r="AU98" s="24"/>
      <c r="AV98" s="341">
        <f t="shared" si="62"/>
        <v>0.40815301743814481</v>
      </c>
      <c r="AW98" s="341"/>
      <c r="AX98" s="24">
        <f t="shared" si="63"/>
        <v>10146.528089887641</v>
      </c>
      <c r="AY98" s="351"/>
      <c r="AZ98" s="10"/>
      <c r="BA98" s="66">
        <f t="shared" si="64"/>
        <v>470291</v>
      </c>
      <c r="BB98" s="67"/>
      <c r="BC98" s="67">
        <v>25729368</v>
      </c>
      <c r="BD98" s="67"/>
      <c r="BE98" s="67">
        <f t="shared" si="65"/>
        <v>25294</v>
      </c>
      <c r="BF98" s="67"/>
      <c r="BG98" s="156">
        <f t="shared" si="66"/>
        <v>5.3783721142866864E-2</v>
      </c>
      <c r="BH98" s="67"/>
      <c r="BI98" s="183"/>
      <c r="BJ98" s="67"/>
      <c r="BK98" s="67"/>
      <c r="BL98" s="67"/>
      <c r="BM98" s="156"/>
      <c r="BN98" s="66">
        <f t="shared" si="67"/>
        <v>289094.02247191011</v>
      </c>
      <c r="BO98" s="67"/>
      <c r="BP98" s="67">
        <f t="shared" si="68"/>
        <v>1939128</v>
      </c>
      <c r="BQ98" s="67"/>
      <c r="BR98" s="74">
        <f t="shared" si="69"/>
        <v>7.5366328469475038E-2</v>
      </c>
      <c r="BS98" s="67"/>
      <c r="BT98" s="86"/>
      <c r="BU98" s="183"/>
      <c r="BV98" s="1"/>
      <c r="BW98">
        <f t="shared" si="53"/>
        <v>89</v>
      </c>
    </row>
    <row r="99" spans="2:75" x14ac:dyDescent="0.3">
      <c r="B99" s="171">
        <f t="shared" si="52"/>
        <v>43999</v>
      </c>
      <c r="C99" s="61"/>
      <c r="D99" s="17">
        <v>26071</v>
      </c>
      <c r="E99" s="16"/>
      <c r="F99" s="16"/>
      <c r="G99" s="16"/>
      <c r="H99" s="16">
        <f t="shared" si="54"/>
        <v>2238577</v>
      </c>
      <c r="I99" s="16"/>
      <c r="J99" s="38">
        <f t="shared" si="55"/>
        <v>1.1783470869683517E-2</v>
      </c>
      <c r="K99" s="16"/>
      <c r="L99" s="16"/>
      <c r="M99" s="16"/>
      <c r="N99" s="16"/>
      <c r="O99" s="16">
        <f t="shared" si="56"/>
        <v>24873.077777777777</v>
      </c>
      <c r="P99" s="41"/>
      <c r="Q99" s="17"/>
      <c r="R99" s="16"/>
      <c r="S99" s="60"/>
      <c r="T99" s="16"/>
      <c r="U99" s="41"/>
      <c r="V99" s="10"/>
      <c r="W99" s="34">
        <v>809</v>
      </c>
      <c r="X99" s="33"/>
      <c r="Y99" s="33"/>
      <c r="Z99" s="33"/>
      <c r="AA99" s="33">
        <f t="shared" si="57"/>
        <v>122618</v>
      </c>
      <c r="AB99" s="33"/>
      <c r="AC99" s="46">
        <f t="shared" si="58"/>
        <v>5.4774975352645902E-2</v>
      </c>
      <c r="AD99" s="33"/>
      <c r="AE99" s="33">
        <f t="shared" si="59"/>
        <v>1362.4222222222222</v>
      </c>
      <c r="AF99" s="50"/>
      <c r="AG99" s="33"/>
      <c r="AH99" s="33"/>
      <c r="AI99" s="231"/>
      <c r="AJ99" s="50"/>
      <c r="AK99" s="10"/>
      <c r="AL99" s="23">
        <f t="shared" si="60"/>
        <v>15755</v>
      </c>
      <c r="AM99" s="24"/>
      <c r="AN99" s="24"/>
      <c r="AO99" s="24">
        <v>178263</v>
      </c>
      <c r="AP99" s="24">
        <v>918796</v>
      </c>
      <c r="AQ99" s="24"/>
      <c r="AR99" s="25">
        <f t="shared" si="61"/>
        <v>1.7446605414372107E-2</v>
      </c>
      <c r="AS99" s="25"/>
      <c r="AT99" s="25"/>
      <c r="AU99" s="24"/>
      <c r="AV99" s="341">
        <f t="shared" si="62"/>
        <v>0.41043752348031809</v>
      </c>
      <c r="AW99" s="341"/>
      <c r="AX99" s="24">
        <f t="shared" si="63"/>
        <v>10208.844444444445</v>
      </c>
      <c r="AY99" s="351"/>
      <c r="AZ99" s="10"/>
      <c r="BA99" s="66">
        <f t="shared" si="64"/>
        <v>514443</v>
      </c>
      <c r="BB99" s="67"/>
      <c r="BC99" s="67">
        <v>26243811</v>
      </c>
      <c r="BD99" s="67"/>
      <c r="BE99" s="67">
        <f t="shared" si="65"/>
        <v>26071</v>
      </c>
      <c r="BF99" s="67"/>
      <c r="BG99" s="156">
        <f t="shared" si="66"/>
        <v>5.0678112055174238E-2</v>
      </c>
      <c r="BH99" s="67"/>
      <c r="BI99" s="183"/>
      <c r="BJ99" s="67"/>
      <c r="BK99" s="67"/>
      <c r="BL99" s="67"/>
      <c r="BM99" s="156"/>
      <c r="BN99" s="66">
        <f t="shared" si="67"/>
        <v>291597.90000000002</v>
      </c>
      <c r="BO99" s="67"/>
      <c r="BP99" s="67">
        <f t="shared" si="68"/>
        <v>1965199</v>
      </c>
      <c r="BQ99" s="67"/>
      <c r="BR99" s="74">
        <f t="shared" si="69"/>
        <v>7.4882378934980134E-2</v>
      </c>
      <c r="BS99" s="67"/>
      <c r="BT99" s="86"/>
      <c r="BU99" s="183"/>
      <c r="BV99" s="1"/>
      <c r="BW99">
        <f t="shared" si="53"/>
        <v>90</v>
      </c>
    </row>
    <row r="100" spans="2:75" x14ac:dyDescent="0.3">
      <c r="B100" s="171">
        <f t="shared" si="52"/>
        <v>44000</v>
      </c>
      <c r="C100" s="61"/>
      <c r="D100" s="17">
        <v>27924</v>
      </c>
      <c r="E100" s="16"/>
      <c r="F100" s="16"/>
      <c r="G100" s="16"/>
      <c r="H100" s="16">
        <f t="shared" si="54"/>
        <v>2266501</v>
      </c>
      <c r="I100" s="16"/>
      <c r="J100" s="38">
        <f t="shared" si="55"/>
        <v>1.2473995757126067E-2</v>
      </c>
      <c r="K100" s="16"/>
      <c r="L100" s="16"/>
      <c r="M100" s="16"/>
      <c r="N100" s="16"/>
      <c r="O100" s="16">
        <f t="shared" si="56"/>
        <v>24906.604395604394</v>
      </c>
      <c r="P100" s="41"/>
      <c r="Q100" s="17"/>
      <c r="R100" s="16"/>
      <c r="S100" s="60"/>
      <c r="T100" s="16"/>
      <c r="U100" s="41"/>
      <c r="V100" s="10"/>
      <c r="W100" s="34">
        <v>747</v>
      </c>
      <c r="X100" s="33"/>
      <c r="Y100" s="33"/>
      <c r="Z100" s="33"/>
      <c r="AA100" s="33">
        <f t="shared" si="57"/>
        <v>123365</v>
      </c>
      <c r="AB100" s="33"/>
      <c r="AC100" s="46">
        <f t="shared" si="58"/>
        <v>5.4429713465822427E-2</v>
      </c>
      <c r="AD100" s="33"/>
      <c r="AE100" s="33">
        <f t="shared" si="59"/>
        <v>1355.6593406593406</v>
      </c>
      <c r="AF100" s="50"/>
      <c r="AG100" s="33"/>
      <c r="AH100" s="33"/>
      <c r="AI100" s="231"/>
      <c r="AJ100" s="50"/>
      <c r="AK100" s="10"/>
      <c r="AL100" s="23">
        <f t="shared" si="60"/>
        <v>12198</v>
      </c>
      <c r="AM100" s="24"/>
      <c r="AN100" s="24"/>
      <c r="AO100" s="24">
        <v>178263</v>
      </c>
      <c r="AP100" s="24">
        <v>930994</v>
      </c>
      <c r="AQ100" s="24"/>
      <c r="AR100" s="25">
        <f t="shared" si="61"/>
        <v>1.3276069987244177E-2</v>
      </c>
      <c r="AS100" s="25"/>
      <c r="AT100" s="25"/>
      <c r="AU100" s="24"/>
      <c r="AV100" s="341">
        <f t="shared" si="62"/>
        <v>0.41076266897742381</v>
      </c>
      <c r="AW100" s="341"/>
      <c r="AX100" s="24">
        <f t="shared" si="63"/>
        <v>10230.703296703297</v>
      </c>
      <c r="AY100" s="351"/>
      <c r="AZ100" s="10"/>
      <c r="BA100" s="66">
        <f t="shared" si="64"/>
        <v>479368</v>
      </c>
      <c r="BB100" s="67"/>
      <c r="BC100" s="67">
        <v>26723179</v>
      </c>
      <c r="BD100" s="67"/>
      <c r="BE100" s="67">
        <f t="shared" si="65"/>
        <v>27924</v>
      </c>
      <c r="BF100" s="67"/>
      <c r="BG100" s="156">
        <f t="shared" si="66"/>
        <v>5.825169806912435E-2</v>
      </c>
      <c r="BH100" s="67"/>
      <c r="BI100" s="183"/>
      <c r="BJ100" s="67"/>
      <c r="BK100" s="67"/>
      <c r="BL100" s="67"/>
      <c r="BM100" s="156"/>
      <c r="BN100" s="66">
        <f t="shared" si="67"/>
        <v>293661.30769230769</v>
      </c>
      <c r="BO100" s="67"/>
      <c r="BP100" s="67">
        <f t="shared" si="68"/>
        <v>1993123</v>
      </c>
      <c r="BQ100" s="67"/>
      <c r="BR100" s="74">
        <f t="shared" si="69"/>
        <v>7.4584053042491688E-2</v>
      </c>
      <c r="BS100" s="67"/>
      <c r="BT100" s="86"/>
      <c r="BU100" s="183"/>
      <c r="BV100" s="1"/>
      <c r="BW100">
        <f t="shared" si="53"/>
        <v>91</v>
      </c>
    </row>
    <row r="101" spans="2:75" x14ac:dyDescent="0.3">
      <c r="B101" s="171">
        <f t="shared" si="52"/>
        <v>44001</v>
      </c>
      <c r="C101" s="61"/>
      <c r="D101" s="17">
        <v>33539</v>
      </c>
      <c r="E101" s="16"/>
      <c r="F101" s="16"/>
      <c r="G101" s="16"/>
      <c r="H101" s="16">
        <f t="shared" si="54"/>
        <v>2300040</v>
      </c>
      <c r="I101" s="16"/>
      <c r="J101" s="38">
        <f t="shared" si="55"/>
        <v>1.4797699184778652E-2</v>
      </c>
      <c r="K101" s="16"/>
      <c r="L101" s="16"/>
      <c r="M101" s="16"/>
      <c r="N101" s="16"/>
      <c r="O101" s="16">
        <f t="shared" si="56"/>
        <v>25000.434782608696</v>
      </c>
      <c r="P101" s="41"/>
      <c r="Q101" s="17"/>
      <c r="R101" s="16"/>
      <c r="S101" s="60"/>
      <c r="T101" s="16"/>
      <c r="U101" s="41"/>
      <c r="V101" s="10"/>
      <c r="W101" s="34">
        <v>719</v>
      </c>
      <c r="X101" s="33"/>
      <c r="Y101" s="33"/>
      <c r="Z101" s="33"/>
      <c r="AA101" s="33">
        <f t="shared" si="57"/>
        <v>124084</v>
      </c>
      <c r="AB101" s="33"/>
      <c r="AC101" s="46">
        <f t="shared" si="58"/>
        <v>5.3948626980400344E-2</v>
      </c>
      <c r="AD101" s="33"/>
      <c r="AE101" s="33">
        <f t="shared" si="59"/>
        <v>1348.7391304347825</v>
      </c>
      <c r="AF101" s="50"/>
      <c r="AG101" s="33"/>
      <c r="AH101" s="33"/>
      <c r="AI101" s="231"/>
      <c r="AJ101" s="50"/>
      <c r="AK101" s="10"/>
      <c r="AL101" s="23">
        <f t="shared" si="60"/>
        <v>25067</v>
      </c>
      <c r="AM101" s="24"/>
      <c r="AN101" s="24"/>
      <c r="AO101" s="24">
        <v>178263</v>
      </c>
      <c r="AP101" s="24">
        <v>956061</v>
      </c>
      <c r="AQ101" s="24"/>
      <c r="AR101" s="25">
        <f t="shared" si="61"/>
        <v>2.6924985553075528E-2</v>
      </c>
      <c r="AS101" s="25"/>
      <c r="AT101" s="25"/>
      <c r="AU101" s="24"/>
      <c r="AV101" s="341">
        <f t="shared" si="62"/>
        <v>0.41567146658318987</v>
      </c>
      <c r="AW101" s="341"/>
      <c r="AX101" s="24">
        <f t="shared" si="63"/>
        <v>10391.967391304348</v>
      </c>
      <c r="AY101" s="351"/>
      <c r="AZ101" s="10"/>
      <c r="BA101" s="66">
        <f t="shared" si="64"/>
        <v>614206</v>
      </c>
      <c r="BB101" s="67"/>
      <c r="BC101" s="67">
        <v>27337385</v>
      </c>
      <c r="BD101" s="67"/>
      <c r="BE101" s="67">
        <f t="shared" si="65"/>
        <v>33539</v>
      </c>
      <c r="BF101" s="67"/>
      <c r="BG101" s="156">
        <f t="shared" si="66"/>
        <v>5.460545810363298E-2</v>
      </c>
      <c r="BH101" s="67"/>
      <c r="BI101" s="183"/>
      <c r="BJ101" s="67"/>
      <c r="BK101" s="67"/>
      <c r="BL101" s="67"/>
      <c r="BM101" s="156"/>
      <c r="BN101" s="66">
        <f t="shared" si="67"/>
        <v>297145.48913043475</v>
      </c>
      <c r="BO101" s="67"/>
      <c r="BP101" s="67">
        <f t="shared" si="68"/>
        <v>2026662</v>
      </c>
      <c r="BQ101" s="67"/>
      <c r="BR101" s="74">
        <f t="shared" si="69"/>
        <v>7.4135181547174314E-2</v>
      </c>
      <c r="BS101" s="67"/>
      <c r="BT101" s="86"/>
      <c r="BU101" s="183"/>
      <c r="BV101" s="1"/>
      <c r="BW101">
        <f t="shared" si="53"/>
        <v>92</v>
      </c>
    </row>
    <row r="102" spans="2:75" x14ac:dyDescent="0.3">
      <c r="B102" s="476">
        <f t="shared" si="52"/>
        <v>44002</v>
      </c>
      <c r="C102" s="61"/>
      <c r="D102" s="17">
        <v>33338</v>
      </c>
      <c r="E102" s="16"/>
      <c r="F102" s="16"/>
      <c r="G102" s="16"/>
      <c r="H102" s="16">
        <f t="shared" si="54"/>
        <v>2333378</v>
      </c>
      <c r="I102" s="16"/>
      <c r="J102" s="38">
        <f t="shared" si="55"/>
        <v>1.4494530529903828E-2</v>
      </c>
      <c r="K102" s="16"/>
      <c r="L102" s="16"/>
      <c r="M102" s="16"/>
      <c r="N102" s="16"/>
      <c r="O102" s="16">
        <f t="shared" si="56"/>
        <v>25090.086021505376</v>
      </c>
      <c r="P102" s="41"/>
      <c r="Q102" s="17"/>
      <c r="R102" s="16"/>
      <c r="S102" s="60"/>
      <c r="T102" s="16"/>
      <c r="U102" s="41"/>
      <c r="V102" s="10"/>
      <c r="W102" s="34">
        <v>573</v>
      </c>
      <c r="X102" s="33"/>
      <c r="Y102" s="33"/>
      <c r="Z102" s="33"/>
      <c r="AA102" s="33">
        <f t="shared" si="57"/>
        <v>124657</v>
      </c>
      <c r="AB102" s="33"/>
      <c r="AC102" s="46">
        <f t="shared" si="58"/>
        <v>5.3423405894801441E-2</v>
      </c>
      <c r="AD102" s="33"/>
      <c r="AE102" s="33">
        <f t="shared" si="59"/>
        <v>1340.3978494623657</v>
      </c>
      <c r="AF102" s="50"/>
      <c r="AG102" s="33"/>
      <c r="AH102" s="33"/>
      <c r="AI102" s="231"/>
      <c r="AJ102" s="50"/>
      <c r="AK102" s="10"/>
      <c r="AL102" s="23">
        <f t="shared" si="60"/>
        <v>16880</v>
      </c>
      <c r="AM102" s="24"/>
      <c r="AN102" s="24"/>
      <c r="AO102" s="24">
        <v>178263</v>
      </c>
      <c r="AP102" s="24">
        <v>972941</v>
      </c>
      <c r="AQ102" s="24"/>
      <c r="AR102" s="25">
        <f t="shared" si="61"/>
        <v>1.7655777194133009E-2</v>
      </c>
      <c r="AS102" s="25"/>
      <c r="AT102" s="25"/>
      <c r="AU102" s="24"/>
      <c r="AV102" s="341">
        <f t="shared" si="62"/>
        <v>0.41696673235112358</v>
      </c>
      <c r="AW102" s="341"/>
      <c r="AX102" s="24">
        <f t="shared" si="63"/>
        <v>10461.731182795698</v>
      </c>
      <c r="AY102" s="351"/>
      <c r="AZ102" s="10"/>
      <c r="BA102" s="66">
        <f t="shared" si="64"/>
        <v>638478</v>
      </c>
      <c r="BB102" s="67"/>
      <c r="BC102" s="67">
        <v>27975863</v>
      </c>
      <c r="BD102" s="67"/>
      <c r="BE102" s="67">
        <f t="shared" si="65"/>
        <v>33338</v>
      </c>
      <c r="BF102" s="67"/>
      <c r="BG102" s="156">
        <f t="shared" si="66"/>
        <v>5.2214798317248207E-2</v>
      </c>
      <c r="BH102" s="67"/>
      <c r="BI102" s="183"/>
      <c r="BJ102" s="67"/>
      <c r="BK102" s="67"/>
      <c r="BL102" s="67"/>
      <c r="BM102" s="156"/>
      <c r="BN102" s="66">
        <f t="shared" si="67"/>
        <v>300815.73118279572</v>
      </c>
      <c r="BO102" s="67"/>
      <c r="BP102" s="67">
        <f t="shared" si="68"/>
        <v>2060000</v>
      </c>
      <c r="BQ102" s="67"/>
      <c r="BR102" s="74">
        <f t="shared" si="69"/>
        <v>7.3634904488916034E-2</v>
      </c>
      <c r="BS102" s="67"/>
      <c r="BT102" s="86"/>
      <c r="BU102" s="183"/>
      <c r="BV102" s="1"/>
      <c r="BW102">
        <f t="shared" si="53"/>
        <v>93</v>
      </c>
    </row>
    <row r="103" spans="2:75" x14ac:dyDescent="0.3">
      <c r="B103" s="390">
        <f t="shared" si="52"/>
        <v>44003</v>
      </c>
      <c r="C103" s="61"/>
      <c r="D103" s="17">
        <v>26079</v>
      </c>
      <c r="E103" s="16"/>
      <c r="F103" s="16"/>
      <c r="G103" s="16"/>
      <c r="H103" s="16">
        <f t="shared" si="54"/>
        <v>2359457</v>
      </c>
      <c r="I103" s="16"/>
      <c r="J103" s="38">
        <f t="shared" si="55"/>
        <v>1.1176500335565005E-2</v>
      </c>
      <c r="K103" s="16"/>
      <c r="L103" s="16"/>
      <c r="M103" s="16"/>
      <c r="N103" s="16"/>
      <c r="O103" s="16">
        <f t="shared" si="56"/>
        <v>25100.606382978724</v>
      </c>
      <c r="P103" s="41"/>
      <c r="Q103" s="17">
        <f>SUM(D97:D103)</f>
        <v>192967</v>
      </c>
      <c r="R103" s="16"/>
      <c r="S103" s="60">
        <f>+(Q103-Q96)/Q96</f>
        <v>0.24672597703822871</v>
      </c>
      <c r="T103" s="16"/>
      <c r="U103" s="41"/>
      <c r="V103" s="391"/>
      <c r="W103" s="34">
        <v>267</v>
      </c>
      <c r="X103" s="33"/>
      <c r="Y103" s="33"/>
      <c r="Z103" s="33"/>
      <c r="AA103" s="33">
        <f t="shared" si="57"/>
        <v>124924</v>
      </c>
      <c r="AB103" s="33"/>
      <c r="AC103" s="46">
        <f t="shared" si="58"/>
        <v>5.2946080390530531E-2</v>
      </c>
      <c r="AD103" s="33"/>
      <c r="AE103" s="33">
        <f t="shared" si="59"/>
        <v>1328.9787234042553</v>
      </c>
      <c r="AF103" s="50"/>
      <c r="AG103" s="33">
        <f>SUM(W97:W103)</f>
        <v>4386</v>
      </c>
      <c r="AH103" s="33"/>
      <c r="AI103" s="231">
        <f>+(AG103-AG96)/AG96</f>
        <v>-0.18611987381703471</v>
      </c>
      <c r="AJ103" s="50"/>
      <c r="AK103" s="391"/>
      <c r="AL103" s="23">
        <f t="shared" si="60"/>
        <v>7414</v>
      </c>
      <c r="AM103" s="24"/>
      <c r="AN103" s="24"/>
      <c r="AO103" s="24">
        <v>178263</v>
      </c>
      <c r="AP103" s="24">
        <v>980355</v>
      </c>
      <c r="AQ103" s="24"/>
      <c r="AR103" s="25">
        <f t="shared" si="61"/>
        <v>7.620194852514181E-3</v>
      </c>
      <c r="AS103" s="25"/>
      <c r="AT103" s="25"/>
      <c r="AU103" s="24"/>
      <c r="AV103" s="341">
        <f t="shared" si="62"/>
        <v>0.41550026128893214</v>
      </c>
      <c r="AW103" s="341"/>
      <c r="AX103" s="24">
        <f t="shared" si="63"/>
        <v>10429.308510638299</v>
      </c>
      <c r="AY103" s="351"/>
      <c r="AZ103" s="391"/>
      <c r="BA103" s="66">
        <f t="shared" si="64"/>
        <v>516127</v>
      </c>
      <c r="BB103" s="67"/>
      <c r="BC103" s="67">
        <v>28491990</v>
      </c>
      <c r="BD103" s="67"/>
      <c r="BE103" s="67">
        <f t="shared" si="65"/>
        <v>26079</v>
      </c>
      <c r="BF103" s="67"/>
      <c r="BG103" s="156">
        <f t="shared" si="66"/>
        <v>5.0528261455029477E-2</v>
      </c>
      <c r="BH103" s="67"/>
      <c r="BI103" s="183"/>
      <c r="BJ103" s="67"/>
      <c r="BK103" s="67">
        <f>SUM(BA97:BA103)</f>
        <v>3701059</v>
      </c>
      <c r="BL103" s="67"/>
      <c r="BM103" s="156">
        <f>+Q103/BK103</f>
        <v>5.2138320410455491E-2</v>
      </c>
      <c r="BN103" s="66">
        <f t="shared" si="67"/>
        <v>303106.27659574465</v>
      </c>
      <c r="BO103" s="67"/>
      <c r="BP103" s="67">
        <f t="shared" si="68"/>
        <v>2086079</v>
      </c>
      <c r="BQ103" s="67"/>
      <c r="BR103" s="478">
        <f t="shared" si="69"/>
        <v>7.3216332028756145E-2</v>
      </c>
      <c r="BS103" s="67"/>
      <c r="BT103" s="86"/>
      <c r="BU103" s="183"/>
      <c r="BV103" s="1"/>
      <c r="BW103">
        <f t="shared" si="53"/>
        <v>94</v>
      </c>
    </row>
    <row r="104" spans="2:75" x14ac:dyDescent="0.3">
      <c r="B104" s="171">
        <f t="shared" si="52"/>
        <v>44004</v>
      </c>
      <c r="C104" s="61"/>
      <c r="D104" s="17">
        <v>31496</v>
      </c>
      <c r="E104" s="16"/>
      <c r="F104" s="16"/>
      <c r="G104" s="16"/>
      <c r="H104" s="16">
        <f t="shared" si="54"/>
        <v>2390953</v>
      </c>
      <c r="I104" s="16"/>
      <c r="J104" s="38">
        <f t="shared" si="55"/>
        <v>1.3348834074958772E-2</v>
      </c>
      <c r="K104" s="16"/>
      <c r="L104" s="16"/>
      <c r="M104" s="16"/>
      <c r="N104" s="16"/>
      <c r="O104" s="16">
        <f t="shared" si="56"/>
        <v>25167.926315789475</v>
      </c>
      <c r="P104" s="41"/>
      <c r="Q104" s="17"/>
      <c r="R104" s="16"/>
      <c r="S104" s="60"/>
      <c r="T104" s="16"/>
      <c r="U104" s="41"/>
      <c r="V104" s="10"/>
      <c r="W104" s="34">
        <v>363</v>
      </c>
      <c r="X104" s="33"/>
      <c r="Y104" s="33"/>
      <c r="Z104" s="33"/>
      <c r="AA104" s="33">
        <f t="shared" si="57"/>
        <v>125287</v>
      </c>
      <c r="AB104" s="33"/>
      <c r="AC104" s="46">
        <f t="shared" si="58"/>
        <v>5.2400444508946854E-2</v>
      </c>
      <c r="AD104" s="33"/>
      <c r="AE104" s="33">
        <f t="shared" si="59"/>
        <v>1318.8105263157895</v>
      </c>
      <c r="AF104" s="50"/>
      <c r="AG104" s="33"/>
      <c r="AH104" s="33"/>
      <c r="AI104" s="231"/>
      <c r="AJ104" s="50"/>
      <c r="AK104" s="10"/>
      <c r="AL104" s="23">
        <f t="shared" si="60"/>
        <v>22574</v>
      </c>
      <c r="AM104" s="24"/>
      <c r="AN104" s="24"/>
      <c r="AO104" s="24">
        <v>178263</v>
      </c>
      <c r="AP104" s="24">
        <v>1002929</v>
      </c>
      <c r="AQ104" s="24"/>
      <c r="AR104" s="25">
        <f t="shared" si="61"/>
        <v>2.3026352698767284E-2</v>
      </c>
      <c r="AS104" s="25"/>
      <c r="AT104" s="25"/>
      <c r="AU104" s="24"/>
      <c r="AV104" s="341">
        <f t="shared" si="62"/>
        <v>0.41946830406118396</v>
      </c>
      <c r="AW104" s="341"/>
      <c r="AX104" s="24">
        <f t="shared" si="63"/>
        <v>10557.147368421052</v>
      </c>
      <c r="AY104" s="351"/>
      <c r="AZ104" s="10"/>
      <c r="BA104" s="66">
        <f t="shared" si="64"/>
        <v>521192</v>
      </c>
      <c r="BB104" s="67"/>
      <c r="BC104" s="67">
        <v>29013182</v>
      </c>
      <c r="BD104" s="67"/>
      <c r="BE104" s="67">
        <f t="shared" si="65"/>
        <v>31496</v>
      </c>
      <c r="BF104" s="67"/>
      <c r="BG104" s="156">
        <f t="shared" si="66"/>
        <v>6.0430704999309276E-2</v>
      </c>
      <c r="BH104" s="67"/>
      <c r="BI104" s="183"/>
      <c r="BJ104" s="67"/>
      <c r="BK104" s="67"/>
      <c r="BL104" s="67"/>
      <c r="BM104" s="156"/>
      <c r="BN104" s="66">
        <f t="shared" si="67"/>
        <v>305401.91578947369</v>
      </c>
      <c r="BO104" s="67"/>
      <c r="BP104" s="67">
        <f t="shared" si="68"/>
        <v>2117575</v>
      </c>
      <c r="BQ104" s="67"/>
      <c r="BR104" s="478">
        <f t="shared" si="69"/>
        <v>7.2986651377983977E-2</v>
      </c>
      <c r="BS104" s="67"/>
      <c r="BT104" s="86"/>
      <c r="BU104" s="183"/>
      <c r="BV104" s="1"/>
      <c r="BW104">
        <f t="shared" si="53"/>
        <v>95</v>
      </c>
    </row>
    <row r="105" spans="2:75" x14ac:dyDescent="0.3">
      <c r="B105" s="171">
        <f t="shared" si="52"/>
        <v>44005</v>
      </c>
      <c r="C105" s="61"/>
      <c r="D105" s="17">
        <v>36038</v>
      </c>
      <c r="E105" s="16"/>
      <c r="F105" s="16"/>
      <c r="G105" s="16"/>
      <c r="H105" s="16">
        <f t="shared" si="54"/>
        <v>2426991</v>
      </c>
      <c r="I105" s="16"/>
      <c r="J105" s="38">
        <f t="shared" si="55"/>
        <v>1.5072650947132796E-2</v>
      </c>
      <c r="K105" s="16"/>
      <c r="L105" s="16"/>
      <c r="M105" s="16"/>
      <c r="N105" s="16"/>
      <c r="O105" s="16">
        <f t="shared" si="56"/>
        <v>25281.15625</v>
      </c>
      <c r="P105" s="41"/>
      <c r="Q105" s="17"/>
      <c r="R105" s="16"/>
      <c r="S105" s="60"/>
      <c r="T105" s="16"/>
      <c r="U105" s="41"/>
      <c r="V105" s="10"/>
      <c r="W105" s="34">
        <v>871</v>
      </c>
      <c r="X105" s="33"/>
      <c r="Y105" s="33"/>
      <c r="Z105" s="33"/>
      <c r="AA105" s="33">
        <f t="shared" si="57"/>
        <v>126158</v>
      </c>
      <c r="AB105" s="33"/>
      <c r="AC105" s="46">
        <f t="shared" si="58"/>
        <v>5.1981239320623769E-2</v>
      </c>
      <c r="AD105" s="33"/>
      <c r="AE105" s="33">
        <f t="shared" si="59"/>
        <v>1314.1458333333333</v>
      </c>
      <c r="AF105" s="50"/>
      <c r="AG105" s="33"/>
      <c r="AH105" s="33"/>
      <c r="AI105" s="231"/>
      <c r="AJ105" s="50"/>
      <c r="AK105" s="10"/>
      <c r="AL105" s="23">
        <f t="shared" si="60"/>
        <v>17452</v>
      </c>
      <c r="AM105" s="24"/>
      <c r="AN105" s="24"/>
      <c r="AO105" s="24">
        <v>178263</v>
      </c>
      <c r="AP105" s="24">
        <v>1020381</v>
      </c>
      <c r="AQ105" s="24"/>
      <c r="AR105" s="25">
        <f t="shared" si="61"/>
        <v>1.7401032376170196E-2</v>
      </c>
      <c r="AS105" s="25"/>
      <c r="AT105" s="25"/>
      <c r="AU105" s="24"/>
      <c r="AV105" s="341">
        <f t="shared" si="62"/>
        <v>0.42043048367299263</v>
      </c>
      <c r="AW105" s="341"/>
      <c r="AX105" s="24">
        <f t="shared" si="63"/>
        <v>10628.96875</v>
      </c>
      <c r="AY105" s="351"/>
      <c r="AZ105" s="10"/>
      <c r="BA105" s="66">
        <f t="shared" si="64"/>
        <v>539508</v>
      </c>
      <c r="BB105" s="67"/>
      <c r="BC105" s="67">
        <v>29552690</v>
      </c>
      <c r="BD105" s="67"/>
      <c r="BE105" s="67">
        <f t="shared" si="65"/>
        <v>36038</v>
      </c>
      <c r="BF105" s="67"/>
      <c r="BG105" s="156">
        <f t="shared" si="66"/>
        <v>6.6797897343505566E-2</v>
      </c>
      <c r="BH105" s="67"/>
      <c r="BI105" s="183"/>
      <c r="BJ105" s="67"/>
      <c r="BK105" s="67"/>
      <c r="BL105" s="67"/>
      <c r="BM105" s="156"/>
      <c r="BN105" s="66">
        <f t="shared" si="67"/>
        <v>307840.52083333331</v>
      </c>
      <c r="BO105" s="67"/>
      <c r="BP105" s="67">
        <f t="shared" si="68"/>
        <v>2153613</v>
      </c>
      <c r="BQ105" s="67"/>
      <c r="BR105" s="478">
        <f t="shared" si="69"/>
        <v>7.2873670721683881E-2</v>
      </c>
      <c r="BS105" s="67"/>
      <c r="BT105" s="86"/>
      <c r="BU105" s="183"/>
      <c r="BV105" s="1"/>
      <c r="BW105">
        <f t="shared" si="53"/>
        <v>96</v>
      </c>
    </row>
    <row r="106" spans="2:75" x14ac:dyDescent="0.3">
      <c r="B106" s="171">
        <f t="shared" si="52"/>
        <v>44006</v>
      </c>
      <c r="C106" s="61"/>
      <c r="D106" s="17">
        <v>38412</v>
      </c>
      <c r="E106" s="16"/>
      <c r="F106" s="16"/>
      <c r="G106" s="16"/>
      <c r="H106" s="16">
        <f t="shared" si="54"/>
        <v>2465403</v>
      </c>
      <c r="I106" s="16"/>
      <c r="J106" s="38">
        <f t="shared" si="55"/>
        <v>1.5827005538957498E-2</v>
      </c>
      <c r="K106" s="16"/>
      <c r="L106" s="16"/>
      <c r="M106" s="16"/>
      <c r="N106" s="16"/>
      <c r="O106" s="16">
        <f t="shared" si="56"/>
        <v>25416.525773195877</v>
      </c>
      <c r="P106" s="41"/>
      <c r="Q106" s="17"/>
      <c r="R106" s="16"/>
      <c r="S106" s="60"/>
      <c r="T106" s="16"/>
      <c r="U106" s="41"/>
      <c r="V106" s="10"/>
      <c r="W106" s="34">
        <v>819</v>
      </c>
      <c r="X106" s="33"/>
      <c r="Y106" s="33"/>
      <c r="Z106" s="33"/>
      <c r="AA106" s="33">
        <f t="shared" si="57"/>
        <v>126977</v>
      </c>
      <c r="AB106" s="33"/>
      <c r="AC106" s="46">
        <f t="shared" si="58"/>
        <v>5.1503547290240176E-2</v>
      </c>
      <c r="AD106" s="33"/>
      <c r="AE106" s="33">
        <f t="shared" si="59"/>
        <v>1309.0412371134021</v>
      </c>
      <c r="AF106" s="50"/>
      <c r="AG106" s="33"/>
      <c r="AH106" s="33"/>
      <c r="AI106" s="231"/>
      <c r="AJ106" s="50"/>
      <c r="AK106" s="10"/>
      <c r="AL106" s="23">
        <f t="shared" si="60"/>
        <v>20224</v>
      </c>
      <c r="AM106" s="24"/>
      <c r="AN106" s="24"/>
      <c r="AO106" s="24">
        <v>178263</v>
      </c>
      <c r="AP106" s="24">
        <v>1040605</v>
      </c>
      <c r="AQ106" s="24"/>
      <c r="AR106" s="25">
        <f t="shared" si="61"/>
        <v>1.9820047609667369E-2</v>
      </c>
      <c r="AS106" s="25"/>
      <c r="AT106" s="25"/>
      <c r="AU106" s="24"/>
      <c r="AV106" s="341">
        <f t="shared" si="62"/>
        <v>0.42208312393551883</v>
      </c>
      <c r="AW106" s="341"/>
      <c r="AX106" s="24">
        <f t="shared" si="63"/>
        <v>10727.886597938144</v>
      </c>
      <c r="AY106" s="351"/>
      <c r="AZ106" s="10"/>
      <c r="BA106" s="66">
        <f t="shared" si="64"/>
        <v>507174</v>
      </c>
      <c r="BB106" s="67"/>
      <c r="BC106" s="67">
        <f>30059864</f>
        <v>30059864</v>
      </c>
      <c r="BD106" s="67"/>
      <c r="BE106" s="67">
        <f t="shared" si="65"/>
        <v>38412</v>
      </c>
      <c r="BF106" s="67"/>
      <c r="BG106" s="156">
        <f t="shared" si="66"/>
        <v>7.5737320919447765E-2</v>
      </c>
      <c r="BH106" s="67"/>
      <c r="BI106" s="183"/>
      <c r="BJ106" s="67"/>
      <c r="BK106" s="67"/>
      <c r="BL106" s="67"/>
      <c r="BM106" s="156"/>
      <c r="BN106" s="66">
        <f t="shared" si="67"/>
        <v>309895.50515463919</v>
      </c>
      <c r="BO106" s="67"/>
      <c r="BP106" s="67">
        <f t="shared" si="68"/>
        <v>2192025</v>
      </c>
      <c r="BQ106" s="67"/>
      <c r="BR106" s="478">
        <f t="shared" si="69"/>
        <v>7.2921986606459696E-2</v>
      </c>
      <c r="BS106" s="67"/>
      <c r="BT106" s="86"/>
      <c r="BU106" s="183"/>
      <c r="BV106" s="1"/>
      <c r="BW106">
        <f t="shared" si="53"/>
        <v>97</v>
      </c>
    </row>
    <row r="107" spans="2:75" x14ac:dyDescent="0.3">
      <c r="B107" s="171">
        <f t="shared" si="52"/>
        <v>44007</v>
      </c>
      <c r="C107" s="61"/>
      <c r="D107" s="17">
        <v>40212</v>
      </c>
      <c r="E107" s="16"/>
      <c r="F107" s="16"/>
      <c r="G107" s="16"/>
      <c r="H107" s="16">
        <f t="shared" si="54"/>
        <v>2505615</v>
      </c>
      <c r="I107" s="16"/>
      <c r="J107" s="38">
        <f t="shared" si="55"/>
        <v>1.6310517996449263E-2</v>
      </c>
      <c r="K107" s="16"/>
      <c r="L107" s="16"/>
      <c r="M107" s="16"/>
      <c r="N107" s="16"/>
      <c r="O107" s="16">
        <f t="shared" si="56"/>
        <v>25567.5</v>
      </c>
      <c r="P107" s="41"/>
      <c r="Q107" s="17"/>
      <c r="R107" s="16"/>
      <c r="S107" s="60"/>
      <c r="T107" s="16"/>
      <c r="U107" s="41"/>
      <c r="V107" s="10"/>
      <c r="W107" s="34">
        <v>653</v>
      </c>
      <c r="X107" s="33"/>
      <c r="Y107" s="33"/>
      <c r="Z107" s="33"/>
      <c r="AA107" s="33">
        <f t="shared" si="57"/>
        <v>127630</v>
      </c>
      <c r="AB107" s="33"/>
      <c r="AC107" s="46">
        <f t="shared" si="58"/>
        <v>5.0937594163508758E-2</v>
      </c>
      <c r="AD107" s="33"/>
      <c r="AE107" s="33">
        <f t="shared" si="59"/>
        <v>1302.3469387755101</v>
      </c>
      <c r="AF107" s="50"/>
      <c r="AG107" s="33"/>
      <c r="AH107" s="33"/>
      <c r="AI107" s="231"/>
      <c r="AJ107" s="50"/>
      <c r="AK107" s="10"/>
      <c r="AL107" s="23">
        <f t="shared" si="60"/>
        <v>11688</v>
      </c>
      <c r="AM107" s="24"/>
      <c r="AN107" s="24"/>
      <c r="AO107" s="24">
        <v>178263</v>
      </c>
      <c r="AP107" s="24">
        <v>1052293</v>
      </c>
      <c r="AQ107" s="24"/>
      <c r="AR107" s="25">
        <f t="shared" si="61"/>
        <v>1.1231927580590138E-2</v>
      </c>
      <c r="AS107" s="25"/>
      <c r="AT107" s="25"/>
      <c r="AU107" s="24"/>
      <c r="AV107" s="341">
        <f t="shared" si="62"/>
        <v>0.41997393853405252</v>
      </c>
      <c r="AW107" s="341"/>
      <c r="AX107" s="24">
        <f t="shared" si="63"/>
        <v>10737.683673469388</v>
      </c>
      <c r="AY107" s="351"/>
      <c r="AZ107" s="10"/>
      <c r="BA107" s="66">
        <f t="shared" si="64"/>
        <v>672688</v>
      </c>
      <c r="BB107" s="67"/>
      <c r="BC107" s="67">
        <v>30732552</v>
      </c>
      <c r="BD107" s="67"/>
      <c r="BE107" s="67">
        <f t="shared" si="65"/>
        <v>40212</v>
      </c>
      <c r="BF107" s="67"/>
      <c r="BG107" s="156">
        <f t="shared" si="66"/>
        <v>5.9778084342221059E-2</v>
      </c>
      <c r="BH107" s="67"/>
      <c r="BI107" s="183"/>
      <c r="BJ107" s="67"/>
      <c r="BK107" s="67"/>
      <c r="BL107" s="67"/>
      <c r="BM107" s="156"/>
      <c r="BN107" s="66">
        <f t="shared" si="67"/>
        <v>313597.46938775509</v>
      </c>
      <c r="BO107" s="67"/>
      <c r="BP107" s="67">
        <f t="shared" si="68"/>
        <v>2232237</v>
      </c>
      <c r="BQ107" s="67"/>
      <c r="BR107" s="478">
        <f t="shared" si="69"/>
        <v>7.2634286928075484E-2</v>
      </c>
      <c r="BS107" s="67"/>
      <c r="BT107" s="86"/>
      <c r="BU107" s="183"/>
      <c r="BV107" s="1"/>
      <c r="BW107">
        <f t="shared" si="53"/>
        <v>98</v>
      </c>
    </row>
    <row r="108" spans="2:75" x14ac:dyDescent="0.3">
      <c r="B108" s="171">
        <f t="shared" si="52"/>
        <v>44008</v>
      </c>
      <c r="C108" s="61"/>
      <c r="D108" s="17">
        <v>47341</v>
      </c>
      <c r="E108" s="16"/>
      <c r="F108" s="16"/>
      <c r="G108" s="16"/>
      <c r="H108" s="16">
        <f t="shared" si="54"/>
        <v>2552956</v>
      </c>
      <c r="I108" s="16"/>
      <c r="J108" s="38">
        <f t="shared" si="55"/>
        <v>1.8893964156504493E-2</v>
      </c>
      <c r="K108" s="16"/>
      <c r="L108" s="16"/>
      <c r="M108" s="16"/>
      <c r="N108" s="16"/>
      <c r="O108" s="16">
        <f t="shared" si="56"/>
        <v>25787.434343434343</v>
      </c>
      <c r="P108" s="41"/>
      <c r="Q108" s="17"/>
      <c r="R108" s="16"/>
      <c r="S108" s="60"/>
      <c r="T108" s="16"/>
      <c r="U108" s="41"/>
      <c r="W108" s="34">
        <v>663</v>
      </c>
      <c r="X108" s="33"/>
      <c r="Y108" s="33"/>
      <c r="Z108" s="33"/>
      <c r="AA108" s="33">
        <f t="shared" si="57"/>
        <v>128293</v>
      </c>
      <c r="AB108" s="33"/>
      <c r="AC108" s="46">
        <f t="shared" si="58"/>
        <v>5.0252726643154055E-2</v>
      </c>
      <c r="AD108" s="33"/>
      <c r="AE108" s="33">
        <f t="shared" si="59"/>
        <v>1295.8888888888889</v>
      </c>
      <c r="AF108" s="50"/>
      <c r="AG108" s="33"/>
      <c r="AH108" s="33"/>
      <c r="AI108" s="231"/>
      <c r="AJ108" s="50"/>
      <c r="AK108" s="10"/>
      <c r="AL108" s="23">
        <f t="shared" si="60"/>
        <v>16410</v>
      </c>
      <c r="AM108" s="24"/>
      <c r="AN108" s="24"/>
      <c r="AO108" s="24">
        <v>178263</v>
      </c>
      <c r="AP108" s="24">
        <v>1068703</v>
      </c>
      <c r="AQ108" s="24"/>
      <c r="AR108" s="25">
        <f t="shared" si="61"/>
        <v>1.55945159760637E-2</v>
      </c>
      <c r="AS108" s="25"/>
      <c r="AT108" s="25"/>
      <c r="AU108" s="24"/>
      <c r="AV108" s="341">
        <f t="shared" si="62"/>
        <v>0.41861395182682348</v>
      </c>
      <c r="AW108" s="341"/>
      <c r="AX108" s="24">
        <f t="shared" si="63"/>
        <v>10794.979797979799</v>
      </c>
      <c r="AY108" s="351"/>
      <c r="AZ108" s="10"/>
      <c r="BA108" s="66">
        <f t="shared" si="64"/>
        <v>619948</v>
      </c>
      <c r="BB108" s="67"/>
      <c r="BC108" s="67">
        <v>31352500</v>
      </c>
      <c r="BD108" s="67"/>
      <c r="BE108" s="67">
        <f t="shared" si="65"/>
        <v>47341</v>
      </c>
      <c r="BF108" s="67"/>
      <c r="BG108" s="156">
        <f t="shared" si="66"/>
        <v>7.6362856239555577E-2</v>
      </c>
      <c r="BH108" s="67"/>
      <c r="BI108" s="183"/>
      <c r="BJ108" s="67"/>
      <c r="BK108" s="67"/>
      <c r="BL108" s="67"/>
      <c r="BM108" s="156"/>
      <c r="BN108" s="66">
        <f t="shared" si="67"/>
        <v>316691.91919191921</v>
      </c>
      <c r="BO108" s="67"/>
      <c r="BP108" s="67">
        <f t="shared" si="68"/>
        <v>2279578</v>
      </c>
      <c r="BQ108" s="67"/>
      <c r="BR108" s="478">
        <f t="shared" si="69"/>
        <v>7.2708013715014758E-2</v>
      </c>
      <c r="BS108" s="67"/>
      <c r="BT108" s="86"/>
      <c r="BU108" s="183"/>
      <c r="BV108" s="1"/>
      <c r="BW108">
        <f t="shared" si="53"/>
        <v>99</v>
      </c>
    </row>
    <row r="109" spans="2:75" x14ac:dyDescent="0.3">
      <c r="B109" s="171">
        <f t="shared" si="52"/>
        <v>44009</v>
      </c>
      <c r="C109" s="61"/>
      <c r="D109" s="17">
        <v>43581</v>
      </c>
      <c r="E109" s="16"/>
      <c r="F109" s="16"/>
      <c r="G109" s="16"/>
      <c r="H109" s="16">
        <f>+H108+D109</f>
        <v>2596537</v>
      </c>
      <c r="I109" s="16"/>
      <c r="J109" s="38">
        <f t="shared" ref="J109:J126" si="70">+D109/H108</f>
        <v>1.7070799496740251E-2</v>
      </c>
      <c r="K109" s="16"/>
      <c r="L109" s="16"/>
      <c r="M109" s="16"/>
      <c r="N109" s="16"/>
      <c r="O109" s="16">
        <f t="shared" ref="O109:O126" si="71">+H109/BW109</f>
        <v>25965.37</v>
      </c>
      <c r="P109" s="41"/>
      <c r="Q109" s="17"/>
      <c r="R109" s="16"/>
      <c r="S109" s="60"/>
      <c r="T109" s="16"/>
      <c r="U109" s="41"/>
      <c r="V109" s="10">
        <v>1</v>
      </c>
      <c r="W109" s="34">
        <v>512</v>
      </c>
      <c r="X109" s="33"/>
      <c r="Y109" s="33"/>
      <c r="Z109" s="33"/>
      <c r="AA109" s="33">
        <f t="shared" ref="AA109:AA126" si="72">+AA108+W109</f>
        <v>128805</v>
      </c>
      <c r="AB109" s="33"/>
      <c r="AC109" s="46">
        <f t="shared" ref="AC109:AC126" si="73">+AA109/H109</f>
        <v>4.9606456599694128E-2</v>
      </c>
      <c r="AD109" s="33"/>
      <c r="AE109" s="33">
        <f t="shared" ref="AE109:AE126" si="74">+AA109/BW109</f>
        <v>1288.05</v>
      </c>
      <c r="AF109" s="50"/>
      <c r="AG109" s="33"/>
      <c r="AH109" s="33"/>
      <c r="AI109" s="231"/>
      <c r="AJ109" s="50"/>
      <c r="AK109" s="10"/>
      <c r="AL109" s="23">
        <f t="shared" ref="AL109:AL126" si="75">+AP109-AP108</f>
        <v>12734</v>
      </c>
      <c r="AM109" s="24"/>
      <c r="AN109" s="24"/>
      <c r="AO109" s="24">
        <v>178263</v>
      </c>
      <c r="AP109" s="24">
        <v>1081437</v>
      </c>
      <c r="AQ109" s="24"/>
      <c r="AR109" s="504">
        <f t="shared" ref="AR109:AR126" si="76">+AL109/AP108</f>
        <v>1.1915377799070462E-2</v>
      </c>
      <c r="AS109" s="25"/>
      <c r="AT109" s="25"/>
      <c r="AU109" s="24"/>
      <c r="AV109" s="341">
        <f t="shared" ref="AV109:AV126" si="77">+AP109/H109</f>
        <v>0.41649204305580856</v>
      </c>
      <c r="AW109" s="341"/>
      <c r="AX109" s="24">
        <f t="shared" ref="AX109:AX126" si="78">+AP109/BW109</f>
        <v>10814.37</v>
      </c>
      <c r="AY109" s="351"/>
      <c r="AZ109" s="10"/>
      <c r="BA109" s="66">
        <f t="shared" ref="BA109:BA126" si="79">+BC109-BC108</f>
        <v>645524</v>
      </c>
      <c r="BB109" s="67"/>
      <c r="BC109" s="67">
        <v>31998024</v>
      </c>
      <c r="BD109" s="67"/>
      <c r="BE109" s="67">
        <f t="shared" ref="BE109:BE126" si="80">+D109</f>
        <v>43581</v>
      </c>
      <c r="BF109" s="67"/>
      <c r="BG109" s="156">
        <f t="shared" ref="BG109:BG126" si="81">+BE109/BA109</f>
        <v>6.7512594419417399E-2</v>
      </c>
      <c r="BH109" s="67"/>
      <c r="BI109" s="183"/>
      <c r="BJ109" s="67"/>
      <c r="BK109" s="67"/>
      <c r="BL109" s="67"/>
      <c r="BM109" s="156"/>
      <c r="BN109" s="66">
        <f t="shared" ref="BN109:BN126" si="82">+BC109/BW109</f>
        <v>319980.24</v>
      </c>
      <c r="BO109" s="67"/>
      <c r="BP109" s="67">
        <f t="shared" ref="BP109:BP126" si="83">+BP108+BE109</f>
        <v>2323159</v>
      </c>
      <c r="BQ109" s="67"/>
      <c r="BR109" s="478">
        <f t="shared" ref="BR109:BR126" si="84">+BP109/BC109</f>
        <v>7.2603201997723354E-2</v>
      </c>
      <c r="BS109" s="67"/>
      <c r="BT109" s="86"/>
      <c r="BU109" s="183"/>
      <c r="BV109" s="1"/>
      <c r="BW109">
        <f t="shared" si="53"/>
        <v>100</v>
      </c>
    </row>
    <row r="110" spans="2:75" x14ac:dyDescent="0.3">
      <c r="B110" s="390">
        <f t="shared" si="52"/>
        <v>44010</v>
      </c>
      <c r="C110" s="61"/>
      <c r="D110" s="17">
        <v>40540</v>
      </c>
      <c r="E110" s="16"/>
      <c r="F110" s="16"/>
      <c r="G110" s="16"/>
      <c r="H110" s="16">
        <f>+H109+D110</f>
        <v>2637077</v>
      </c>
      <c r="I110" s="16"/>
      <c r="J110" s="38">
        <f t="shared" si="70"/>
        <v>1.5613103144688483E-2</v>
      </c>
      <c r="K110" s="16"/>
      <c r="L110" s="16"/>
      <c r="M110" s="16"/>
      <c r="N110" s="16"/>
      <c r="O110" s="16">
        <f t="shared" si="71"/>
        <v>26109.673267326732</v>
      </c>
      <c r="P110" s="41"/>
      <c r="Q110" s="17">
        <f>SUM(D104:D110)</f>
        <v>277620</v>
      </c>
      <c r="R110" s="16"/>
      <c r="S110" s="60">
        <f>+(Q110-Q103)/Q103</f>
        <v>0.43869158975368844</v>
      </c>
      <c r="T110" s="16"/>
      <c r="U110" s="41"/>
      <c r="V110" s="391">
        <f>+V109+1</f>
        <v>2</v>
      </c>
      <c r="W110" s="34">
        <v>285</v>
      </c>
      <c r="X110" s="33"/>
      <c r="Y110" s="33"/>
      <c r="Z110" s="33"/>
      <c r="AA110" s="33">
        <f t="shared" si="72"/>
        <v>129090</v>
      </c>
      <c r="AB110" s="33"/>
      <c r="AC110" s="46">
        <f t="shared" si="73"/>
        <v>4.8951926697627712E-2</v>
      </c>
      <c r="AD110" s="33"/>
      <c r="AE110" s="33">
        <f t="shared" si="74"/>
        <v>1278.1188118811881</v>
      </c>
      <c r="AF110" s="50"/>
      <c r="AG110" s="33">
        <f>SUM(W104:W110)</f>
        <v>4166</v>
      </c>
      <c r="AH110" s="33"/>
      <c r="AI110" s="231">
        <f>+(AG110-AG103)/AG103</f>
        <v>-5.0159598723210214E-2</v>
      </c>
      <c r="AJ110" s="50"/>
      <c r="AK110" s="391"/>
      <c r="AL110" s="23">
        <f t="shared" si="75"/>
        <v>12019</v>
      </c>
      <c r="AM110" s="24"/>
      <c r="AN110" s="24"/>
      <c r="AO110" s="24">
        <v>178263</v>
      </c>
      <c r="AP110" s="24">
        <f>1093456</f>
        <v>1093456</v>
      </c>
      <c r="AQ110" s="24"/>
      <c r="AR110" s="504">
        <f t="shared" si="76"/>
        <v>1.1113916020997988E-2</v>
      </c>
      <c r="AS110" s="25"/>
      <c r="AT110" s="25"/>
      <c r="AU110" s="24"/>
      <c r="AV110" s="341">
        <f t="shared" si="77"/>
        <v>0.41464697466171824</v>
      </c>
      <c r="AW110" s="341"/>
      <c r="AX110" s="24">
        <f t="shared" si="78"/>
        <v>10826.29702970297</v>
      </c>
      <c r="AY110" s="351"/>
      <c r="AZ110" s="391"/>
      <c r="BA110" s="66">
        <f t="shared" si="79"/>
        <v>594344</v>
      </c>
      <c r="BB110" s="67"/>
      <c r="BC110" s="67">
        <f>32592368</f>
        <v>32592368</v>
      </c>
      <c r="BD110" s="67"/>
      <c r="BE110" s="67">
        <f t="shared" si="80"/>
        <v>40540</v>
      </c>
      <c r="BF110" s="67"/>
      <c r="BG110" s="156">
        <f t="shared" si="81"/>
        <v>6.8209656360626175E-2</v>
      </c>
      <c r="BH110" s="67"/>
      <c r="BI110" s="183"/>
      <c r="BJ110" s="67"/>
      <c r="BK110" s="67">
        <f>SUM(BA104:BA110)</f>
        <v>4100378</v>
      </c>
      <c r="BL110" s="67"/>
      <c r="BM110" s="156">
        <f>+Q110/BK110</f>
        <v>6.7705952963360932E-2</v>
      </c>
      <c r="BN110" s="66">
        <f t="shared" si="82"/>
        <v>322696.71287128713</v>
      </c>
      <c r="BO110" s="67"/>
      <c r="BP110" s="67">
        <f t="shared" si="83"/>
        <v>2363699</v>
      </c>
      <c r="BQ110" s="67"/>
      <c r="BR110" s="478">
        <f t="shared" si="84"/>
        <v>7.2523082704515365E-2</v>
      </c>
      <c r="BS110" s="67"/>
      <c r="BT110" s="86"/>
      <c r="BU110" s="183"/>
      <c r="BV110" s="1"/>
      <c r="BW110">
        <f t="shared" si="53"/>
        <v>101</v>
      </c>
    </row>
    <row r="111" spans="2:75" x14ac:dyDescent="0.3">
      <c r="B111" s="171">
        <f t="shared" si="52"/>
        <v>44011</v>
      </c>
      <c r="C111" s="61"/>
      <c r="D111" s="17">
        <v>44734</v>
      </c>
      <c r="E111" s="16"/>
      <c r="F111" s="16"/>
      <c r="G111" s="16"/>
      <c r="H111" s="16">
        <f>+H110+D111</f>
        <v>2681811</v>
      </c>
      <c r="I111" s="16"/>
      <c r="J111" s="38">
        <f t="shared" si="70"/>
        <v>1.696347888211076E-2</v>
      </c>
      <c r="K111" s="16"/>
      <c r="L111" s="16"/>
      <c r="M111" s="16"/>
      <c r="N111" s="16"/>
      <c r="O111" s="16">
        <f t="shared" si="71"/>
        <v>26292.264705882353</v>
      </c>
      <c r="P111" s="41"/>
      <c r="Q111" s="17"/>
      <c r="R111" s="16"/>
      <c r="S111" s="60"/>
      <c r="T111" s="16"/>
      <c r="U111" s="41"/>
      <c r="V111" s="10">
        <f t="shared" ref="V111:V138" si="85">+V110+1</f>
        <v>3</v>
      </c>
      <c r="W111" s="34">
        <v>346</v>
      </c>
      <c r="X111" s="33"/>
      <c r="Y111" s="33"/>
      <c r="Z111" s="33"/>
      <c r="AA111" s="33">
        <f t="shared" si="72"/>
        <v>129436</v>
      </c>
      <c r="AB111" s="33"/>
      <c r="AC111" s="46">
        <f t="shared" si="73"/>
        <v>4.8264400436868964E-2</v>
      </c>
      <c r="AD111" s="33"/>
      <c r="AE111" s="33">
        <f t="shared" si="74"/>
        <v>1268.9803921568628</v>
      </c>
      <c r="AF111" s="50"/>
      <c r="AG111" s="33"/>
      <c r="AH111" s="33"/>
      <c r="AI111" s="231"/>
      <c r="AJ111" s="50"/>
      <c r="AK111" s="10"/>
      <c r="AL111" s="23">
        <f t="shared" si="75"/>
        <v>23721</v>
      </c>
      <c r="AM111" s="24"/>
      <c r="AN111" s="24"/>
      <c r="AO111" s="24">
        <v>178263</v>
      </c>
      <c r="AP111" s="24">
        <v>1117177</v>
      </c>
      <c r="AQ111" s="24"/>
      <c r="AR111" s="504">
        <f t="shared" si="76"/>
        <v>2.1693602668968848E-2</v>
      </c>
      <c r="AS111" s="25"/>
      <c r="AT111" s="25"/>
      <c r="AU111" s="24"/>
      <c r="AV111" s="341">
        <f t="shared" si="77"/>
        <v>0.41657559015158041</v>
      </c>
      <c r="AW111" s="341"/>
      <c r="AX111" s="24">
        <f t="shared" si="78"/>
        <v>10952.715686274511</v>
      </c>
      <c r="AY111" s="351"/>
      <c r="AZ111" s="10"/>
      <c r="BA111" s="66">
        <f t="shared" si="79"/>
        <v>597145</v>
      </c>
      <c r="BB111" s="67"/>
      <c r="BC111" s="67">
        <v>33189513</v>
      </c>
      <c r="BD111" s="67"/>
      <c r="BE111" s="67">
        <f t="shared" si="80"/>
        <v>44734</v>
      </c>
      <c r="BF111" s="67"/>
      <c r="BG111" s="156">
        <f t="shared" si="81"/>
        <v>7.4913128302171159E-2</v>
      </c>
      <c r="BH111" s="67"/>
      <c r="BI111" s="183"/>
      <c r="BJ111" s="67"/>
      <c r="BK111" s="67"/>
      <c r="BL111" s="67"/>
      <c r="BM111" s="156"/>
      <c r="BN111" s="66">
        <f t="shared" si="82"/>
        <v>325387.3823529412</v>
      </c>
      <c r="BO111" s="67"/>
      <c r="BP111" s="67">
        <f t="shared" si="83"/>
        <v>2408433</v>
      </c>
      <c r="BQ111" s="67"/>
      <c r="BR111" s="478">
        <f t="shared" si="84"/>
        <v>7.2566084353211213E-2</v>
      </c>
      <c r="BS111" s="67"/>
      <c r="BT111" s="86"/>
      <c r="BU111" s="183"/>
      <c r="BV111" s="1"/>
      <c r="BW111">
        <f t="shared" si="53"/>
        <v>102</v>
      </c>
    </row>
    <row r="112" spans="2:75" x14ac:dyDescent="0.3">
      <c r="B112" s="171">
        <f t="shared" si="52"/>
        <v>44012</v>
      </c>
      <c r="C112" s="61"/>
      <c r="D112" s="17">
        <v>46042</v>
      </c>
      <c r="E112" s="16"/>
      <c r="F112" s="16"/>
      <c r="G112" s="16"/>
      <c r="H112" s="16">
        <f>+H111+D112</f>
        <v>2727853</v>
      </c>
      <c r="I112" s="16"/>
      <c r="J112" s="38">
        <f t="shared" si="70"/>
        <v>1.7168249365820336E-2</v>
      </c>
      <c r="K112" s="16"/>
      <c r="L112" s="16"/>
      <c r="M112" s="16"/>
      <c r="N112" s="16"/>
      <c r="O112" s="16">
        <f t="shared" si="71"/>
        <v>26484.009708737864</v>
      </c>
      <c r="P112" s="41"/>
      <c r="Q112" s="17"/>
      <c r="R112" s="16"/>
      <c r="S112" s="60"/>
      <c r="T112" s="16"/>
      <c r="U112" s="41"/>
      <c r="V112" s="10">
        <f t="shared" si="85"/>
        <v>4</v>
      </c>
      <c r="W112" s="34">
        <v>764</v>
      </c>
      <c r="X112" s="33"/>
      <c r="Y112" s="33"/>
      <c r="Z112" s="33"/>
      <c r="AA112" s="33">
        <f t="shared" si="72"/>
        <v>130200</v>
      </c>
      <c r="AB112" s="33"/>
      <c r="AC112" s="46">
        <f t="shared" si="73"/>
        <v>4.7729844680046908E-2</v>
      </c>
      <c r="AD112" s="33"/>
      <c r="AE112" s="33">
        <f t="shared" si="74"/>
        <v>1264.0776699029127</v>
      </c>
      <c r="AF112" s="50"/>
      <c r="AG112" s="33">
        <f>SUM(W82:W112)</f>
        <v>21890</v>
      </c>
      <c r="AH112" s="33"/>
      <c r="AI112" s="231"/>
      <c r="AJ112" s="50"/>
      <c r="AK112" s="10"/>
      <c r="AL112" s="23">
        <f t="shared" si="75"/>
        <v>26157</v>
      </c>
      <c r="AM112" s="24"/>
      <c r="AN112" s="24"/>
      <c r="AO112" s="24">
        <v>178263</v>
      </c>
      <c r="AP112" s="24">
        <v>1143334</v>
      </c>
      <c r="AQ112" s="24"/>
      <c r="AR112" s="504">
        <f t="shared" si="76"/>
        <v>2.3413478795213293E-2</v>
      </c>
      <c r="AS112" s="25"/>
      <c r="AT112" s="25"/>
      <c r="AU112" s="24"/>
      <c r="AV112" s="341">
        <f t="shared" si="77"/>
        <v>0.41913328907386138</v>
      </c>
      <c r="AW112" s="341"/>
      <c r="AX112" s="24">
        <f t="shared" si="78"/>
        <v>11100.330097087379</v>
      </c>
      <c r="AY112" s="351"/>
      <c r="AZ112" s="10"/>
      <c r="BA112" s="66">
        <f t="shared" si="79"/>
        <v>1008514</v>
      </c>
      <c r="BB112" s="67"/>
      <c r="BC112" s="67">
        <v>34198027</v>
      </c>
      <c r="BD112" s="67"/>
      <c r="BE112" s="67">
        <f t="shared" si="80"/>
        <v>46042</v>
      </c>
      <c r="BF112" s="67"/>
      <c r="BG112" s="156">
        <f t="shared" si="81"/>
        <v>4.5653307737919355E-2</v>
      </c>
      <c r="BH112" s="67"/>
      <c r="BI112" s="183"/>
      <c r="BJ112" s="67"/>
      <c r="BK112" s="67"/>
      <c r="BL112" s="67"/>
      <c r="BM112" s="156"/>
      <c r="BN112" s="66">
        <f t="shared" si="82"/>
        <v>332019.67961165047</v>
      </c>
      <c r="BO112" s="67"/>
      <c r="BP112" s="67">
        <f t="shared" si="83"/>
        <v>2454475</v>
      </c>
      <c r="BQ112" s="67"/>
      <c r="BR112" s="478">
        <f t="shared" si="84"/>
        <v>7.1772415408643306E-2</v>
      </c>
      <c r="BS112" s="67"/>
      <c r="BT112" s="86"/>
      <c r="BU112" s="183"/>
      <c r="BV112" s="1"/>
      <c r="BW112">
        <f t="shared" si="53"/>
        <v>103</v>
      </c>
    </row>
    <row r="113" spans="1:75" x14ac:dyDescent="0.3">
      <c r="B113" s="171">
        <f t="shared" si="52"/>
        <v>44013</v>
      </c>
      <c r="C113" s="61"/>
      <c r="D113" s="17">
        <v>51097</v>
      </c>
      <c r="E113" s="16"/>
      <c r="F113" s="16"/>
      <c r="G113" s="16"/>
      <c r="H113" s="16">
        <f>+H112+D113</f>
        <v>2778950</v>
      </c>
      <c r="I113" s="16"/>
      <c r="J113" s="38">
        <f t="shared" si="70"/>
        <v>1.8731581210571096E-2</v>
      </c>
      <c r="K113" s="16"/>
      <c r="L113" s="16"/>
      <c r="M113" s="16"/>
      <c r="N113" s="16"/>
      <c r="O113" s="16">
        <f t="shared" si="71"/>
        <v>26720.673076923078</v>
      </c>
      <c r="P113" s="41"/>
      <c r="Q113" s="17"/>
      <c r="R113" s="16"/>
      <c r="S113" s="60"/>
      <c r="T113" s="16"/>
      <c r="U113" s="41"/>
      <c r="V113" s="10">
        <f t="shared" si="85"/>
        <v>5</v>
      </c>
      <c r="W113" s="34">
        <v>676</v>
      </c>
      <c r="X113" s="33"/>
      <c r="Y113" s="33"/>
      <c r="Z113" s="33"/>
      <c r="AA113" s="33">
        <f t="shared" si="72"/>
        <v>130876</v>
      </c>
      <c r="AB113" s="33"/>
      <c r="AC113" s="46">
        <f t="shared" si="73"/>
        <v>4.7095485705032476E-2</v>
      </c>
      <c r="AD113" s="33"/>
      <c r="AE113" s="33">
        <f t="shared" si="74"/>
        <v>1258.4230769230769</v>
      </c>
      <c r="AF113" s="50"/>
      <c r="AG113" s="33"/>
      <c r="AH113" s="33">
        <f>SUM(D83:D112)</f>
        <v>869627</v>
      </c>
      <c r="AI113" s="231"/>
      <c r="AJ113" s="50"/>
      <c r="AK113" s="10"/>
      <c r="AL113" s="23">
        <f t="shared" si="75"/>
        <v>20966</v>
      </c>
      <c r="AM113" s="24"/>
      <c r="AN113" s="24"/>
      <c r="AO113" s="24">
        <v>178263</v>
      </c>
      <c r="AP113" s="24">
        <v>1164300</v>
      </c>
      <c r="AQ113" s="24"/>
      <c r="AR113" s="504">
        <f t="shared" si="76"/>
        <v>1.8337598636968724E-2</v>
      </c>
      <c r="AS113" s="25"/>
      <c r="AT113" s="25"/>
      <c r="AU113" s="24"/>
      <c r="AV113" s="341">
        <f t="shared" si="77"/>
        <v>0.41897119415606615</v>
      </c>
      <c r="AW113" s="341"/>
      <c r="AX113" s="24">
        <f t="shared" si="78"/>
        <v>11195.192307692309</v>
      </c>
      <c r="AY113" s="351"/>
      <c r="AZ113" s="10"/>
      <c r="BA113" s="66">
        <f t="shared" si="79"/>
        <v>657615</v>
      </c>
      <c r="BB113" s="67"/>
      <c r="BC113" s="67">
        <v>34855642</v>
      </c>
      <c r="BD113" s="67"/>
      <c r="BE113" s="67">
        <f t="shared" si="80"/>
        <v>51097</v>
      </c>
      <c r="BF113" s="67"/>
      <c r="BG113" s="156">
        <f t="shared" si="81"/>
        <v>7.7700478243349066E-2</v>
      </c>
      <c r="BH113" s="67"/>
      <c r="BI113" s="183"/>
      <c r="BJ113" s="67"/>
      <c r="BK113" s="67"/>
      <c r="BL113" s="67"/>
      <c r="BM113" s="156"/>
      <c r="BN113" s="66">
        <f t="shared" si="82"/>
        <v>335150.40384615387</v>
      </c>
      <c r="BO113" s="67"/>
      <c r="BP113" s="67">
        <f t="shared" si="83"/>
        <v>2505572</v>
      </c>
      <c r="BQ113" s="67"/>
      <c r="BR113" s="478">
        <f t="shared" si="84"/>
        <v>7.1884259082073423E-2</v>
      </c>
      <c r="BS113" s="67"/>
      <c r="BT113" s="86"/>
      <c r="BU113" s="183"/>
      <c r="BV113" s="1"/>
      <c r="BW113">
        <f t="shared" si="53"/>
        <v>104</v>
      </c>
    </row>
    <row r="114" spans="1:75" x14ac:dyDescent="0.3">
      <c r="B114" s="171">
        <f t="shared" si="52"/>
        <v>44014</v>
      </c>
      <c r="C114" s="61"/>
      <c r="D114" s="17">
        <f>57232+2643</f>
        <v>59875</v>
      </c>
      <c r="E114" s="16"/>
      <c r="F114" s="16"/>
      <c r="G114" s="16"/>
      <c r="H114" s="16">
        <f>+H113+D114+2141+4101</f>
        <v>2845067</v>
      </c>
      <c r="I114" s="505" t="s">
        <v>150</v>
      </c>
      <c r="J114" s="38">
        <f t="shared" si="70"/>
        <v>2.1545907626981414E-2</v>
      </c>
      <c r="K114" s="16"/>
      <c r="L114" s="16"/>
      <c r="M114" s="16"/>
      <c r="N114" s="16"/>
      <c r="O114" s="16">
        <f t="shared" si="71"/>
        <v>27095.876190476192</v>
      </c>
      <c r="P114" s="41"/>
      <c r="Q114" s="17"/>
      <c r="R114" s="16"/>
      <c r="S114" s="60"/>
      <c r="T114" s="16"/>
      <c r="U114" s="41"/>
      <c r="V114" s="10">
        <f t="shared" si="85"/>
        <v>6</v>
      </c>
      <c r="W114" s="34">
        <f>604-30-21</f>
        <v>553</v>
      </c>
      <c r="X114" s="33"/>
      <c r="Y114" s="33"/>
      <c r="Z114" s="534" t="s">
        <v>150</v>
      </c>
      <c r="AA114" s="33">
        <f>+AA113+W114+670</f>
        <v>132099</v>
      </c>
      <c r="AB114" s="33"/>
      <c r="AC114" s="46">
        <f t="shared" si="73"/>
        <v>4.6430892488647894E-2</v>
      </c>
      <c r="AD114" s="33"/>
      <c r="AE114" s="33">
        <f t="shared" si="74"/>
        <v>1258.0857142857142</v>
      </c>
      <c r="AF114" s="50"/>
      <c r="AG114" s="33"/>
      <c r="AH114" s="33">
        <f>SUM(W83:W112)</f>
        <v>21252</v>
      </c>
      <c r="AI114" s="231"/>
      <c r="AJ114" s="50"/>
      <c r="AK114" s="10"/>
      <c r="AL114" s="23">
        <f t="shared" si="75"/>
        <v>20879</v>
      </c>
      <c r="AM114" s="24"/>
      <c r="AN114" s="24"/>
      <c r="AO114" s="24">
        <v>178263</v>
      </c>
      <c r="AP114" s="24">
        <v>1185179</v>
      </c>
      <c r="AQ114" s="24"/>
      <c r="AR114" s="504">
        <f t="shared" si="76"/>
        <v>1.7932663402903032E-2</v>
      </c>
      <c r="AS114" s="25"/>
      <c r="AT114" s="25"/>
      <c r="AU114" s="24"/>
      <c r="AV114" s="341">
        <f t="shared" si="77"/>
        <v>0.41657331795701119</v>
      </c>
      <c r="AW114" s="341"/>
      <c r="AX114" s="24">
        <f t="shared" si="78"/>
        <v>11287.419047619047</v>
      </c>
      <c r="AY114" s="351"/>
      <c r="AZ114" s="10"/>
      <c r="BA114" s="66">
        <f t="shared" si="79"/>
        <v>682358</v>
      </c>
      <c r="BB114" s="67"/>
      <c r="BC114" s="67">
        <v>35538000</v>
      </c>
      <c r="BD114" s="67"/>
      <c r="BE114" s="67">
        <f t="shared" si="80"/>
        <v>59875</v>
      </c>
      <c r="BF114" s="67"/>
      <c r="BG114" s="156">
        <f t="shared" si="81"/>
        <v>8.7747194288042341E-2</v>
      </c>
      <c r="BH114" s="67"/>
      <c r="BI114" s="183"/>
      <c r="BJ114" s="67"/>
      <c r="BK114" s="67"/>
      <c r="BL114" s="67"/>
      <c r="BM114" s="156"/>
      <c r="BN114" s="66">
        <f t="shared" si="82"/>
        <v>338457.14285714284</v>
      </c>
      <c r="BO114" s="67"/>
      <c r="BP114" s="67">
        <f t="shared" si="83"/>
        <v>2565447</v>
      </c>
      <c r="BQ114" s="67"/>
      <c r="BR114" s="478">
        <f t="shared" si="84"/>
        <v>7.2188840114806682E-2</v>
      </c>
      <c r="BS114" s="67"/>
      <c r="BT114" s="86"/>
      <c r="BU114" s="183"/>
      <c r="BV114" s="1"/>
      <c r="BW114">
        <f t="shared" si="53"/>
        <v>105</v>
      </c>
    </row>
    <row r="115" spans="1:75" x14ac:dyDescent="0.3">
      <c r="B115" s="171">
        <f t="shared" si="52"/>
        <v>44015</v>
      </c>
      <c r="C115" s="61"/>
      <c r="D115" s="17">
        <f>54904+3187</f>
        <v>58091</v>
      </c>
      <c r="E115" s="16"/>
      <c r="F115" s="16"/>
      <c r="G115" s="16"/>
      <c r="H115" s="16">
        <f t="shared" ref="H115:H126" si="86">+H114+D115</f>
        <v>2903158</v>
      </c>
      <c r="I115" s="505" t="s">
        <v>150</v>
      </c>
      <c r="J115" s="38">
        <f t="shared" si="70"/>
        <v>2.0418148324802193E-2</v>
      </c>
      <c r="K115" s="16"/>
      <c r="L115" s="16"/>
      <c r="M115" s="16"/>
      <c r="N115" s="16"/>
      <c r="O115" s="16">
        <f t="shared" si="71"/>
        <v>27388.283018867925</v>
      </c>
      <c r="P115" s="41"/>
      <c r="Q115" s="17"/>
      <c r="R115" s="16"/>
      <c r="S115" s="60"/>
      <c r="T115" s="16"/>
      <c r="U115" s="41"/>
      <c r="V115" s="10">
        <f t="shared" si="85"/>
        <v>7</v>
      </c>
      <c r="W115" s="34">
        <v>616</v>
      </c>
      <c r="X115" s="33"/>
      <c r="Y115" s="33"/>
      <c r="Z115" s="33"/>
      <c r="AA115" s="33">
        <f t="shared" si="72"/>
        <v>132715</v>
      </c>
      <c r="AB115" s="33"/>
      <c r="AC115" s="46">
        <f t="shared" si="73"/>
        <v>4.5714012120594193E-2</v>
      </c>
      <c r="AD115" s="33"/>
      <c r="AE115" s="33">
        <f t="shared" si="74"/>
        <v>1252.0283018867924</v>
      </c>
      <c r="AF115" s="50"/>
      <c r="AG115" s="33"/>
      <c r="AH115" s="231">
        <f>+AH114/AH113</f>
        <v>2.4438063675575852E-2</v>
      </c>
      <c r="AI115" s="231"/>
      <c r="AJ115" s="50"/>
      <c r="AK115" s="10"/>
      <c r="AL115" s="23">
        <f t="shared" si="75"/>
        <v>50309</v>
      </c>
      <c r="AM115" s="24"/>
      <c r="AN115" s="24"/>
      <c r="AO115" s="24">
        <v>178263</v>
      </c>
      <c r="AP115" s="24">
        <v>1235488</v>
      </c>
      <c r="AQ115" s="24"/>
      <c r="AR115" s="504">
        <f t="shared" si="76"/>
        <v>4.2448440277797699E-2</v>
      </c>
      <c r="AS115" s="25"/>
      <c r="AT115" s="25"/>
      <c r="AU115" s="24"/>
      <c r="AV115" s="341">
        <f t="shared" si="77"/>
        <v>0.42556691712955341</v>
      </c>
      <c r="AW115" s="341"/>
      <c r="AX115" s="24">
        <f t="shared" si="78"/>
        <v>11655.547169811322</v>
      </c>
      <c r="AY115" s="351"/>
      <c r="AZ115" s="10"/>
      <c r="BA115" s="66">
        <f t="shared" si="79"/>
        <v>759195</v>
      </c>
      <c r="BB115" s="67"/>
      <c r="BC115" s="67">
        <v>36297195</v>
      </c>
      <c r="BD115" s="67"/>
      <c r="BE115" s="67">
        <f t="shared" si="80"/>
        <v>58091</v>
      </c>
      <c r="BF115" s="67"/>
      <c r="BG115" s="156">
        <f t="shared" si="81"/>
        <v>7.6516573475852709E-2</v>
      </c>
      <c r="BH115" s="67"/>
      <c r="BI115" s="183"/>
      <c r="BJ115" s="67"/>
      <c r="BK115" s="67"/>
      <c r="BL115" s="67"/>
      <c r="BM115" s="156"/>
      <c r="BN115" s="66">
        <f t="shared" si="82"/>
        <v>342426.36792452831</v>
      </c>
      <c r="BO115" s="67"/>
      <c r="BP115" s="67">
        <f t="shared" si="83"/>
        <v>2623538</v>
      </c>
      <c r="BQ115" s="67"/>
      <c r="BR115" s="478">
        <f t="shared" si="84"/>
        <v>7.2279359327903983E-2</v>
      </c>
      <c r="BS115" s="67"/>
      <c r="BT115" s="86"/>
      <c r="BU115" s="183"/>
      <c r="BV115" s="1"/>
      <c r="BW115">
        <f t="shared" si="53"/>
        <v>106</v>
      </c>
    </row>
    <row r="116" spans="1:75" x14ac:dyDescent="0.3">
      <c r="B116" s="171">
        <f t="shared" si="52"/>
        <v>44016</v>
      </c>
      <c r="C116" s="61"/>
      <c r="D116" s="17">
        <f>45182+1402</f>
        <v>46584</v>
      </c>
      <c r="E116" s="16"/>
      <c r="F116" s="16"/>
      <c r="G116" s="16"/>
      <c r="H116" s="16">
        <f>+H115+D116+2919</f>
        <v>2952661</v>
      </c>
      <c r="I116" s="505" t="s">
        <v>150</v>
      </c>
      <c r="J116" s="38">
        <f t="shared" si="70"/>
        <v>1.6045974762655013E-2</v>
      </c>
      <c r="K116" s="16"/>
      <c r="L116" s="16"/>
      <c r="M116" s="16"/>
      <c r="N116" s="16"/>
      <c r="O116" s="16">
        <f t="shared" si="71"/>
        <v>27594.962616822431</v>
      </c>
      <c r="P116" s="41"/>
      <c r="Q116" s="17"/>
      <c r="R116" s="16"/>
      <c r="S116" s="60"/>
      <c r="T116" s="16"/>
      <c r="U116" s="41"/>
      <c r="V116" s="10">
        <f t="shared" si="85"/>
        <v>8</v>
      </c>
      <c r="W116" s="34">
        <v>254</v>
      </c>
      <c r="X116" s="33"/>
      <c r="Y116" s="33"/>
      <c r="Z116" s="33"/>
      <c r="AA116" s="33">
        <f t="shared" si="72"/>
        <v>132969</v>
      </c>
      <c r="AB116" s="33"/>
      <c r="AC116" s="46">
        <f t="shared" si="73"/>
        <v>4.5033615440445075E-2</v>
      </c>
      <c r="AD116" s="33"/>
      <c r="AE116" s="33">
        <f t="shared" si="74"/>
        <v>1242.7009345794393</v>
      </c>
      <c r="AF116" s="50"/>
      <c r="AG116" s="33"/>
      <c r="AH116" s="33"/>
      <c r="AI116" s="231"/>
      <c r="AJ116" s="50"/>
      <c r="AK116" s="10"/>
      <c r="AL116" s="23">
        <f t="shared" si="75"/>
        <v>24917</v>
      </c>
      <c r="AM116" s="24"/>
      <c r="AN116" s="24"/>
      <c r="AO116" s="24">
        <v>178263</v>
      </c>
      <c r="AP116" s="24">
        <v>1260405</v>
      </c>
      <c r="AQ116" s="24"/>
      <c r="AR116" s="504">
        <f t="shared" si="76"/>
        <v>2.0167739387189517E-2</v>
      </c>
      <c r="AS116" s="25"/>
      <c r="AT116" s="25"/>
      <c r="AU116" s="24"/>
      <c r="AV116" s="341">
        <f t="shared" si="77"/>
        <v>0.42687088019925079</v>
      </c>
      <c r="AW116" s="341"/>
      <c r="AX116" s="24">
        <f t="shared" si="78"/>
        <v>11779.485981308411</v>
      </c>
      <c r="AY116" s="351"/>
      <c r="AZ116" s="10"/>
      <c r="BA116" s="66">
        <f t="shared" si="79"/>
        <v>656438</v>
      </c>
      <c r="BB116" s="67"/>
      <c r="BC116" s="67">
        <v>36953633</v>
      </c>
      <c r="BD116" s="67"/>
      <c r="BE116" s="67">
        <f t="shared" si="80"/>
        <v>46584</v>
      </c>
      <c r="BF116" s="67"/>
      <c r="BG116" s="156">
        <f t="shared" si="81"/>
        <v>7.0964813127820145E-2</v>
      </c>
      <c r="BH116" s="67"/>
      <c r="BI116" s="183"/>
      <c r="BJ116" s="67"/>
      <c r="BK116" s="67"/>
      <c r="BL116" s="67"/>
      <c r="BM116" s="156"/>
      <c r="BN116" s="66">
        <f t="shared" si="82"/>
        <v>345361.05607476638</v>
      </c>
      <c r="BO116" s="67"/>
      <c r="BP116" s="67">
        <f t="shared" si="83"/>
        <v>2670122</v>
      </c>
      <c r="BQ116" s="67"/>
      <c r="BR116" s="478">
        <f t="shared" si="84"/>
        <v>7.2256007954617077E-2</v>
      </c>
      <c r="BS116" s="67"/>
      <c r="BT116" s="86"/>
      <c r="BU116" s="183"/>
      <c r="BV116" s="1"/>
      <c r="BW116">
        <f t="shared" si="53"/>
        <v>107</v>
      </c>
    </row>
    <row r="117" spans="1:75" x14ac:dyDescent="0.3">
      <c r="B117" s="390">
        <f t="shared" si="52"/>
        <v>44017</v>
      </c>
      <c r="C117" s="61"/>
      <c r="D117" s="17">
        <v>44530</v>
      </c>
      <c r="E117" s="16"/>
      <c r="F117" s="16"/>
      <c r="G117" s="16"/>
      <c r="H117" s="16">
        <f t="shared" si="86"/>
        <v>2997191</v>
      </c>
      <c r="I117" s="16"/>
      <c r="J117" s="38">
        <f t="shared" si="70"/>
        <v>1.5081311400123481E-2</v>
      </c>
      <c r="K117" s="16"/>
      <c r="L117" s="16"/>
      <c r="M117" s="16"/>
      <c r="N117" s="16">
        <f>SUM(D111:D117)</f>
        <v>350953</v>
      </c>
      <c r="O117" s="16">
        <f t="shared" si="71"/>
        <v>27751.768518518518</v>
      </c>
      <c r="P117" s="41"/>
      <c r="Q117" s="17">
        <f t="shared" ref="Q117:Q126" si="87">SUM(D111:D117)</f>
        <v>350953</v>
      </c>
      <c r="R117" s="16"/>
      <c r="S117" s="60">
        <f>+(Q117-Q110)/Q110</f>
        <v>0.26414883653915422</v>
      </c>
      <c r="T117" s="16"/>
      <c r="U117" s="41"/>
      <c r="V117" s="391">
        <f t="shared" si="85"/>
        <v>9</v>
      </c>
      <c r="W117" s="34">
        <v>251</v>
      </c>
      <c r="X117" s="33"/>
      <c r="Y117" s="33"/>
      <c r="Z117" s="33"/>
      <c r="AA117" s="33">
        <f t="shared" si="72"/>
        <v>133220</v>
      </c>
      <c r="AB117" s="33"/>
      <c r="AC117" s="46">
        <f t="shared" si="73"/>
        <v>4.4448285077594324E-2</v>
      </c>
      <c r="AD117" s="33"/>
      <c r="AE117" s="33">
        <f t="shared" si="74"/>
        <v>1233.5185185185185</v>
      </c>
      <c r="AF117" s="50"/>
      <c r="AG117" s="33">
        <f>SUM(W111:W117)</f>
        <v>3460</v>
      </c>
      <c r="AH117" s="33"/>
      <c r="AI117" s="231">
        <f>+(AG117-AG110)/AG110</f>
        <v>-0.16946711473835813</v>
      </c>
      <c r="AJ117" s="50"/>
      <c r="AK117" s="391"/>
      <c r="AL117" s="23">
        <f t="shared" si="75"/>
        <v>25154</v>
      </c>
      <c r="AM117" s="24"/>
      <c r="AN117" s="24"/>
      <c r="AO117" s="24">
        <v>178263</v>
      </c>
      <c r="AP117" s="24">
        <v>1285559</v>
      </c>
      <c r="AQ117" s="24"/>
      <c r="AR117" s="504">
        <f t="shared" si="76"/>
        <v>1.9957077288649282E-2</v>
      </c>
      <c r="AS117" s="25"/>
      <c r="AT117" s="25"/>
      <c r="AU117" s="24"/>
      <c r="AV117" s="341">
        <f t="shared" si="77"/>
        <v>0.42892127995846779</v>
      </c>
      <c r="AW117" s="341"/>
      <c r="AX117" s="24">
        <f t="shared" si="78"/>
        <v>11903.324074074075</v>
      </c>
      <c r="AY117" s="351"/>
      <c r="AZ117" s="391"/>
      <c r="BA117" s="66">
        <f t="shared" si="79"/>
        <v>633176</v>
      </c>
      <c r="BB117" s="67"/>
      <c r="BC117" s="67">
        <v>37586809</v>
      </c>
      <c r="BD117" s="67"/>
      <c r="BE117" s="67">
        <f t="shared" si="80"/>
        <v>44530</v>
      </c>
      <c r="BF117" s="67"/>
      <c r="BG117" s="156">
        <f t="shared" si="81"/>
        <v>7.0327997270900985E-2</v>
      </c>
      <c r="BH117" s="67"/>
      <c r="BI117" s="183"/>
      <c r="BJ117" s="67"/>
      <c r="BK117" s="67">
        <f t="shared" ref="BK117:BK124" si="88">SUM(BA111:BA117)</f>
        <v>4994441</v>
      </c>
      <c r="BL117" s="67"/>
      <c r="BM117" s="156">
        <f t="shared" ref="BM117:BM124" si="89">+Q117/BK117</f>
        <v>7.0268724768197288E-2</v>
      </c>
      <c r="BN117" s="66">
        <f t="shared" si="82"/>
        <v>348026.00925925927</v>
      </c>
      <c r="BO117" s="67"/>
      <c r="BP117" s="67">
        <f t="shared" si="83"/>
        <v>2714652</v>
      </c>
      <c r="BQ117" s="67"/>
      <c r="BR117" s="478">
        <f t="shared" si="84"/>
        <v>7.2223529270601286E-2</v>
      </c>
      <c r="BS117" s="67"/>
      <c r="BT117" s="86"/>
      <c r="BU117" s="183"/>
      <c r="BV117" s="1"/>
      <c r="BW117" s="472">
        <f t="shared" si="53"/>
        <v>108</v>
      </c>
    </row>
    <row r="118" spans="1:75" x14ac:dyDescent="0.3">
      <c r="B118" s="171">
        <f t="shared" si="52"/>
        <v>44018</v>
      </c>
      <c r="C118" s="61"/>
      <c r="D118" s="17">
        <f>50586+3026</f>
        <v>53612</v>
      </c>
      <c r="E118" s="16"/>
      <c r="F118" s="16"/>
      <c r="G118" s="16"/>
      <c r="H118" s="16">
        <f t="shared" si="86"/>
        <v>3050803</v>
      </c>
      <c r="I118" s="16"/>
      <c r="J118" s="38">
        <f t="shared" si="70"/>
        <v>1.7887415249812241E-2</v>
      </c>
      <c r="K118" s="16"/>
      <c r="L118" s="16"/>
      <c r="M118" s="16"/>
      <c r="N118" s="16"/>
      <c r="O118" s="16">
        <f t="shared" si="71"/>
        <v>27989.018348623853</v>
      </c>
      <c r="P118" s="41"/>
      <c r="Q118" s="17">
        <f t="shared" si="87"/>
        <v>359831</v>
      </c>
      <c r="R118" s="16"/>
      <c r="S118" s="60"/>
      <c r="T118" s="16"/>
      <c r="U118" s="41"/>
      <c r="V118" s="10">
        <f t="shared" si="85"/>
        <v>10</v>
      </c>
      <c r="W118" s="34">
        <v>378</v>
      </c>
      <c r="X118" s="33"/>
      <c r="Y118" s="33"/>
      <c r="Z118" s="33"/>
      <c r="AA118" s="33">
        <f t="shared" si="72"/>
        <v>133598</v>
      </c>
      <c r="AB118" s="33"/>
      <c r="AC118" s="46">
        <f t="shared" si="73"/>
        <v>4.3791093689104145E-2</v>
      </c>
      <c r="AD118" s="33"/>
      <c r="AE118" s="33">
        <f t="shared" si="74"/>
        <v>1225.6697247706422</v>
      </c>
      <c r="AF118" s="50"/>
      <c r="AG118" s="33"/>
      <c r="AH118" s="33"/>
      <c r="AI118" s="231"/>
      <c r="AJ118" s="50"/>
      <c r="AK118" s="10"/>
      <c r="AL118" s="23">
        <f t="shared" si="75"/>
        <v>39388</v>
      </c>
      <c r="AM118" s="24"/>
      <c r="AN118" s="24"/>
      <c r="AO118" s="24">
        <v>178263</v>
      </c>
      <c r="AP118" s="24">
        <v>1324947</v>
      </c>
      <c r="AQ118" s="24"/>
      <c r="AR118" s="504">
        <f t="shared" si="76"/>
        <v>3.0638811598689752E-2</v>
      </c>
      <c r="AS118" s="25"/>
      <c r="AT118" s="25"/>
      <c r="AU118" s="24"/>
      <c r="AV118" s="341">
        <f t="shared" si="77"/>
        <v>0.43429451196947166</v>
      </c>
      <c r="AW118" s="341"/>
      <c r="AX118" s="24">
        <f t="shared" si="78"/>
        <v>12155.477064220184</v>
      </c>
      <c r="AY118" s="351"/>
      <c r="AZ118" s="10"/>
      <c r="BA118" s="66">
        <f t="shared" si="79"/>
        <v>630831</v>
      </c>
      <c r="BB118" s="67"/>
      <c r="BC118" s="67">
        <v>38217640</v>
      </c>
      <c r="BD118" s="67"/>
      <c r="BE118" s="67">
        <f t="shared" si="80"/>
        <v>53612</v>
      </c>
      <c r="BF118" s="67"/>
      <c r="BG118" s="156">
        <f t="shared" si="81"/>
        <v>8.4986311706304857E-2</v>
      </c>
      <c r="BH118" s="67"/>
      <c r="BI118" s="183"/>
      <c r="BJ118" s="67"/>
      <c r="BK118" s="67"/>
      <c r="BL118" s="67"/>
      <c r="BM118" s="156"/>
      <c r="BN118" s="66">
        <f t="shared" si="82"/>
        <v>350620.55045871559</v>
      </c>
      <c r="BO118" s="67"/>
      <c r="BP118" s="67">
        <f t="shared" si="83"/>
        <v>2768264</v>
      </c>
      <c r="BQ118" s="67"/>
      <c r="BR118" s="478">
        <f t="shared" si="84"/>
        <v>7.2434195308763175E-2</v>
      </c>
      <c r="BS118" s="67"/>
      <c r="BT118" s="86"/>
      <c r="BU118" s="183"/>
      <c r="BV118" s="1"/>
      <c r="BW118">
        <f t="shared" si="53"/>
        <v>109</v>
      </c>
    </row>
    <row r="119" spans="1:75" x14ac:dyDescent="0.3">
      <c r="B119" s="171">
        <f t="shared" si="52"/>
        <v>44019</v>
      </c>
      <c r="C119" s="61"/>
      <c r="D119" s="17">
        <v>55442</v>
      </c>
      <c r="E119" s="16"/>
      <c r="F119" s="16"/>
      <c r="G119" s="16"/>
      <c r="H119" s="16">
        <f t="shared" si="86"/>
        <v>3106245</v>
      </c>
      <c r="I119" s="16"/>
      <c r="J119" s="38">
        <f t="shared" si="70"/>
        <v>1.8172920375389694E-2</v>
      </c>
      <c r="K119" s="16"/>
      <c r="L119" s="16"/>
      <c r="M119" s="16"/>
      <c r="N119" s="16"/>
      <c r="O119" s="16">
        <f t="shared" si="71"/>
        <v>28238.590909090908</v>
      </c>
      <c r="P119" s="41"/>
      <c r="Q119" s="17">
        <f t="shared" si="87"/>
        <v>369231</v>
      </c>
      <c r="R119" s="16"/>
      <c r="S119" s="60"/>
      <c r="T119" s="16"/>
      <c r="U119" s="41"/>
      <c r="V119" s="10">
        <f t="shared" si="85"/>
        <v>11</v>
      </c>
      <c r="W119" s="34">
        <v>993</v>
      </c>
      <c r="X119" s="33"/>
      <c r="Y119" s="33"/>
      <c r="Z119" s="33"/>
      <c r="AA119" s="33">
        <f t="shared" si="72"/>
        <v>134591</v>
      </c>
      <c r="AB119" s="33"/>
      <c r="AC119" s="46">
        <f t="shared" si="73"/>
        <v>4.3329164312538131E-2</v>
      </c>
      <c r="AD119" s="33"/>
      <c r="AE119" s="33">
        <f t="shared" si="74"/>
        <v>1223.5545454545454</v>
      </c>
      <c r="AF119" s="50"/>
      <c r="AG119" s="33"/>
      <c r="AH119" s="33"/>
      <c r="AI119" s="231"/>
      <c r="AJ119" s="50"/>
      <c r="AK119" s="10"/>
      <c r="AL119" s="23">
        <f t="shared" si="75"/>
        <v>29916</v>
      </c>
      <c r="AM119" s="24"/>
      <c r="AN119" s="24"/>
      <c r="AO119" s="24">
        <v>178263</v>
      </c>
      <c r="AP119" s="24">
        <v>1354863</v>
      </c>
      <c r="AQ119" s="24"/>
      <c r="AR119" s="504">
        <f t="shared" si="76"/>
        <v>2.2579016368201896E-2</v>
      </c>
      <c r="AS119" s="25"/>
      <c r="AT119" s="25"/>
      <c r="AU119" s="24"/>
      <c r="AV119" s="341">
        <f t="shared" si="77"/>
        <v>0.43617390128595779</v>
      </c>
      <c r="AW119" s="341"/>
      <c r="AX119" s="24">
        <f t="shared" si="78"/>
        <v>12316.936363636363</v>
      </c>
      <c r="AY119" s="351"/>
      <c r="AZ119" s="10"/>
      <c r="BA119" s="66">
        <f t="shared" si="79"/>
        <v>583951</v>
      </c>
      <c r="BB119" s="67"/>
      <c r="BC119" s="67">
        <v>38801591</v>
      </c>
      <c r="BD119" s="67"/>
      <c r="BE119" s="67">
        <f t="shared" si="80"/>
        <v>55442</v>
      </c>
      <c r="BF119" s="67"/>
      <c r="BG119" s="156">
        <f t="shared" si="81"/>
        <v>9.4942897606134766E-2</v>
      </c>
      <c r="BH119" s="67"/>
      <c r="BI119" s="183"/>
      <c r="BJ119" s="67"/>
      <c r="BK119" s="67"/>
      <c r="BL119" s="67"/>
      <c r="BM119" s="156"/>
      <c r="BN119" s="66">
        <f t="shared" si="82"/>
        <v>352741.73636363639</v>
      </c>
      <c r="BO119" s="67"/>
      <c r="BP119" s="67">
        <f t="shared" si="83"/>
        <v>2823706</v>
      </c>
      <c r="BQ119" s="67"/>
      <c r="BR119" s="478">
        <f t="shared" si="84"/>
        <v>7.2772943769238735E-2</v>
      </c>
      <c r="BS119" s="67"/>
      <c r="BT119" s="86"/>
      <c r="BU119" s="183"/>
      <c r="BV119" s="1"/>
      <c r="BW119">
        <f t="shared" si="53"/>
        <v>110</v>
      </c>
    </row>
    <row r="120" spans="1:75" x14ac:dyDescent="0.3">
      <c r="B120" s="171">
        <f t="shared" si="52"/>
        <v>44020</v>
      </c>
      <c r="C120" s="61"/>
      <c r="D120" s="17">
        <v>61848</v>
      </c>
      <c r="E120" s="16"/>
      <c r="F120" s="16"/>
      <c r="G120" s="16"/>
      <c r="H120" s="16">
        <f t="shared" si="86"/>
        <v>3168093</v>
      </c>
      <c r="I120" s="16"/>
      <c r="J120" s="38">
        <f t="shared" si="70"/>
        <v>1.9910856999367402E-2</v>
      </c>
      <c r="K120" s="16"/>
      <c r="L120" s="16"/>
      <c r="M120" s="16"/>
      <c r="N120" s="16"/>
      <c r="O120" s="16">
        <f t="shared" si="71"/>
        <v>28541.37837837838</v>
      </c>
      <c r="P120" s="41"/>
      <c r="Q120" s="17">
        <f t="shared" si="87"/>
        <v>379982</v>
      </c>
      <c r="R120" s="16"/>
      <c r="S120" s="60"/>
      <c r="T120" s="16"/>
      <c r="U120" s="41"/>
      <c r="V120" s="10">
        <f t="shared" si="85"/>
        <v>12</v>
      </c>
      <c r="W120" s="34">
        <v>890</v>
      </c>
      <c r="X120" s="33"/>
      <c r="Y120" s="33"/>
      <c r="Z120" s="33"/>
      <c r="AA120" s="33">
        <f t="shared" si="72"/>
        <v>135481</v>
      </c>
      <c r="AB120" s="33"/>
      <c r="AC120" s="46">
        <f t="shared" si="73"/>
        <v>4.2764211782924305E-2</v>
      </c>
      <c r="AD120" s="33"/>
      <c r="AE120" s="33">
        <f t="shared" si="74"/>
        <v>1220.5495495495495</v>
      </c>
      <c r="AF120" s="50"/>
      <c r="AG120" s="33"/>
      <c r="AH120" s="33"/>
      <c r="AI120" s="231"/>
      <c r="AJ120" s="50"/>
      <c r="AK120" s="10"/>
      <c r="AL120" s="23">
        <f t="shared" si="75"/>
        <v>37816</v>
      </c>
      <c r="AM120" s="24"/>
      <c r="AN120" s="24"/>
      <c r="AO120" s="24">
        <v>178263</v>
      </c>
      <c r="AP120" s="24">
        <v>1392679</v>
      </c>
      <c r="AQ120" s="24"/>
      <c r="AR120" s="504">
        <f t="shared" si="76"/>
        <v>2.7911309113910411E-2</v>
      </c>
      <c r="AS120" s="25"/>
      <c r="AT120" s="25"/>
      <c r="AU120" s="24"/>
      <c r="AV120" s="341">
        <f t="shared" si="77"/>
        <v>0.43959536541383099</v>
      </c>
      <c r="AW120" s="341"/>
      <c r="AX120" s="24">
        <f t="shared" si="78"/>
        <v>12546.657657657657</v>
      </c>
      <c r="AY120" s="351"/>
      <c r="AZ120" s="10"/>
      <c r="BA120" s="66">
        <f t="shared" si="79"/>
        <v>677846</v>
      </c>
      <c r="BB120" s="67"/>
      <c r="BC120" s="67">
        <v>39479437</v>
      </c>
      <c r="BD120" s="67"/>
      <c r="BE120" s="67">
        <f t="shared" si="80"/>
        <v>61848</v>
      </c>
      <c r="BF120" s="67"/>
      <c r="BG120" s="156">
        <f t="shared" si="81"/>
        <v>9.1241963513836483E-2</v>
      </c>
      <c r="BH120" s="67"/>
      <c r="BI120" s="183"/>
      <c r="BJ120" s="67"/>
      <c r="BK120" s="67"/>
      <c r="BL120" s="67"/>
      <c r="BM120" s="156"/>
      <c r="BN120" s="66">
        <f t="shared" si="82"/>
        <v>355670.60360360361</v>
      </c>
      <c r="BO120" s="67"/>
      <c r="BP120" s="67">
        <f t="shared" si="83"/>
        <v>2885554</v>
      </c>
      <c r="BQ120" s="67"/>
      <c r="BR120" s="478">
        <f t="shared" si="84"/>
        <v>7.3090049384442843E-2</v>
      </c>
      <c r="BS120" s="67"/>
      <c r="BT120" s="86"/>
      <c r="BU120" s="183"/>
      <c r="BV120" s="1"/>
      <c r="BW120">
        <f t="shared" si="53"/>
        <v>111</v>
      </c>
    </row>
    <row r="121" spans="1:75" x14ac:dyDescent="0.3">
      <c r="B121" s="171">
        <f t="shared" si="52"/>
        <v>44021</v>
      </c>
      <c r="C121" s="61"/>
      <c r="D121" s="17">
        <v>61067</v>
      </c>
      <c r="E121" s="16"/>
      <c r="F121" s="16"/>
      <c r="G121" s="16"/>
      <c r="H121" s="16">
        <f t="shared" si="86"/>
        <v>3229160</v>
      </c>
      <c r="I121" s="16"/>
      <c r="J121" s="38">
        <f t="shared" si="70"/>
        <v>1.9275633638280189E-2</v>
      </c>
      <c r="K121" s="16"/>
      <c r="L121" s="16"/>
      <c r="M121" s="16"/>
      <c r="N121" s="16"/>
      <c r="O121" s="16">
        <f t="shared" si="71"/>
        <v>28831.785714285714</v>
      </c>
      <c r="P121" s="41"/>
      <c r="Q121" s="17">
        <f t="shared" si="87"/>
        <v>381174</v>
      </c>
      <c r="R121" s="16"/>
      <c r="S121" s="60"/>
      <c r="T121" s="16"/>
      <c r="U121" s="41"/>
      <c r="V121" s="10">
        <f t="shared" si="85"/>
        <v>13</v>
      </c>
      <c r="W121" s="34">
        <v>960</v>
      </c>
      <c r="X121" s="33"/>
      <c r="Y121" s="33"/>
      <c r="Z121" s="33"/>
      <c r="AA121" s="33">
        <f t="shared" si="72"/>
        <v>136441</v>
      </c>
      <c r="AB121" s="33"/>
      <c r="AC121" s="46">
        <f t="shared" si="73"/>
        <v>4.2252784005747626E-2</v>
      </c>
      <c r="AD121" s="33"/>
      <c r="AE121" s="33">
        <f t="shared" si="74"/>
        <v>1218.2232142857142</v>
      </c>
      <c r="AF121" s="50"/>
      <c r="AG121" s="33"/>
      <c r="AH121" s="33"/>
      <c r="AI121" s="231"/>
      <c r="AJ121" s="50"/>
      <c r="AK121" s="10"/>
      <c r="AL121" s="23">
        <f t="shared" si="75"/>
        <v>33749</v>
      </c>
      <c r="AM121" s="24"/>
      <c r="AN121" s="24"/>
      <c r="AO121" s="24">
        <v>178263</v>
      </c>
      <c r="AP121" s="24">
        <v>1426428</v>
      </c>
      <c r="AQ121" s="24"/>
      <c r="AR121" s="504">
        <f t="shared" si="76"/>
        <v>2.423315063988184E-2</v>
      </c>
      <c r="AS121" s="25"/>
      <c r="AT121" s="25"/>
      <c r="AU121" s="24"/>
      <c r="AV121" s="341">
        <f t="shared" si="77"/>
        <v>0.44173345390132418</v>
      </c>
      <c r="AW121" s="341"/>
      <c r="AX121" s="24">
        <f t="shared" si="78"/>
        <v>12735.964285714286</v>
      </c>
      <c r="AY121" s="351"/>
      <c r="AZ121" s="10"/>
      <c r="BA121" s="66">
        <f t="shared" si="79"/>
        <v>681700</v>
      </c>
      <c r="BB121" s="67"/>
      <c r="BC121" s="67">
        <v>40161137</v>
      </c>
      <c r="BD121" s="67"/>
      <c r="BE121" s="67">
        <f t="shared" si="80"/>
        <v>61067</v>
      </c>
      <c r="BF121" s="67"/>
      <c r="BG121" s="156">
        <f t="shared" si="81"/>
        <v>8.9580460613172944E-2</v>
      </c>
      <c r="BH121" s="67"/>
      <c r="BI121" s="183"/>
      <c r="BJ121" s="67"/>
      <c r="BK121" s="67"/>
      <c r="BL121" s="67"/>
      <c r="BM121" s="156"/>
      <c r="BN121" s="66">
        <f t="shared" si="82"/>
        <v>358581.58035714284</v>
      </c>
      <c r="BO121" s="67"/>
      <c r="BP121" s="67">
        <f t="shared" si="83"/>
        <v>2946621</v>
      </c>
      <c r="BQ121" s="67"/>
      <c r="BR121" s="478">
        <f t="shared" si="84"/>
        <v>7.336995962041612E-2</v>
      </c>
      <c r="BS121" s="67"/>
      <c r="BT121" s="86"/>
      <c r="BU121" s="183"/>
      <c r="BV121" s="1"/>
      <c r="BW121">
        <f t="shared" si="53"/>
        <v>112</v>
      </c>
    </row>
    <row r="122" spans="1:75" x14ac:dyDescent="0.3">
      <c r="B122" s="171">
        <f t="shared" si="52"/>
        <v>44022</v>
      </c>
      <c r="C122" s="61"/>
      <c r="D122" s="17">
        <v>71787</v>
      </c>
      <c r="E122" s="16"/>
      <c r="F122" s="16"/>
      <c r="G122" s="16"/>
      <c r="H122" s="16">
        <f t="shared" si="86"/>
        <v>3300947</v>
      </c>
      <c r="I122" s="16"/>
      <c r="J122" s="38">
        <f t="shared" si="70"/>
        <v>2.2230858799192361E-2</v>
      </c>
      <c r="K122" s="16"/>
      <c r="L122" s="16"/>
      <c r="M122" s="16"/>
      <c r="N122" s="16"/>
      <c r="O122" s="16">
        <f t="shared" si="71"/>
        <v>29211.920353982299</v>
      </c>
      <c r="P122" s="41"/>
      <c r="Q122" s="17">
        <f t="shared" si="87"/>
        <v>394870</v>
      </c>
      <c r="R122" s="16"/>
      <c r="S122" s="60"/>
      <c r="T122" s="16"/>
      <c r="U122" s="41"/>
      <c r="V122" s="10">
        <f t="shared" si="85"/>
        <v>14</v>
      </c>
      <c r="W122" s="34">
        <v>849</v>
      </c>
      <c r="X122" s="33"/>
      <c r="Y122" s="33"/>
      <c r="Z122" s="33"/>
      <c r="AA122" s="33">
        <f t="shared" si="72"/>
        <v>137290</v>
      </c>
      <c r="AB122" s="33"/>
      <c r="AC122" s="46">
        <f t="shared" si="73"/>
        <v>4.1591094919124723E-2</v>
      </c>
      <c r="AD122" s="33"/>
      <c r="AE122" s="33">
        <f t="shared" si="74"/>
        <v>1214.9557522123894</v>
      </c>
      <c r="AF122" s="50"/>
      <c r="AG122" s="33"/>
      <c r="AH122" s="33"/>
      <c r="AI122" s="231"/>
      <c r="AJ122" s="50"/>
      <c r="AK122" s="10"/>
      <c r="AL122" s="23">
        <f t="shared" si="75"/>
        <v>34067</v>
      </c>
      <c r="AM122" s="24"/>
      <c r="AN122" s="24"/>
      <c r="AO122" s="24">
        <v>178263</v>
      </c>
      <c r="AP122" s="24">
        <v>1460495</v>
      </c>
      <c r="AQ122" s="24"/>
      <c r="AR122" s="504">
        <f t="shared" si="76"/>
        <v>2.3882733653573823E-2</v>
      </c>
      <c r="AS122" s="25"/>
      <c r="AT122" s="25"/>
      <c r="AU122" s="24"/>
      <c r="AV122" s="341">
        <f t="shared" si="77"/>
        <v>0.44244727346425133</v>
      </c>
      <c r="AW122" s="341"/>
      <c r="AX122" s="24">
        <f t="shared" si="78"/>
        <v>12924.734513274336</v>
      </c>
      <c r="AY122" s="351"/>
      <c r="AZ122" s="10"/>
      <c r="BA122" s="66">
        <f t="shared" si="79"/>
        <v>849076</v>
      </c>
      <c r="BB122" s="67"/>
      <c r="BC122" s="67">
        <v>41010213</v>
      </c>
      <c r="BD122" s="67"/>
      <c r="BE122" s="67">
        <f t="shared" si="80"/>
        <v>71787</v>
      </c>
      <c r="BF122" s="67"/>
      <c r="BG122" s="156">
        <f t="shared" si="81"/>
        <v>8.4547201899476607E-2</v>
      </c>
      <c r="BH122" s="67"/>
      <c r="BI122" s="183"/>
      <c r="BJ122" s="67"/>
      <c r="BK122" s="67"/>
      <c r="BL122" s="67"/>
      <c r="BM122" s="156"/>
      <c r="BN122" s="66">
        <f t="shared" si="82"/>
        <v>362922.23893805308</v>
      </c>
      <c r="BO122" s="67"/>
      <c r="BP122" s="67">
        <f t="shared" si="83"/>
        <v>3018408</v>
      </c>
      <c r="BQ122" s="67"/>
      <c r="BR122" s="478">
        <f t="shared" si="84"/>
        <v>7.3601373394476158E-2</v>
      </c>
      <c r="BS122" s="67"/>
      <c r="BT122" s="86"/>
      <c r="BU122" s="183"/>
      <c r="BV122" s="1"/>
      <c r="BW122">
        <f t="shared" si="53"/>
        <v>113</v>
      </c>
    </row>
    <row r="123" spans="1:75" x14ac:dyDescent="0.3">
      <c r="B123" s="171">
        <f t="shared" si="52"/>
        <v>44023</v>
      </c>
      <c r="C123" s="61"/>
      <c r="D123" s="17">
        <v>61719</v>
      </c>
      <c r="E123" s="16"/>
      <c r="F123" s="16"/>
      <c r="G123" s="16"/>
      <c r="H123" s="16">
        <f t="shared" si="86"/>
        <v>3362666</v>
      </c>
      <c r="I123" s="16"/>
      <c r="J123" s="38">
        <f t="shared" si="70"/>
        <v>1.8697361696507094E-2</v>
      </c>
      <c r="K123" s="16"/>
      <c r="L123" s="16"/>
      <c r="M123" s="16"/>
      <c r="N123" s="16"/>
      <c r="O123" s="16">
        <f t="shared" si="71"/>
        <v>29497.070175438595</v>
      </c>
      <c r="P123" s="41"/>
      <c r="Q123" s="17">
        <f t="shared" si="87"/>
        <v>410005</v>
      </c>
      <c r="R123" s="16"/>
      <c r="S123" s="60"/>
      <c r="T123" s="16"/>
      <c r="U123" s="41"/>
      <c r="V123" s="10">
        <f t="shared" si="85"/>
        <v>15</v>
      </c>
      <c r="W123" s="34">
        <v>731</v>
      </c>
      <c r="X123" s="33"/>
      <c r="Y123" s="33"/>
      <c r="Z123" s="33"/>
      <c r="AA123" s="33">
        <f t="shared" si="72"/>
        <v>138021</v>
      </c>
      <c r="AB123" s="33"/>
      <c r="AC123" s="46">
        <f t="shared" si="73"/>
        <v>4.1045111230196517E-2</v>
      </c>
      <c r="AD123" s="33"/>
      <c r="AE123" s="33">
        <f t="shared" si="74"/>
        <v>1210.7105263157894</v>
      </c>
      <c r="AF123" s="50"/>
      <c r="AG123" s="33"/>
      <c r="AH123" s="33"/>
      <c r="AI123" s="231"/>
      <c r="AJ123" s="50"/>
      <c r="AK123" s="10"/>
      <c r="AL123" s="23">
        <f t="shared" si="75"/>
        <v>29951</v>
      </c>
      <c r="AM123" s="24"/>
      <c r="AN123" s="24"/>
      <c r="AO123" s="24">
        <v>178263</v>
      </c>
      <c r="AP123" s="24">
        <v>1490446</v>
      </c>
      <c r="AQ123" s="24"/>
      <c r="AR123" s="504">
        <f t="shared" si="76"/>
        <v>2.0507430699865457E-2</v>
      </c>
      <c r="AS123" s="25"/>
      <c r="AT123" s="25"/>
      <c r="AU123" s="24"/>
      <c r="AV123" s="341">
        <f t="shared" si="77"/>
        <v>0.44323343442375779</v>
      </c>
      <c r="AW123" s="341"/>
      <c r="AX123" s="24">
        <f t="shared" si="78"/>
        <v>13074.087719298246</v>
      </c>
      <c r="AY123" s="351"/>
      <c r="AZ123" s="10"/>
      <c r="BA123" s="66">
        <f t="shared" si="79"/>
        <v>760123</v>
      </c>
      <c r="BB123" s="67"/>
      <c r="BC123" s="67">
        <v>41770336</v>
      </c>
      <c r="BD123" s="67"/>
      <c r="BE123" s="67">
        <f t="shared" si="80"/>
        <v>61719</v>
      </c>
      <c r="BF123" s="67"/>
      <c r="BG123" s="156">
        <f t="shared" si="81"/>
        <v>8.1196069583475305E-2</v>
      </c>
      <c r="BH123" s="67"/>
      <c r="BI123" s="183"/>
      <c r="BJ123" s="67"/>
      <c r="BK123" s="67"/>
      <c r="BL123" s="67"/>
      <c r="BM123" s="156"/>
      <c r="BN123" s="66">
        <f t="shared" si="82"/>
        <v>366406.4561403509</v>
      </c>
      <c r="BO123" s="67"/>
      <c r="BP123" s="67">
        <f t="shared" si="83"/>
        <v>3080127</v>
      </c>
      <c r="BQ123" s="67"/>
      <c r="BR123" s="478">
        <f t="shared" si="84"/>
        <v>7.3739579207598424E-2</v>
      </c>
      <c r="BS123" s="67"/>
      <c r="BT123" s="86"/>
      <c r="BU123" s="183"/>
      <c r="BV123" s="1"/>
      <c r="BW123">
        <f t="shared" si="53"/>
        <v>114</v>
      </c>
    </row>
    <row r="124" spans="1:75" x14ac:dyDescent="0.3">
      <c r="A124" s="551"/>
      <c r="B124" s="390">
        <f t="shared" si="52"/>
        <v>44024</v>
      </c>
      <c r="C124" s="61"/>
      <c r="D124" s="17">
        <v>58349</v>
      </c>
      <c r="E124" s="16"/>
      <c r="F124" s="16"/>
      <c r="G124" s="16"/>
      <c r="H124" s="16">
        <f t="shared" si="86"/>
        <v>3421015</v>
      </c>
      <c r="I124" s="16"/>
      <c r="J124" s="38">
        <f t="shared" si="70"/>
        <v>1.7352005819192273E-2</v>
      </c>
      <c r="K124" s="16"/>
      <c r="L124" s="16"/>
      <c r="M124" s="16"/>
      <c r="N124" s="16">
        <f>SUM(D118:D124)</f>
        <v>423824</v>
      </c>
      <c r="O124" s="16">
        <f t="shared" si="71"/>
        <v>29747.956521739132</v>
      </c>
      <c r="P124" s="41"/>
      <c r="Q124" s="17">
        <f t="shared" si="87"/>
        <v>423824</v>
      </c>
      <c r="R124" s="16"/>
      <c r="S124" s="60">
        <f t="shared" ref="S124:S129" si="90">+(Q124-Q117)/Q117</f>
        <v>0.20763748992030273</v>
      </c>
      <c r="T124" s="16"/>
      <c r="U124" s="41"/>
      <c r="V124" s="10">
        <f t="shared" si="85"/>
        <v>16</v>
      </c>
      <c r="W124" s="34">
        <v>380</v>
      </c>
      <c r="X124" s="33"/>
      <c r="Y124" s="33"/>
      <c r="Z124" s="33"/>
      <c r="AA124" s="33">
        <f t="shared" si="72"/>
        <v>138401</v>
      </c>
      <c r="AB124" s="33"/>
      <c r="AC124" s="46">
        <f t="shared" si="73"/>
        <v>4.0456121940418269E-2</v>
      </c>
      <c r="AD124" s="33"/>
      <c r="AE124" s="33">
        <f t="shared" si="74"/>
        <v>1203.4869565217391</v>
      </c>
      <c r="AF124" s="50"/>
      <c r="AG124" s="33">
        <f t="shared" ref="AG124" si="91">SUM(W118:W124)</f>
        <v>5181</v>
      </c>
      <c r="AH124" s="33">
        <f>SUM(D95:D125)</f>
        <v>1356158</v>
      </c>
      <c r="AI124" s="231">
        <f t="shared" ref="AI124" si="92">+(AG124-AG117)/AG117</f>
        <v>0.49739884393063583</v>
      </c>
      <c r="AJ124" s="50"/>
      <c r="AK124" s="391"/>
      <c r="AL124" s="23">
        <f t="shared" si="75"/>
        <v>26638</v>
      </c>
      <c r="AM124" s="24"/>
      <c r="AN124" s="24"/>
      <c r="AO124" s="24">
        <v>178263</v>
      </c>
      <c r="AP124" s="24">
        <v>1517084</v>
      </c>
      <c r="AQ124" s="24"/>
      <c r="AR124" s="504">
        <f t="shared" si="76"/>
        <v>1.7872502593183518E-2</v>
      </c>
      <c r="AS124" s="25"/>
      <c r="AT124" s="25"/>
      <c r="AU124" s="24"/>
      <c r="AV124" s="341">
        <f t="shared" si="77"/>
        <v>0.44346020113913559</v>
      </c>
      <c r="AW124" s="341"/>
      <c r="AX124" s="24">
        <f t="shared" si="78"/>
        <v>13192.034782608696</v>
      </c>
      <c r="AY124" s="351"/>
      <c r="AZ124" s="391"/>
      <c r="BA124" s="66">
        <f t="shared" si="79"/>
        <v>699271</v>
      </c>
      <c r="BB124" s="67"/>
      <c r="BC124" s="67">
        <v>42469607</v>
      </c>
      <c r="BD124" s="67"/>
      <c r="BE124" s="67">
        <f t="shared" si="80"/>
        <v>58349</v>
      </c>
      <c r="BF124" s="67"/>
      <c r="BG124" s="156">
        <f t="shared" si="81"/>
        <v>8.3442613807808416E-2</v>
      </c>
      <c r="BH124" s="67"/>
      <c r="BI124" s="183"/>
      <c r="BJ124" s="67"/>
      <c r="BK124" s="67">
        <f t="shared" si="88"/>
        <v>4882798</v>
      </c>
      <c r="BL124" s="67"/>
      <c r="BM124" s="156">
        <f t="shared" si="89"/>
        <v>8.679941295953672E-2</v>
      </c>
      <c r="BN124" s="66">
        <f t="shared" si="82"/>
        <v>369300.93043478258</v>
      </c>
      <c r="BO124" s="67"/>
      <c r="BP124" s="67">
        <f t="shared" si="83"/>
        <v>3138476</v>
      </c>
      <c r="BQ124" s="67"/>
      <c r="BR124" s="478">
        <f t="shared" si="84"/>
        <v>7.3899341710414221E-2</v>
      </c>
      <c r="BS124" s="67"/>
      <c r="BT124" s="86"/>
      <c r="BU124" s="183"/>
      <c r="BV124" s="1"/>
      <c r="BW124" s="472">
        <f t="shared" si="53"/>
        <v>115</v>
      </c>
    </row>
    <row r="125" spans="1:75" x14ac:dyDescent="0.3">
      <c r="B125" s="171">
        <f t="shared" si="52"/>
        <v>44025</v>
      </c>
      <c r="C125" s="61"/>
      <c r="D125" s="17">
        <v>65488</v>
      </c>
      <c r="E125" s="16"/>
      <c r="F125" s="16"/>
      <c r="G125" s="16"/>
      <c r="H125" s="16">
        <f t="shared" si="86"/>
        <v>3486503</v>
      </c>
      <c r="I125" s="16"/>
      <c r="J125" s="38">
        <f t="shared" si="70"/>
        <v>1.9142856725270132E-2</v>
      </c>
      <c r="K125" s="16"/>
      <c r="L125" s="16"/>
      <c r="M125" s="16"/>
      <c r="N125" s="16"/>
      <c r="O125" s="16">
        <f t="shared" si="71"/>
        <v>30056.060344827587</v>
      </c>
      <c r="P125" s="41"/>
      <c r="Q125" s="17">
        <f t="shared" si="87"/>
        <v>435700</v>
      </c>
      <c r="R125" s="16"/>
      <c r="S125" s="60">
        <f t="shared" si="90"/>
        <v>0.21084620280075925</v>
      </c>
      <c r="T125" s="16"/>
      <c r="U125" s="41"/>
      <c r="V125" s="536">
        <f t="shared" si="85"/>
        <v>17</v>
      </c>
      <c r="W125" s="34">
        <v>465</v>
      </c>
      <c r="X125" s="33"/>
      <c r="Y125" s="33"/>
      <c r="Z125" s="33"/>
      <c r="AA125" s="33">
        <f t="shared" si="72"/>
        <v>138866</v>
      </c>
      <c r="AB125" s="33"/>
      <c r="AC125" s="46">
        <f t="shared" si="73"/>
        <v>3.9829594295487485E-2</v>
      </c>
      <c r="AD125" s="33"/>
      <c r="AE125" s="33">
        <f t="shared" si="74"/>
        <v>1197.1206896551723</v>
      </c>
      <c r="AF125" s="50"/>
      <c r="AG125" s="33"/>
      <c r="AH125" s="33"/>
      <c r="AI125" s="231"/>
      <c r="AJ125" s="50"/>
      <c r="AK125" s="10"/>
      <c r="AL125" s="23">
        <f t="shared" si="75"/>
        <v>32385</v>
      </c>
      <c r="AM125" s="24"/>
      <c r="AN125" s="24"/>
      <c r="AO125" s="24">
        <v>178263</v>
      </c>
      <c r="AP125" s="24">
        <v>1549469</v>
      </c>
      <c r="AQ125" s="24"/>
      <c r="AR125" s="504">
        <f t="shared" si="76"/>
        <v>2.1346873343862306E-2</v>
      </c>
      <c r="AS125" s="25"/>
      <c r="AT125" s="25"/>
      <c r="AU125" s="24"/>
      <c r="AV125" s="341">
        <f t="shared" si="77"/>
        <v>0.44441923612284284</v>
      </c>
      <c r="AW125" s="341"/>
      <c r="AX125" s="24">
        <f t="shared" si="78"/>
        <v>13357.491379310344</v>
      </c>
      <c r="AY125" s="351"/>
      <c r="AZ125" s="10"/>
      <c r="BA125" s="66">
        <f t="shared" si="79"/>
        <v>783226</v>
      </c>
      <c r="BB125" s="67"/>
      <c r="BC125" s="67">
        <v>43252833</v>
      </c>
      <c r="BD125" s="67"/>
      <c r="BE125" s="67">
        <f t="shared" si="80"/>
        <v>65488</v>
      </c>
      <c r="BF125" s="67"/>
      <c r="BG125" s="156">
        <f t="shared" si="81"/>
        <v>8.3613158909433549E-2</v>
      </c>
      <c r="BH125" s="67"/>
      <c r="BI125" s="183"/>
      <c r="BJ125" s="67"/>
      <c r="BK125" s="67"/>
      <c r="BL125" s="67"/>
      <c r="BM125" s="156"/>
      <c r="BN125" s="66">
        <f t="shared" si="82"/>
        <v>372869.25</v>
      </c>
      <c r="BO125" s="67"/>
      <c r="BP125" s="67">
        <f t="shared" si="83"/>
        <v>3203964</v>
      </c>
      <c r="BQ125" s="67"/>
      <c r="BR125" s="478">
        <f t="shared" si="84"/>
        <v>7.4075240343216359E-2</v>
      </c>
      <c r="BS125" s="67"/>
      <c r="BT125" s="86"/>
      <c r="BU125" s="183"/>
      <c r="BV125" s="1"/>
      <c r="BW125">
        <f t="shared" si="53"/>
        <v>116</v>
      </c>
    </row>
    <row r="126" spans="1:75" x14ac:dyDescent="0.3">
      <c r="B126" s="171">
        <f t="shared" si="52"/>
        <v>44026</v>
      </c>
      <c r="C126" s="61"/>
      <c r="D126" s="17">
        <v>66048</v>
      </c>
      <c r="E126" s="16"/>
      <c r="F126" s="16"/>
      <c r="G126" s="16"/>
      <c r="H126" s="16">
        <f t="shared" si="86"/>
        <v>3552551</v>
      </c>
      <c r="I126" s="16"/>
      <c r="J126" s="38">
        <f t="shared" si="70"/>
        <v>1.8943910273417231E-2</v>
      </c>
      <c r="K126" s="16"/>
      <c r="L126" s="16"/>
      <c r="M126" s="16"/>
      <c r="N126" s="16"/>
      <c r="O126" s="16">
        <f t="shared" si="71"/>
        <v>30363.683760683762</v>
      </c>
      <c r="P126" s="41"/>
      <c r="Q126" s="17">
        <f t="shared" si="87"/>
        <v>446306</v>
      </c>
      <c r="R126" s="16"/>
      <c r="S126" s="60">
        <f t="shared" si="90"/>
        <v>0.20874466120125343</v>
      </c>
      <c r="T126" s="16"/>
      <c r="U126" s="41"/>
      <c r="V126" s="10">
        <f t="shared" si="85"/>
        <v>18</v>
      </c>
      <c r="W126" s="34">
        <v>936</v>
      </c>
      <c r="X126" s="33"/>
      <c r="Y126" s="33"/>
      <c r="Z126" s="33"/>
      <c r="AA126" s="33">
        <f t="shared" si="72"/>
        <v>139802</v>
      </c>
      <c r="AB126" s="33"/>
      <c r="AC126" s="46">
        <f t="shared" si="73"/>
        <v>3.935256664858576E-2</v>
      </c>
      <c r="AD126" s="33"/>
      <c r="AE126" s="33">
        <f t="shared" si="74"/>
        <v>1194.8888888888889</v>
      </c>
      <c r="AF126" s="50"/>
      <c r="AG126" s="33"/>
      <c r="AH126" s="33"/>
      <c r="AI126" s="231"/>
      <c r="AJ126" s="50"/>
      <c r="AK126" s="10"/>
      <c r="AL126" s="23">
        <f t="shared" si="75"/>
        <v>50726</v>
      </c>
      <c r="AM126" s="24"/>
      <c r="AN126" s="24"/>
      <c r="AO126" s="24">
        <v>178263</v>
      </c>
      <c r="AP126" s="24">
        <v>1600195</v>
      </c>
      <c r="AQ126" s="24"/>
      <c r="AR126" s="504">
        <f t="shared" si="76"/>
        <v>3.2737666903952259E-2</v>
      </c>
      <c r="AS126" s="25"/>
      <c r="AT126" s="25"/>
      <c r="AU126" s="24"/>
      <c r="AV126" s="341">
        <f t="shared" si="77"/>
        <v>0.45043547580316229</v>
      </c>
      <c r="AW126" s="341"/>
      <c r="AX126" s="24">
        <f t="shared" si="78"/>
        <v>13676.880341880342</v>
      </c>
      <c r="AY126" s="351"/>
      <c r="AZ126" s="10"/>
      <c r="BA126" s="66">
        <f t="shared" si="79"/>
        <v>778044</v>
      </c>
      <c r="BB126" s="67"/>
      <c r="BC126" s="67">
        <v>44030877</v>
      </c>
      <c r="BD126" s="67"/>
      <c r="BE126" s="67">
        <f t="shared" si="80"/>
        <v>66048</v>
      </c>
      <c r="BF126" s="67"/>
      <c r="BG126" s="156">
        <f t="shared" si="81"/>
        <v>8.4889800576831126E-2</v>
      </c>
      <c r="BH126" s="67"/>
      <c r="BI126" s="183"/>
      <c r="BJ126" s="67"/>
      <c r="BK126" s="67"/>
      <c r="BL126" s="67"/>
      <c r="BM126" s="156"/>
      <c r="BN126" s="66">
        <f t="shared" si="82"/>
        <v>376332.28205128206</v>
      </c>
      <c r="BO126" s="67"/>
      <c r="BP126" s="67">
        <f t="shared" si="83"/>
        <v>3270012</v>
      </c>
      <c r="BQ126" s="67"/>
      <c r="BR126" s="478">
        <f t="shared" si="84"/>
        <v>7.4266338142662938E-2</v>
      </c>
      <c r="BS126" s="67"/>
      <c r="BT126" s="86"/>
      <c r="BU126" s="183"/>
      <c r="BV126" s="1"/>
      <c r="BW126">
        <f t="shared" si="53"/>
        <v>117</v>
      </c>
    </row>
    <row r="127" spans="1:75" x14ac:dyDescent="0.3">
      <c r="B127" s="171">
        <f t="shared" si="52"/>
        <v>44027</v>
      </c>
      <c r="C127" s="61"/>
      <c r="D127" s="17">
        <v>72005</v>
      </c>
      <c r="E127" s="16"/>
      <c r="F127" s="16"/>
      <c r="G127" s="16"/>
      <c r="H127" s="16">
        <f t="shared" ref="H127" si="93">+H126+D127</f>
        <v>3624556</v>
      </c>
      <c r="I127" s="16"/>
      <c r="J127" s="38">
        <f t="shared" ref="J127" si="94">+D127/H126</f>
        <v>2.0268533794447988E-2</v>
      </c>
      <c r="K127" s="16"/>
      <c r="L127" s="16"/>
      <c r="M127" s="16"/>
      <c r="N127" s="16"/>
      <c r="O127" s="16">
        <f t="shared" ref="O127" si="95">+H127/BW127</f>
        <v>30716.576271186441</v>
      </c>
      <c r="P127" s="41"/>
      <c r="Q127" s="17">
        <f t="shared" ref="Q127" si="96">SUM(D121:D127)</f>
        <v>456463</v>
      </c>
      <c r="R127" s="16"/>
      <c r="S127" s="60">
        <f t="shared" si="90"/>
        <v>0.20127532356795849</v>
      </c>
      <c r="T127" s="16"/>
      <c r="U127" s="41"/>
      <c r="V127" s="10">
        <f t="shared" si="85"/>
        <v>19</v>
      </c>
      <c r="W127" s="34">
        <v>1002</v>
      </c>
      <c r="X127" s="33"/>
      <c r="Y127" s="33"/>
      <c r="Z127" s="33"/>
      <c r="AA127" s="33">
        <f t="shared" ref="AA127" si="97">+AA126+W127</f>
        <v>140804</v>
      </c>
      <c r="AB127" s="33"/>
      <c r="AC127" s="46">
        <f t="shared" ref="AC127" si="98">+AA127/H127</f>
        <v>3.8847240875847969E-2</v>
      </c>
      <c r="AD127" s="33"/>
      <c r="AE127" s="33">
        <f t="shared" ref="AE127" si="99">+AA127/BW127</f>
        <v>1193.2542372881355</v>
      </c>
      <c r="AF127" s="50"/>
      <c r="AG127" s="33"/>
      <c r="AH127" s="33"/>
      <c r="AI127" s="231"/>
      <c r="AJ127" s="50"/>
      <c r="AK127" s="10"/>
      <c r="AL127" s="23">
        <f t="shared" ref="AL127" si="100">+AP127-AP126</f>
        <v>45767</v>
      </c>
      <c r="AM127" s="24"/>
      <c r="AN127" s="24"/>
      <c r="AO127" s="24">
        <v>178263</v>
      </c>
      <c r="AP127" s="24">
        <v>1645962</v>
      </c>
      <c r="AQ127" s="24"/>
      <c r="AR127" s="504">
        <f t="shared" ref="AR127" si="101">+AL127/AP126</f>
        <v>2.8600889266620629E-2</v>
      </c>
      <c r="AS127" s="25"/>
      <c r="AT127" s="25"/>
      <c r="AU127" s="24"/>
      <c r="AV127" s="341">
        <f t="shared" ref="AV127" si="102">+AP127/H127</f>
        <v>0.45411410390679574</v>
      </c>
      <c r="AW127" s="341"/>
      <c r="AX127" s="24">
        <f t="shared" ref="AX127" si="103">+AP127/BW127</f>
        <v>13948.830508474577</v>
      </c>
      <c r="AY127" s="351"/>
      <c r="AZ127" s="10"/>
      <c r="BA127" s="66">
        <f t="shared" ref="BA127" si="104">+BC127-BC126</f>
        <v>815289</v>
      </c>
      <c r="BB127" s="67"/>
      <c r="BC127" s="67">
        <v>44846166</v>
      </c>
      <c r="BD127" s="67"/>
      <c r="BE127" s="67">
        <f t="shared" ref="BE127" si="105">+D127</f>
        <v>72005</v>
      </c>
      <c r="BF127" s="67"/>
      <c r="BG127" s="156">
        <f t="shared" ref="BG127" si="106">+BE127/BA127</f>
        <v>8.8318375447234046E-2</v>
      </c>
      <c r="BH127" s="67"/>
      <c r="BI127" s="183"/>
      <c r="BJ127" s="67"/>
      <c r="BK127" s="67"/>
      <c r="BL127" s="67"/>
      <c r="BM127" s="156"/>
      <c r="BN127" s="66">
        <f t="shared" ref="BN127" si="107">+BC127/BW127</f>
        <v>380052.25423728814</v>
      </c>
      <c r="BO127" s="67"/>
      <c r="BP127" s="67">
        <f t="shared" ref="BP127" si="108">+BP126+BE127</f>
        <v>3342017</v>
      </c>
      <c r="BQ127" s="67"/>
      <c r="BR127" s="478">
        <f t="shared" ref="BR127" si="109">+BP127/BC127</f>
        <v>7.4521799700781557E-2</v>
      </c>
      <c r="BS127" s="67"/>
      <c r="BT127" s="86"/>
      <c r="BU127" s="183"/>
      <c r="BV127" s="1"/>
      <c r="BW127">
        <f t="shared" si="53"/>
        <v>118</v>
      </c>
    </row>
    <row r="128" spans="1:75" x14ac:dyDescent="0.3">
      <c r="B128" s="171">
        <f t="shared" si="52"/>
        <v>44028</v>
      </c>
      <c r="C128" s="61"/>
      <c r="D128" s="17">
        <v>73388</v>
      </c>
      <c r="E128" s="16"/>
      <c r="F128" s="16"/>
      <c r="G128" s="16"/>
      <c r="H128" s="16">
        <f t="shared" ref="H128" si="110">+H127+D128</f>
        <v>3697944</v>
      </c>
      <c r="I128" s="16"/>
      <c r="J128" s="38">
        <f t="shared" ref="J128" si="111">+D128/H127</f>
        <v>2.0247445480218819E-2</v>
      </c>
      <c r="K128" s="16"/>
      <c r="L128" s="16"/>
      <c r="M128" s="16"/>
      <c r="N128" s="16"/>
      <c r="O128" s="16">
        <f t="shared" ref="O128" si="112">+H128/BW128</f>
        <v>31075.159663865546</v>
      </c>
      <c r="P128" s="41"/>
      <c r="Q128" s="17">
        <f t="shared" ref="Q128" si="113">SUM(D122:D128)</f>
        <v>468784</v>
      </c>
      <c r="R128" s="16"/>
      <c r="S128" s="60">
        <f t="shared" si="90"/>
        <v>0.22984253910287691</v>
      </c>
      <c r="T128" s="16"/>
      <c r="U128" s="41"/>
      <c r="V128" s="10">
        <f t="shared" si="85"/>
        <v>20</v>
      </c>
      <c r="W128" s="34">
        <v>963</v>
      </c>
      <c r="X128" s="33"/>
      <c r="Y128" s="33"/>
      <c r="Z128" s="33"/>
      <c r="AA128" s="33">
        <f t="shared" ref="AA128" si="114">+AA127+W128</f>
        <v>141767</v>
      </c>
      <c r="AB128" s="33"/>
      <c r="AC128" s="46">
        <f t="shared" ref="AC128" si="115">+AA128/H128</f>
        <v>3.8336708181627412E-2</v>
      </c>
      <c r="AD128" s="33"/>
      <c r="AE128" s="33">
        <f t="shared" ref="AE128" si="116">+AA128/BW128</f>
        <v>1191.3193277310925</v>
      </c>
      <c r="AF128" s="50"/>
      <c r="AG128" s="33"/>
      <c r="AH128" s="33"/>
      <c r="AI128" s="231"/>
      <c r="AJ128" s="50"/>
      <c r="AK128" s="10"/>
      <c r="AL128" s="23">
        <f t="shared" ref="AL128" si="117">+AP128-AP127</f>
        <v>33671</v>
      </c>
      <c r="AM128" s="24"/>
      <c r="AN128" s="24"/>
      <c r="AO128" s="24">
        <v>178263</v>
      </c>
      <c r="AP128" s="24">
        <v>1679633</v>
      </c>
      <c r="AQ128" s="24"/>
      <c r="AR128" s="504">
        <f t="shared" ref="AR128" si="118">+AL128/AP127</f>
        <v>2.0456729863751411E-2</v>
      </c>
      <c r="AS128" s="25"/>
      <c r="AT128" s="25"/>
      <c r="AU128" s="24"/>
      <c r="AV128" s="341">
        <f t="shared" ref="AV128" si="119">+AP128/H128</f>
        <v>0.454207256789178</v>
      </c>
      <c r="AW128" s="341"/>
      <c r="AX128" s="24">
        <f t="shared" ref="AX128" si="120">+AP128/BW128</f>
        <v>14114.563025210084</v>
      </c>
      <c r="AY128" s="351"/>
      <c r="AZ128" s="10"/>
      <c r="BA128" s="66">
        <f t="shared" ref="BA128" si="121">+BC128-BC127</f>
        <v>850863</v>
      </c>
      <c r="BB128" s="67"/>
      <c r="BC128" s="67">
        <v>45697029</v>
      </c>
      <c r="BD128" s="67"/>
      <c r="BE128" s="67">
        <f t="shared" ref="BE128" si="122">+D128</f>
        <v>73388</v>
      </c>
      <c r="BF128" s="67"/>
      <c r="BG128" s="156">
        <f t="shared" ref="BG128" si="123">+BE128/BA128</f>
        <v>8.6251253139459583E-2</v>
      </c>
      <c r="BH128" s="67"/>
      <c r="BI128" s="183"/>
      <c r="BJ128" s="67"/>
      <c r="BK128" s="67"/>
      <c r="BL128" s="67"/>
      <c r="BM128" s="156"/>
      <c r="BN128" s="66">
        <f t="shared" ref="BN128" si="124">+BC128/BW128</f>
        <v>384008.64705882355</v>
      </c>
      <c r="BO128" s="67"/>
      <c r="BP128" s="67">
        <f t="shared" ref="BP128" si="125">+BP127+BE128</f>
        <v>3415405</v>
      </c>
      <c r="BQ128" s="67"/>
      <c r="BR128" s="478">
        <f t="shared" ref="BR128" si="126">+BP128/BC128</f>
        <v>7.4740198099093047E-2</v>
      </c>
      <c r="BS128" s="67"/>
      <c r="BT128" s="86"/>
      <c r="BU128" s="183"/>
      <c r="BV128" s="1"/>
      <c r="BW128">
        <f t="shared" si="53"/>
        <v>119</v>
      </c>
    </row>
    <row r="129" spans="1:75" x14ac:dyDescent="0.3">
      <c r="B129" s="171">
        <f t="shared" si="52"/>
        <v>44029</v>
      </c>
      <c r="C129" s="61"/>
      <c r="D129" s="17">
        <v>74987</v>
      </c>
      <c r="E129" s="16"/>
      <c r="F129" s="16"/>
      <c r="G129" s="16"/>
      <c r="H129" s="16">
        <f t="shared" ref="H129" si="127">+H128+D129</f>
        <v>3772931</v>
      </c>
      <c r="I129" s="16"/>
      <c r="J129" s="38">
        <f t="shared" ref="J129" si="128">+D129/H128</f>
        <v>2.0278024761867675E-2</v>
      </c>
      <c r="K129" s="16"/>
      <c r="L129" s="16"/>
      <c r="M129" s="16"/>
      <c r="N129" s="16"/>
      <c r="O129" s="16">
        <f t="shared" ref="O129" si="129">+H129/BW129</f>
        <v>31441.091666666667</v>
      </c>
      <c r="P129" s="41"/>
      <c r="Q129" s="17">
        <f t="shared" ref="Q129" si="130">SUM(D123:D129)</f>
        <v>471984</v>
      </c>
      <c r="R129" s="16"/>
      <c r="S129" s="60">
        <f t="shared" si="90"/>
        <v>0.1952895889786512</v>
      </c>
      <c r="T129" s="16"/>
      <c r="U129" s="41"/>
      <c r="V129" s="10">
        <f t="shared" si="85"/>
        <v>21</v>
      </c>
      <c r="W129" s="34">
        <v>946</v>
      </c>
      <c r="X129" s="33"/>
      <c r="Y129" s="33"/>
      <c r="Z129" s="33"/>
      <c r="AA129" s="33">
        <f t="shared" ref="AA129" si="131">+AA128+W129</f>
        <v>142713</v>
      </c>
      <c r="AB129" s="33"/>
      <c r="AC129" s="46">
        <f t="shared" ref="AC129" si="132">+AA129/H129</f>
        <v>3.7825499591696746E-2</v>
      </c>
      <c r="AD129" s="33"/>
      <c r="AE129" s="33">
        <f t="shared" ref="AE129" si="133">+AA129/BW129</f>
        <v>1189.2750000000001</v>
      </c>
      <c r="AF129" s="50"/>
      <c r="AG129" s="33"/>
      <c r="AH129" s="33"/>
      <c r="AI129" s="231"/>
      <c r="AJ129" s="50"/>
      <c r="AK129" s="10"/>
      <c r="AL129" s="23">
        <f t="shared" ref="AL129" si="134">+AP129-AP128</f>
        <v>61600</v>
      </c>
      <c r="AM129" s="24"/>
      <c r="AN129" s="24"/>
      <c r="AO129" s="24">
        <v>178263</v>
      </c>
      <c r="AP129" s="24">
        <v>1741233</v>
      </c>
      <c r="AQ129" s="24"/>
      <c r="AR129" s="504">
        <f t="shared" ref="AR129" si="135">+AL129/AP128</f>
        <v>3.6674678337470151E-2</v>
      </c>
      <c r="AS129" s="25"/>
      <c r="AT129" s="25"/>
      <c r="AU129" s="24"/>
      <c r="AV129" s="341">
        <f t="shared" ref="AV129" si="136">+AP129/H129</f>
        <v>0.4615067171914885</v>
      </c>
      <c r="AW129" s="341"/>
      <c r="AX129" s="24">
        <f t="shared" ref="AX129" si="137">+AP129/BW129</f>
        <v>14510.275</v>
      </c>
      <c r="AY129" s="351"/>
      <c r="AZ129" s="10"/>
      <c r="BA129" s="66">
        <f t="shared" ref="BA129" si="138">+BC129-BC128</f>
        <v>911678</v>
      </c>
      <c r="BB129" s="67"/>
      <c r="BC129" s="67">
        <v>46608707</v>
      </c>
      <c r="BD129" s="67"/>
      <c r="BE129" s="67">
        <f t="shared" ref="BE129" si="139">+D129</f>
        <v>74987</v>
      </c>
      <c r="BF129" s="67"/>
      <c r="BG129" s="156">
        <f t="shared" ref="BG129" si="140">+BE129/BA129</f>
        <v>8.2251628316137929E-2</v>
      </c>
      <c r="BH129" s="67"/>
      <c r="BI129" s="183"/>
      <c r="BJ129" s="67"/>
      <c r="BK129" s="67"/>
      <c r="BL129" s="67"/>
      <c r="BM129" s="156"/>
      <c r="BN129" s="66">
        <f t="shared" ref="BN129" si="141">+BC129/BW129</f>
        <v>388405.89166666666</v>
      </c>
      <c r="BO129" s="67"/>
      <c r="BP129" s="67">
        <f t="shared" ref="BP129" si="142">+BP128+BE129</f>
        <v>3490392</v>
      </c>
      <c r="BQ129" s="67"/>
      <c r="BR129" s="478">
        <f t="shared" ref="BR129" si="143">+BP129/BC129</f>
        <v>7.4887123558265628E-2</v>
      </c>
      <c r="BS129" s="67"/>
      <c r="BT129" s="86"/>
      <c r="BU129" s="183"/>
      <c r="BV129" s="1"/>
      <c r="BW129">
        <f t="shared" si="53"/>
        <v>120</v>
      </c>
    </row>
    <row r="130" spans="1:75" x14ac:dyDescent="0.3">
      <c r="B130" s="171">
        <f t="shared" si="52"/>
        <v>44030</v>
      </c>
      <c r="C130" s="61"/>
      <c r="D130" s="17">
        <v>63259</v>
      </c>
      <c r="E130" s="16"/>
      <c r="F130" s="16"/>
      <c r="G130" s="16"/>
      <c r="H130" s="16">
        <f t="shared" ref="H130" si="144">+H129+D130</f>
        <v>3836190</v>
      </c>
      <c r="I130" s="16"/>
      <c r="J130" s="479">
        <f t="shared" ref="J130" si="145">+D130/H129</f>
        <v>1.6766540389951474E-2</v>
      </c>
      <c r="K130" s="16"/>
      <c r="L130" s="16"/>
      <c r="M130" s="16"/>
      <c r="N130" s="16"/>
      <c r="O130" s="16">
        <f t="shared" ref="O130" si="146">+H130/BW130</f>
        <v>31704.049586776859</v>
      </c>
      <c r="P130" s="41"/>
      <c r="Q130" s="17">
        <f t="shared" ref="Q130" si="147">SUM(D124:D130)</f>
        <v>473524</v>
      </c>
      <c r="R130" s="16"/>
      <c r="S130" s="60">
        <f t="shared" ref="S130" si="148">+(Q130-Q123)/Q123</f>
        <v>0.15492250094511043</v>
      </c>
      <c r="T130" s="16"/>
      <c r="U130" s="41"/>
      <c r="V130" s="10">
        <f t="shared" si="85"/>
        <v>22</v>
      </c>
      <c r="W130" s="34">
        <v>813</v>
      </c>
      <c r="X130" s="33"/>
      <c r="Y130" s="33"/>
      <c r="Z130" s="33"/>
      <c r="AA130" s="33">
        <f t="shared" ref="AA130" si="149">+AA129+W130</f>
        <v>143526</v>
      </c>
      <c r="AB130" s="33"/>
      <c r="AC130" s="46">
        <f t="shared" ref="AC130" si="150">+AA130/H130</f>
        <v>3.7413683889484101E-2</v>
      </c>
      <c r="AD130" s="33"/>
      <c r="AE130" s="33">
        <f t="shared" ref="AE130" si="151">+AA130/BW130</f>
        <v>1186.1652892561983</v>
      </c>
      <c r="AF130" s="50"/>
      <c r="AG130" s="33"/>
      <c r="AH130" s="33"/>
      <c r="AI130" s="231"/>
      <c r="AJ130" s="50"/>
      <c r="AK130" s="10"/>
      <c r="AL130" s="23">
        <f t="shared" ref="AL130" si="152">+AP130-AP129</f>
        <v>33861</v>
      </c>
      <c r="AM130" s="24"/>
      <c r="AN130" s="24"/>
      <c r="AO130" s="24">
        <v>178263</v>
      </c>
      <c r="AP130" s="24">
        <v>1775094</v>
      </c>
      <c r="AQ130" s="24"/>
      <c r="AR130" s="504">
        <f t="shared" ref="AR130" si="153">+AL130/AP129</f>
        <v>1.9446564589575319E-2</v>
      </c>
      <c r="AS130" s="25"/>
      <c r="AT130" s="25"/>
      <c r="AU130" s="24"/>
      <c r="AV130" s="341">
        <f t="shared" ref="AV130" si="154">+AP130/H130</f>
        <v>0.4627231706458752</v>
      </c>
      <c r="AW130" s="341"/>
      <c r="AX130" s="24">
        <f t="shared" ref="AX130" si="155">+AP130/BW130</f>
        <v>14670.198347107438</v>
      </c>
      <c r="AY130" s="351"/>
      <c r="AZ130" s="10"/>
      <c r="BA130" s="66">
        <f t="shared" ref="BA130" si="156">+BC130-BC129</f>
        <v>989570</v>
      </c>
      <c r="BB130" s="67"/>
      <c r="BC130" s="67">
        <v>47598277</v>
      </c>
      <c r="BD130" s="67"/>
      <c r="BE130" s="67">
        <f t="shared" ref="BE130" si="157">+D130</f>
        <v>63259</v>
      </c>
      <c r="BF130" s="67"/>
      <c r="BG130" s="156">
        <f t="shared" ref="BG130" si="158">+BE130/BA130</f>
        <v>6.3925745525834451E-2</v>
      </c>
      <c r="BH130" s="67"/>
      <c r="BI130" s="183"/>
      <c r="BJ130" s="67"/>
      <c r="BK130" s="67"/>
      <c r="BL130" s="67"/>
      <c r="BM130" s="156"/>
      <c r="BN130" s="66">
        <f t="shared" ref="BN130" si="159">+BC130/BW130</f>
        <v>393374.19008264464</v>
      </c>
      <c r="BO130" s="67"/>
      <c r="BP130" s="67">
        <f t="shared" ref="BP130" si="160">+BP129+BE130</f>
        <v>3553651</v>
      </c>
      <c r="BQ130" s="67"/>
      <c r="BR130" s="478">
        <f t="shared" ref="BR130" si="161">+BP130/BC130</f>
        <v>7.4659236089575254E-2</v>
      </c>
      <c r="BS130" s="67"/>
      <c r="BT130" s="86"/>
      <c r="BU130" s="183"/>
      <c r="BV130" s="1"/>
      <c r="BW130">
        <f t="shared" si="53"/>
        <v>121</v>
      </c>
    </row>
    <row r="131" spans="1:75" x14ac:dyDescent="0.3">
      <c r="B131" s="390">
        <f t="shared" si="52"/>
        <v>44031</v>
      </c>
      <c r="C131" s="61"/>
      <c r="D131" s="17">
        <v>65279</v>
      </c>
      <c r="E131" s="16"/>
      <c r="F131" s="16"/>
      <c r="G131" s="16"/>
      <c r="H131" s="16">
        <f t="shared" ref="H131" si="162">+H130+D131</f>
        <v>3901469</v>
      </c>
      <c r="I131" s="16"/>
      <c r="J131" s="479">
        <f t="shared" ref="J131" si="163">+D131/H130</f>
        <v>1.7016623264228311E-2</v>
      </c>
      <c r="K131" s="16"/>
      <c r="L131" s="16"/>
      <c r="M131" s="16"/>
      <c r="N131" s="16">
        <f>SUM(D125:D131)</f>
        <v>480454</v>
      </c>
      <c r="O131" s="16">
        <f t="shared" ref="O131" si="164">+H131/BW131</f>
        <v>31979.254098360656</v>
      </c>
      <c r="P131" s="41"/>
      <c r="Q131" s="17">
        <f t="shared" ref="Q131" si="165">SUM(D125:D131)</f>
        <v>480454</v>
      </c>
      <c r="R131" s="16"/>
      <c r="S131" s="60">
        <f t="shared" ref="S131" si="166">+(Q131-Q124)/Q124</f>
        <v>0.13361678432556912</v>
      </c>
      <c r="T131" s="16"/>
      <c r="U131" s="41"/>
      <c r="V131" s="391">
        <f t="shared" si="85"/>
        <v>23</v>
      </c>
      <c r="W131" s="34">
        <v>412</v>
      </c>
      <c r="X131" s="33"/>
      <c r="Y131" s="33"/>
      <c r="Z131" s="33"/>
      <c r="AA131" s="33">
        <f t="shared" ref="AA131" si="167">+AA130+W131</f>
        <v>143938</v>
      </c>
      <c r="AB131" s="33"/>
      <c r="AC131" s="46">
        <f t="shared" ref="AC131" si="168">+AA131/H131</f>
        <v>3.6893283017242991E-2</v>
      </c>
      <c r="AD131" s="33"/>
      <c r="AE131" s="33">
        <f t="shared" ref="AE131" si="169">+AA131/BW131</f>
        <v>1179.8196721311476</v>
      </c>
      <c r="AF131" s="50"/>
      <c r="AG131" s="33">
        <f t="shared" ref="AG131" si="170">SUM(W125:W131)</f>
        <v>5537</v>
      </c>
      <c r="AH131" s="33">
        <f>SUM(D102:D166)</f>
        <v>3337976</v>
      </c>
      <c r="AI131" s="231">
        <f t="shared" ref="AI131" si="171">+(AG131-AG124)/AG124</f>
        <v>6.8712603744450873E-2</v>
      </c>
      <c r="AJ131" s="50"/>
      <c r="AK131" s="391"/>
      <c r="AL131" s="23">
        <f t="shared" ref="AL131" si="172">+AP131-AP130</f>
        <v>27244</v>
      </c>
      <c r="AM131" s="24"/>
      <c r="AN131" s="24"/>
      <c r="AO131" s="24">
        <v>178263</v>
      </c>
      <c r="AP131" s="24">
        <v>1802338</v>
      </c>
      <c r="AQ131" s="24"/>
      <c r="AR131" s="504">
        <f t="shared" ref="AR131" si="173">+AL131/AP130</f>
        <v>1.5347919603130877E-2</v>
      </c>
      <c r="AS131" s="25"/>
      <c r="AT131" s="25"/>
      <c r="AU131" s="24"/>
      <c r="AV131" s="341">
        <f t="shared" ref="AV131" si="174">+AP131/H131</f>
        <v>0.46196394229968252</v>
      </c>
      <c r="AW131" s="341"/>
      <c r="AX131" s="24">
        <f t="shared" ref="AX131" si="175">+AP131/BW131</f>
        <v>14773.262295081968</v>
      </c>
      <c r="AY131" s="351"/>
      <c r="AZ131" s="391"/>
      <c r="BA131" s="66">
        <f t="shared" ref="BA131" si="176">+BC131-BC130</f>
        <v>743458</v>
      </c>
      <c r="BB131" s="67"/>
      <c r="BC131" s="67">
        <v>48341735</v>
      </c>
      <c r="BD131" s="67"/>
      <c r="BE131" s="67">
        <f t="shared" ref="BE131" si="177">+D131</f>
        <v>65279</v>
      </c>
      <c r="BF131" s="67"/>
      <c r="BG131" s="156">
        <f t="shared" ref="BG131" si="178">+BE131/BA131</f>
        <v>8.7804556545225149E-2</v>
      </c>
      <c r="BH131" s="67"/>
      <c r="BI131" s="183"/>
      <c r="BJ131" s="67"/>
      <c r="BK131" s="67">
        <f t="shared" ref="BK131" si="179">SUM(BA125:BA131)</f>
        <v>5872128</v>
      </c>
      <c r="BL131" s="67"/>
      <c r="BM131" s="156">
        <f t="shared" ref="BM131" si="180">+Q131/BK131</f>
        <v>8.1819401756909937E-2</v>
      </c>
      <c r="BN131" s="66">
        <f t="shared" ref="BN131" si="181">+BC131/BW131</f>
        <v>396243.7295081967</v>
      </c>
      <c r="BO131" s="67"/>
      <c r="BP131" s="67">
        <f t="shared" ref="BP131" si="182">+BP130+BE131</f>
        <v>3618930</v>
      </c>
      <c r="BQ131" s="67"/>
      <c r="BR131" s="478">
        <f t="shared" ref="BR131" si="183">+BP131/BC131</f>
        <v>7.4861400816499446E-2</v>
      </c>
      <c r="BS131" s="67"/>
      <c r="BT131" s="86"/>
      <c r="BU131" s="183"/>
      <c r="BV131" s="1"/>
      <c r="BW131" s="472">
        <f t="shared" si="53"/>
        <v>122</v>
      </c>
    </row>
    <row r="132" spans="1:75" x14ac:dyDescent="0.3">
      <c r="B132" s="171">
        <f t="shared" si="52"/>
        <v>44032</v>
      </c>
      <c r="C132" s="61"/>
      <c r="D132" s="17">
        <v>62879</v>
      </c>
      <c r="E132" s="16"/>
      <c r="F132" s="16"/>
      <c r="G132" s="16"/>
      <c r="H132" s="16">
        <f t="shared" ref="H132" si="184">+H131+D132</f>
        <v>3964348</v>
      </c>
      <c r="I132" s="16"/>
      <c r="J132" s="479">
        <f t="shared" ref="J132" si="185">+D132/H131</f>
        <v>1.6116749870369339E-2</v>
      </c>
      <c r="K132" s="16"/>
      <c r="L132" s="16"/>
      <c r="M132" s="16"/>
      <c r="N132" s="16"/>
      <c r="O132" s="16">
        <f t="shared" ref="O132" si="186">+H132/BW132</f>
        <v>32230.471544715449</v>
      </c>
      <c r="P132" s="41"/>
      <c r="Q132" s="17">
        <f t="shared" ref="Q132" si="187">SUM(D126:D132)</f>
        <v>477845</v>
      </c>
      <c r="R132" s="16"/>
      <c r="S132" s="60">
        <f t="shared" ref="S132" si="188">+(Q132-Q125)/Q125</f>
        <v>9.6729400963966025E-2</v>
      </c>
      <c r="T132" s="16"/>
      <c r="U132" s="41"/>
      <c r="V132" s="10">
        <f t="shared" si="85"/>
        <v>24</v>
      </c>
      <c r="W132" s="34">
        <v>545</v>
      </c>
      <c r="X132" s="33"/>
      <c r="Y132" s="33"/>
      <c r="Z132" s="33"/>
      <c r="AA132" s="33">
        <f t="shared" ref="AA132" si="189">+AA131+W132</f>
        <v>144483</v>
      </c>
      <c r="AB132" s="33"/>
      <c r="AC132" s="46">
        <f t="shared" ref="AC132" si="190">+AA132/H132</f>
        <v>3.6445589539566156E-2</v>
      </c>
      <c r="AD132" s="33"/>
      <c r="AE132" s="33">
        <f t="shared" ref="AE132" si="191">+AA132/BW132</f>
        <v>1174.6585365853659</v>
      </c>
      <c r="AF132" s="50"/>
      <c r="AG132" s="33"/>
      <c r="AH132" s="33"/>
      <c r="AI132" s="231"/>
      <c r="AJ132" s="50"/>
      <c r="AK132" s="10"/>
      <c r="AL132" s="23">
        <f t="shared" ref="AL132" si="192">+AP132-AP131</f>
        <v>47651</v>
      </c>
      <c r="AM132" s="24"/>
      <c r="AN132" s="24"/>
      <c r="AO132" s="24">
        <v>178263</v>
      </c>
      <c r="AP132" s="24">
        <v>1849989</v>
      </c>
      <c r="AQ132" s="24"/>
      <c r="AR132" s="504">
        <f t="shared" ref="AR132" si="193">+AL132/AP131</f>
        <v>2.6438437185477972E-2</v>
      </c>
      <c r="AS132" s="25"/>
      <c r="AT132" s="25"/>
      <c r="AU132" s="24"/>
      <c r="AV132" s="341">
        <f t="shared" ref="AV132" si="194">+AP132/H132</f>
        <v>0.46665655991855409</v>
      </c>
      <c r="AW132" s="341"/>
      <c r="AX132" s="24">
        <f t="shared" ref="AX132" si="195">+AP132/BW132</f>
        <v>15040.560975609756</v>
      </c>
      <c r="AY132" s="351"/>
      <c r="AZ132" s="10"/>
      <c r="BA132" s="66">
        <f t="shared" ref="BA132" si="196">+BC132-BC131</f>
        <v>820172</v>
      </c>
      <c r="BB132" s="67"/>
      <c r="BC132" s="67">
        <v>49161907</v>
      </c>
      <c r="BD132" s="67"/>
      <c r="BE132" s="67">
        <f t="shared" ref="BE132" si="197">+D132</f>
        <v>62879</v>
      </c>
      <c r="BF132" s="67"/>
      <c r="BG132" s="156">
        <f t="shared" ref="BG132" si="198">+BE132/BA132</f>
        <v>7.6665626234497158E-2</v>
      </c>
      <c r="BH132" s="67"/>
      <c r="BI132" s="183"/>
      <c r="BJ132" s="67"/>
      <c r="BK132" s="67"/>
      <c r="BL132" s="67"/>
      <c r="BM132" s="156"/>
      <c r="BN132" s="66">
        <f t="shared" ref="BN132" si="199">+BC132/BW132</f>
        <v>399690.30081300816</v>
      </c>
      <c r="BO132" s="67"/>
      <c r="BP132" s="67">
        <f t="shared" ref="BP132" si="200">+BP131+BE132</f>
        <v>3681809</v>
      </c>
      <c r="BQ132" s="67"/>
      <c r="BR132" s="478">
        <f t="shared" ref="BR132" si="201">+BP132/BC132</f>
        <v>7.4891500852479143E-2</v>
      </c>
      <c r="BS132" s="67"/>
      <c r="BT132" s="86"/>
      <c r="BU132" s="183"/>
      <c r="BV132" s="1"/>
      <c r="BW132">
        <f t="shared" si="53"/>
        <v>123</v>
      </c>
    </row>
    <row r="133" spans="1:75" x14ac:dyDescent="0.3">
      <c r="B133" s="171">
        <f t="shared" si="52"/>
        <v>44033</v>
      </c>
      <c r="C133" s="61"/>
      <c r="D133" s="17">
        <v>67479</v>
      </c>
      <c r="E133" s="16"/>
      <c r="F133" s="16"/>
      <c r="G133" s="16"/>
      <c r="H133" s="16">
        <f t="shared" ref="H133" si="202">+H132+D133</f>
        <v>4031827</v>
      </c>
      <c r="I133" s="16"/>
      <c r="J133" s="479">
        <f t="shared" ref="J133" si="203">+D133/H132</f>
        <v>1.7021462293421264E-2</v>
      </c>
      <c r="K133" s="16"/>
      <c r="L133" s="16"/>
      <c r="M133" s="16"/>
      <c r="N133" s="16"/>
      <c r="O133" s="16">
        <f t="shared" ref="O133" si="204">+H133/BW133</f>
        <v>32514.733870967742</v>
      </c>
      <c r="P133" s="41"/>
      <c r="Q133" s="17">
        <f t="shared" ref="Q133" si="205">SUM(D127:D133)</f>
        <v>479276</v>
      </c>
      <c r="R133" s="16"/>
      <c r="S133" s="60">
        <f t="shared" ref="S133" si="206">+(Q133-Q126)/Q126</f>
        <v>7.3873082593556891E-2</v>
      </c>
      <c r="T133" s="16"/>
      <c r="U133" s="41"/>
      <c r="V133" s="10">
        <f t="shared" si="85"/>
        <v>25</v>
      </c>
      <c r="W133" s="34">
        <v>1165</v>
      </c>
      <c r="X133" s="33"/>
      <c r="Y133" s="33"/>
      <c r="Z133" s="33"/>
      <c r="AA133" s="33">
        <f t="shared" ref="AA133" si="207">+AA132+W133</f>
        <v>145648</v>
      </c>
      <c r="AB133" s="33"/>
      <c r="AC133" s="46">
        <f t="shared" ref="AC133" si="208">+AA133/H133</f>
        <v>3.6124565860588757E-2</v>
      </c>
      <c r="AD133" s="33"/>
      <c r="AE133" s="33">
        <f t="shared" ref="AE133" si="209">+AA133/BW133</f>
        <v>1174.5806451612902</v>
      </c>
      <c r="AF133" s="50"/>
      <c r="AG133" s="33"/>
      <c r="AH133" s="33"/>
      <c r="AI133" s="231"/>
      <c r="AJ133" s="50"/>
      <c r="AK133" s="10"/>
      <c r="AL133" s="23">
        <f t="shared" ref="AL133" si="210">+AP133-AP132</f>
        <v>36594</v>
      </c>
      <c r="AM133" s="24"/>
      <c r="AN133" s="24"/>
      <c r="AO133" s="24">
        <v>178263</v>
      </c>
      <c r="AP133" s="24">
        <v>1886583</v>
      </c>
      <c r="AQ133" s="24"/>
      <c r="AR133" s="504">
        <f t="shared" ref="AR133" si="211">+AL133/AP132</f>
        <v>1.9780658155264707E-2</v>
      </c>
      <c r="AS133" s="25"/>
      <c r="AT133" s="25"/>
      <c r="AU133" s="24"/>
      <c r="AV133" s="341">
        <f t="shared" ref="AV133" si="212">+AP133/H133</f>
        <v>0.46792260679835718</v>
      </c>
      <c r="AW133" s="341"/>
      <c r="AX133" s="24">
        <f t="shared" ref="AX133" si="213">+AP133/BW133</f>
        <v>15214.379032258064</v>
      </c>
      <c r="AY133" s="351"/>
      <c r="AZ133" s="10"/>
      <c r="BA133" s="66">
        <f t="shared" ref="BA133" si="214">+BC133-BC132</f>
        <v>751646</v>
      </c>
      <c r="BB133" s="67"/>
      <c r="BC133" s="67">
        <v>49913553</v>
      </c>
      <c r="BD133" s="67"/>
      <c r="BE133" s="67">
        <f t="shared" ref="BE133" si="215">+D133</f>
        <v>67479</v>
      </c>
      <c r="BF133" s="67"/>
      <c r="BG133" s="156">
        <f t="shared" ref="BG133" si="216">+BE133/BA133</f>
        <v>8.9774973857374346E-2</v>
      </c>
      <c r="BH133" s="67"/>
      <c r="BI133" s="183"/>
      <c r="BJ133" s="67"/>
      <c r="BK133" s="67"/>
      <c r="BL133" s="67"/>
      <c r="BM133" s="156"/>
      <c r="BN133" s="66">
        <f t="shared" ref="BN133" si="217">+BC133/BW133</f>
        <v>402528.65322580643</v>
      </c>
      <c r="BO133" s="67"/>
      <c r="BP133" s="67">
        <f t="shared" ref="BP133" si="218">+BP132+BE133</f>
        <v>3749288</v>
      </c>
      <c r="BQ133" s="67"/>
      <c r="BR133" s="478">
        <f t="shared" ref="BR133" si="219">+BP133/BC133</f>
        <v>7.5115630418054996E-2</v>
      </c>
      <c r="BS133" s="67"/>
      <c r="BT133" s="86"/>
      <c r="BU133" s="183"/>
      <c r="BV133" s="1"/>
      <c r="BW133">
        <f t="shared" si="53"/>
        <v>124</v>
      </c>
    </row>
    <row r="134" spans="1:75" x14ac:dyDescent="0.3">
      <c r="A134" s="61"/>
      <c r="B134" s="171">
        <f t="shared" si="52"/>
        <v>44034</v>
      </c>
      <c r="C134" s="61"/>
      <c r="D134" s="17">
        <v>71967</v>
      </c>
      <c r="E134" s="16"/>
      <c r="F134" s="16"/>
      <c r="G134" s="16"/>
      <c r="H134" s="16">
        <f t="shared" ref="H134" si="220">+H133+D134</f>
        <v>4103794</v>
      </c>
      <c r="I134" s="16"/>
      <c r="J134" s="479">
        <f t="shared" ref="J134" si="221">+D134/H133</f>
        <v>1.7849724206916617E-2</v>
      </c>
      <c r="K134" s="16"/>
      <c r="L134" s="16"/>
      <c r="M134" s="16"/>
      <c r="N134" s="16"/>
      <c r="O134" s="16">
        <f t="shared" ref="O134" si="222">+H134/BW134</f>
        <v>32830.351999999999</v>
      </c>
      <c r="P134" s="41"/>
      <c r="Q134" s="17">
        <f t="shared" ref="Q134" si="223">SUM(D128:D134)</f>
        <v>479238</v>
      </c>
      <c r="R134" s="16"/>
      <c r="S134" s="60">
        <f t="shared" ref="S134" si="224">+(Q134-Q127)/Q127</f>
        <v>4.9894514999025114E-2</v>
      </c>
      <c r="T134" s="16"/>
      <c r="U134" s="41"/>
      <c r="V134" s="10">
        <f t="shared" si="85"/>
        <v>26</v>
      </c>
      <c r="W134" s="34">
        <v>1205</v>
      </c>
      <c r="X134" s="33"/>
      <c r="Y134" s="33"/>
      <c r="Z134" s="33"/>
      <c r="AA134" s="33">
        <f t="shared" ref="AA134" si="225">+AA133+W134</f>
        <v>146853</v>
      </c>
      <c r="AB134" s="33"/>
      <c r="AC134" s="46">
        <f t="shared" ref="AC134" si="226">+AA134/H134</f>
        <v>3.5784690946962738E-2</v>
      </c>
      <c r="AD134" s="33"/>
      <c r="AE134" s="33">
        <f t="shared" ref="AE134" si="227">+AA134/BW134</f>
        <v>1174.8240000000001</v>
      </c>
      <c r="AF134" s="50"/>
      <c r="AG134" s="33"/>
      <c r="AH134" s="33"/>
      <c r="AI134" s="231"/>
      <c r="AJ134" s="50"/>
      <c r="AK134" s="10"/>
      <c r="AL134" s="23">
        <f t="shared" ref="AL134" si="228">+AP134-AP133</f>
        <v>56054</v>
      </c>
      <c r="AM134" s="24"/>
      <c r="AN134" s="24"/>
      <c r="AO134" s="24">
        <v>178263</v>
      </c>
      <c r="AP134" s="24">
        <v>1942637</v>
      </c>
      <c r="AQ134" s="24"/>
      <c r="AR134" s="504">
        <f t="shared" ref="AR134" si="229">+AL134/AP133</f>
        <v>2.971191832005271E-2</v>
      </c>
      <c r="AS134" s="25"/>
      <c r="AT134" s="25"/>
      <c r="AU134" s="24"/>
      <c r="AV134" s="341">
        <f t="shared" ref="AV134" si="230">+AP134/H134</f>
        <v>0.47337585658539388</v>
      </c>
      <c r="AW134" s="341"/>
      <c r="AX134" s="24">
        <f t="shared" ref="AX134" si="231">+AP134/BW134</f>
        <v>15541.096</v>
      </c>
      <c r="AY134" s="351"/>
      <c r="AZ134" s="10"/>
      <c r="BA134" s="66">
        <f t="shared" ref="BA134" si="232">+BC134-BC133</f>
        <v>819317</v>
      </c>
      <c r="BB134" s="67"/>
      <c r="BC134" s="67">
        <v>50732870</v>
      </c>
      <c r="BD134" s="67"/>
      <c r="BE134" s="67">
        <f t="shared" ref="BE134" si="233">+D134</f>
        <v>71967</v>
      </c>
      <c r="BF134" s="67"/>
      <c r="BG134" s="156">
        <f t="shared" ref="BG134" si="234">+BE134/BA134</f>
        <v>8.7837796603756541E-2</v>
      </c>
      <c r="BH134" s="67"/>
      <c r="BI134" s="183"/>
      <c r="BJ134" s="67"/>
      <c r="BK134" s="67"/>
      <c r="BL134" s="67"/>
      <c r="BM134" s="156"/>
      <c r="BN134" s="66">
        <f t="shared" ref="BN134" si="235">+BC134/BW134</f>
        <v>405862.96</v>
      </c>
      <c r="BO134" s="67"/>
      <c r="BP134" s="67">
        <f t="shared" ref="BP134" si="236">+BP133+BE134</f>
        <v>3821255</v>
      </c>
      <c r="BQ134" s="67"/>
      <c r="BR134" s="478">
        <f t="shared" ref="BR134" si="237">+BP134/BC134</f>
        <v>7.5321088674857151E-2</v>
      </c>
      <c r="BS134" s="67"/>
      <c r="BT134" s="86"/>
      <c r="BU134" s="183"/>
      <c r="BV134" s="1"/>
      <c r="BW134">
        <f t="shared" si="53"/>
        <v>125</v>
      </c>
    </row>
    <row r="135" spans="1:75" x14ac:dyDescent="0.3">
      <c r="A135" s="61"/>
      <c r="B135" s="171">
        <f t="shared" si="52"/>
        <v>44035</v>
      </c>
      <c r="C135" s="61"/>
      <c r="D135" s="17">
        <v>69443</v>
      </c>
      <c r="E135" s="16"/>
      <c r="F135" s="16"/>
      <c r="G135" s="16"/>
      <c r="H135" s="16">
        <f t="shared" ref="H135" si="238">+H134+D135</f>
        <v>4173237</v>
      </c>
      <c r="I135" s="16"/>
      <c r="J135" s="479">
        <f t="shared" ref="J135" si="239">+D135/H134</f>
        <v>1.6921658348347895E-2</v>
      </c>
      <c r="K135" s="16"/>
      <c r="L135" s="16"/>
      <c r="M135" s="16"/>
      <c r="N135" s="16"/>
      <c r="O135" s="16">
        <f t="shared" ref="O135" si="240">+H135/BW135</f>
        <v>33120.928571428572</v>
      </c>
      <c r="P135" s="41"/>
      <c r="Q135" s="17">
        <f t="shared" ref="Q135" si="241">SUM(D129:D135)</f>
        <v>475293</v>
      </c>
      <c r="R135" s="16"/>
      <c r="S135" s="60">
        <f t="shared" ref="S135" si="242">+(Q135-Q128)/Q128</f>
        <v>1.388485955152053E-2</v>
      </c>
      <c r="T135" s="16"/>
      <c r="U135" s="41"/>
      <c r="V135" s="10">
        <f t="shared" si="85"/>
        <v>27</v>
      </c>
      <c r="W135" s="34">
        <v>1166</v>
      </c>
      <c r="X135" s="33"/>
      <c r="Y135" s="33"/>
      <c r="Z135" s="33"/>
      <c r="AA135" s="33">
        <f t="shared" ref="AA135" si="243">+AA134+W135</f>
        <v>148019</v>
      </c>
      <c r="AB135" s="33"/>
      <c r="AC135" s="46">
        <f t="shared" ref="AC135" si="244">+AA135/H135</f>
        <v>3.5468630226368647E-2</v>
      </c>
      <c r="AD135" s="33"/>
      <c r="AE135" s="33">
        <f t="shared" ref="AE135" si="245">+AA135/BW135</f>
        <v>1174.7539682539682</v>
      </c>
      <c r="AF135" s="50"/>
      <c r="AG135" s="33"/>
      <c r="AH135" s="33"/>
      <c r="AI135" s="231"/>
      <c r="AJ135" s="50"/>
      <c r="AK135" s="10"/>
      <c r="AL135" s="23">
        <f t="shared" ref="AL135" si="246">+AP135-AP134</f>
        <v>36980</v>
      </c>
      <c r="AM135" s="24"/>
      <c r="AN135" s="24"/>
      <c r="AO135" s="24">
        <v>178263</v>
      </c>
      <c r="AP135" s="24">
        <v>1979617</v>
      </c>
      <c r="AQ135" s="24"/>
      <c r="AR135" s="504">
        <f t="shared" ref="AR135" si="247">+AL135/AP134</f>
        <v>1.9035980473963997E-2</v>
      </c>
      <c r="AS135" s="25"/>
      <c r="AT135" s="25"/>
      <c r="AU135" s="24"/>
      <c r="AV135" s="341">
        <f t="shared" ref="AV135" si="248">+AP135/H135</f>
        <v>0.47436007109109785</v>
      </c>
      <c r="AW135" s="341"/>
      <c r="AX135" s="24">
        <f t="shared" ref="AX135" si="249">+AP135/BW135</f>
        <v>15711.246031746032</v>
      </c>
      <c r="AY135" s="351"/>
      <c r="AZ135" s="10"/>
      <c r="BA135" s="66">
        <f t="shared" ref="BA135" si="250">+BC135-BC134</f>
        <v>819305</v>
      </c>
      <c r="BB135" s="67"/>
      <c r="BC135" s="67">
        <v>51552175</v>
      </c>
      <c r="BD135" s="67"/>
      <c r="BE135" s="67">
        <f t="shared" ref="BE135" si="251">+D135</f>
        <v>69443</v>
      </c>
      <c r="BF135" s="67"/>
      <c r="BG135" s="156">
        <f t="shared" ref="BG135" si="252">+BE135/BA135</f>
        <v>8.475842329779508E-2</v>
      </c>
      <c r="BH135" s="67"/>
      <c r="BI135" s="183"/>
      <c r="BJ135" s="67"/>
      <c r="BK135" s="67"/>
      <c r="BL135" s="67"/>
      <c r="BM135" s="156"/>
      <c r="BN135" s="66">
        <f t="shared" ref="BN135" si="253">+BC135/BW135</f>
        <v>409144.24603174604</v>
      </c>
      <c r="BO135" s="67"/>
      <c r="BP135" s="67">
        <f t="shared" ref="BP135" si="254">+BP134+BE135</f>
        <v>3890698</v>
      </c>
      <c r="BQ135" s="67"/>
      <c r="BR135" s="478">
        <f t="shared" ref="BR135" si="255">+BP135/BC135</f>
        <v>7.5471073722883655E-2</v>
      </c>
      <c r="BS135" s="67"/>
      <c r="BT135" s="86"/>
      <c r="BU135" s="183"/>
      <c r="BV135" s="1"/>
      <c r="BW135">
        <f t="shared" si="53"/>
        <v>126</v>
      </c>
    </row>
    <row r="136" spans="1:75" x14ac:dyDescent="0.3">
      <c r="A136" s="61"/>
      <c r="B136" s="171">
        <f t="shared" si="52"/>
        <v>44036</v>
      </c>
      <c r="C136" s="61"/>
      <c r="D136" s="17">
        <v>77978</v>
      </c>
      <c r="E136" s="16"/>
      <c r="F136" s="16"/>
      <c r="G136" s="16"/>
      <c r="H136" s="16">
        <f t="shared" ref="H136" si="256">+H135+D136</f>
        <v>4251215</v>
      </c>
      <c r="I136" s="16"/>
      <c r="J136" s="479">
        <f t="shared" ref="J136" si="257">+D136/H135</f>
        <v>1.8685255594158682E-2</v>
      </c>
      <c r="K136" s="16"/>
      <c r="L136" s="16"/>
      <c r="M136" s="16"/>
      <c r="N136" s="16"/>
      <c r="O136" s="16">
        <f t="shared" ref="O136" si="258">+H136/BW136</f>
        <v>33474.13385826772</v>
      </c>
      <c r="P136" s="41"/>
      <c r="Q136" s="17">
        <f t="shared" ref="Q136" si="259">SUM(D130:D136)</f>
        <v>478284</v>
      </c>
      <c r="R136" s="16"/>
      <c r="S136" s="60">
        <f t="shared" ref="S136" si="260">+(Q136-Q129)/Q129</f>
        <v>1.3347910098647412E-2</v>
      </c>
      <c r="T136" s="16"/>
      <c r="U136" s="41"/>
      <c r="V136" s="10">
        <f t="shared" si="85"/>
        <v>28</v>
      </c>
      <c r="W136" s="34">
        <v>1141</v>
      </c>
      <c r="X136" s="33"/>
      <c r="Y136" s="33"/>
      <c r="Z136" s="33"/>
      <c r="AA136" s="33">
        <f t="shared" ref="AA136" si="261">+AA135+W136</f>
        <v>149160</v>
      </c>
      <c r="AB136" s="33"/>
      <c r="AC136" s="46">
        <f t="shared" ref="AC136" si="262">+AA136/H136</f>
        <v>3.5086439994213417E-2</v>
      </c>
      <c r="AD136" s="33"/>
      <c r="AE136" s="33">
        <f t="shared" ref="AE136" si="263">+AA136/BW136</f>
        <v>1174.4881889763778</v>
      </c>
      <c r="AF136" s="50"/>
      <c r="AG136" s="33"/>
      <c r="AH136" s="33"/>
      <c r="AI136" s="231"/>
      <c r="AJ136" s="50"/>
      <c r="AK136" s="10"/>
      <c r="AL136" s="23">
        <f t="shared" ref="AL136" si="264">+AP136-AP135</f>
        <v>48275</v>
      </c>
      <c r="AM136" s="24"/>
      <c r="AN136" s="24"/>
      <c r="AO136" s="24">
        <v>178263</v>
      </c>
      <c r="AP136" s="24">
        <v>2027892</v>
      </c>
      <c r="AQ136" s="24"/>
      <c r="AR136" s="504">
        <f t="shared" ref="AR136" si="265">+AL136/AP135</f>
        <v>2.4386030227059072E-2</v>
      </c>
      <c r="AS136" s="25"/>
      <c r="AT136" s="25"/>
      <c r="AU136" s="24"/>
      <c r="AV136" s="341">
        <f t="shared" ref="AV136" si="266">+AP136/H136</f>
        <v>0.47701468874192438</v>
      </c>
      <c r="AW136" s="341"/>
      <c r="AX136" s="24">
        <f t="shared" ref="AX136" si="267">+AP136/BW136</f>
        <v>15967.653543307086</v>
      </c>
      <c r="AY136" s="351"/>
      <c r="AZ136" s="10"/>
      <c r="BA136" s="66">
        <f t="shared" ref="BA136" si="268">+BC136-BC135</f>
        <v>968251</v>
      </c>
      <c r="BB136" s="67"/>
      <c r="BC136" s="67">
        <v>52520426</v>
      </c>
      <c r="BD136" s="67"/>
      <c r="BE136" s="67">
        <f t="shared" ref="BE136" si="269">+D136</f>
        <v>77978</v>
      </c>
      <c r="BF136" s="67"/>
      <c r="BG136" s="156">
        <f t="shared" ref="BG136" si="270">+BE136/BA136</f>
        <v>8.0534902623390012E-2</v>
      </c>
      <c r="BH136" s="67"/>
      <c r="BI136" s="183"/>
      <c r="BJ136" s="67"/>
      <c r="BK136" s="67"/>
      <c r="BL136" s="67"/>
      <c r="BM136" s="156"/>
      <c r="BN136" s="66">
        <f t="shared" ref="BN136" si="271">+BC136/BW136</f>
        <v>413546.66141732282</v>
      </c>
      <c r="BO136" s="67"/>
      <c r="BP136" s="67">
        <f t="shared" ref="BP136" si="272">+BP135+BE136</f>
        <v>3968676</v>
      </c>
      <c r="BQ136" s="67"/>
      <c r="BR136" s="478">
        <f t="shared" ref="BR136" si="273">+BP136/BC136</f>
        <v>7.5564428970930284E-2</v>
      </c>
      <c r="BS136" s="67"/>
      <c r="BT136" s="86"/>
      <c r="BU136" s="183"/>
      <c r="BV136" s="1"/>
      <c r="BW136">
        <f t="shared" si="53"/>
        <v>127</v>
      </c>
    </row>
    <row r="137" spans="1:75" x14ac:dyDescent="0.3">
      <c r="A137" s="61"/>
      <c r="B137" s="171">
        <f t="shared" si="52"/>
        <v>44037</v>
      </c>
      <c r="C137" s="61"/>
      <c r="D137" s="17">
        <v>67413</v>
      </c>
      <c r="E137" s="16"/>
      <c r="F137" s="16"/>
      <c r="G137" s="16"/>
      <c r="H137" s="16">
        <f t="shared" ref="H137" si="274">+H136+D137</f>
        <v>4318628</v>
      </c>
      <c r="I137" s="16"/>
      <c r="J137" s="479">
        <f t="shared" ref="J137" si="275">+D137/H136</f>
        <v>1.5857349016692876E-2</v>
      </c>
      <c r="K137" s="16"/>
      <c r="L137" s="16"/>
      <c r="M137" s="16"/>
      <c r="N137" s="16"/>
      <c r="O137" s="16">
        <f t="shared" ref="O137" si="276">+H137/BW137</f>
        <v>33739.28125</v>
      </c>
      <c r="P137" s="41"/>
      <c r="Q137" s="17">
        <f t="shared" ref="Q137" si="277">SUM(D131:D137)</f>
        <v>482438</v>
      </c>
      <c r="R137" s="16"/>
      <c r="S137" s="60">
        <f t="shared" ref="S137" si="278">+(Q137-Q130)/Q130</f>
        <v>1.8824811413993801E-2</v>
      </c>
      <c r="T137" s="16"/>
      <c r="U137" s="41"/>
      <c r="V137" s="10">
        <f t="shared" si="85"/>
        <v>29</v>
      </c>
      <c r="W137" s="34">
        <v>908</v>
      </c>
      <c r="X137" s="33"/>
      <c r="Y137" s="33"/>
      <c r="Z137" s="33"/>
      <c r="AA137" s="33">
        <f t="shared" ref="AA137" si="279">+AA136+W137</f>
        <v>150068</v>
      </c>
      <c r="AB137" s="33"/>
      <c r="AC137" s="46">
        <f t="shared" ref="AC137" si="280">+AA137/H137</f>
        <v>3.4748998987641444E-2</v>
      </c>
      <c r="AD137" s="33"/>
      <c r="AE137" s="33">
        <f t="shared" ref="AE137" si="281">+AA137/BW137</f>
        <v>1172.40625</v>
      </c>
      <c r="AF137" s="50"/>
      <c r="AG137" s="33"/>
      <c r="AH137" s="33"/>
      <c r="AI137" s="231"/>
      <c r="AJ137" s="50"/>
      <c r="AK137" s="10"/>
      <c r="AL137" s="23">
        <f t="shared" ref="AL137" si="282">+AP137-AP136</f>
        <v>33800</v>
      </c>
      <c r="AM137" s="24"/>
      <c r="AN137" s="24"/>
      <c r="AO137" s="24">
        <v>178263</v>
      </c>
      <c r="AP137" s="24">
        <v>2061692</v>
      </c>
      <c r="AQ137" s="24"/>
      <c r="AR137" s="504">
        <f t="shared" ref="AR137" si="283">+AL137/AP136</f>
        <v>1.6667554287900933E-2</v>
      </c>
      <c r="AS137" s="25"/>
      <c r="AT137" s="25"/>
      <c r="AU137" s="24"/>
      <c r="AV137" s="341">
        <f t="shared" ref="AV137" si="284">+AP137/H137</f>
        <v>0.47739513567734937</v>
      </c>
      <c r="AW137" s="341"/>
      <c r="AX137" s="24">
        <f t="shared" ref="AX137" si="285">+AP137/BW137</f>
        <v>16106.96875</v>
      </c>
      <c r="AY137" s="351"/>
      <c r="AZ137" s="10"/>
      <c r="BA137" s="66">
        <f t="shared" ref="BA137" si="286">+BC137-BC136</f>
        <v>831824</v>
      </c>
      <c r="BB137" s="67"/>
      <c r="BC137" s="67">
        <v>53352250</v>
      </c>
      <c r="BD137" s="67"/>
      <c r="BE137" s="67">
        <f t="shared" ref="BE137" si="287">+D137</f>
        <v>67413</v>
      </c>
      <c r="BF137" s="67"/>
      <c r="BG137" s="156">
        <f t="shared" ref="BG137" si="288">+BE137/BA137</f>
        <v>8.1042383965838932E-2</v>
      </c>
      <c r="BH137" s="67"/>
      <c r="BI137" s="183"/>
      <c r="BJ137" s="67"/>
      <c r="BK137" s="67"/>
      <c r="BL137" s="67"/>
      <c r="BM137" s="156"/>
      <c r="BN137" s="66">
        <f t="shared" ref="BN137" si="289">+BC137/BW137</f>
        <v>416814.453125</v>
      </c>
      <c r="BO137" s="67"/>
      <c r="BP137" s="67">
        <f t="shared" ref="BP137" si="290">+BP136+BE137</f>
        <v>4036089</v>
      </c>
      <c r="BQ137" s="67"/>
      <c r="BR137" s="478">
        <f t="shared" ref="BR137" si="291">+BP137/BC137</f>
        <v>7.5649836698545983E-2</v>
      </c>
      <c r="BS137" s="67"/>
      <c r="BT137" s="86"/>
      <c r="BU137" s="183"/>
      <c r="BV137" s="1"/>
      <c r="BW137">
        <f t="shared" si="53"/>
        <v>128</v>
      </c>
    </row>
    <row r="138" spans="1:75" x14ac:dyDescent="0.3">
      <c r="A138" s="61"/>
      <c r="B138" s="390">
        <f t="shared" si="52"/>
        <v>44038</v>
      </c>
      <c r="C138" s="61"/>
      <c r="D138" s="17">
        <v>56130</v>
      </c>
      <c r="E138" s="16"/>
      <c r="F138" s="16"/>
      <c r="G138" s="16"/>
      <c r="H138" s="16">
        <f t="shared" ref="H138" si="292">+H137+D138</f>
        <v>4374758</v>
      </c>
      <c r="I138" s="16"/>
      <c r="J138" s="479">
        <f t="shared" ref="J138" si="293">+D138/H137</f>
        <v>1.2997183364716757E-2</v>
      </c>
      <c r="K138" s="16"/>
      <c r="L138" s="16"/>
      <c r="M138" s="16"/>
      <c r="N138" s="16">
        <f>SUM(D132:D138)</f>
        <v>473289</v>
      </c>
      <c r="O138" s="16">
        <f t="shared" ref="O138" si="294">+H138/BW138</f>
        <v>33912.852713178298</v>
      </c>
      <c r="P138" s="41"/>
      <c r="Q138" s="17">
        <f t="shared" ref="Q138" si="295">SUM(D132:D138)</f>
        <v>473289</v>
      </c>
      <c r="R138" s="16"/>
      <c r="S138" s="60">
        <f t="shared" ref="S138" si="296">+(Q138-Q131)/Q131</f>
        <v>-1.4912978141507823E-2</v>
      </c>
      <c r="T138" s="16"/>
      <c r="U138" s="41"/>
      <c r="V138" s="391">
        <f t="shared" si="85"/>
        <v>30</v>
      </c>
      <c r="W138" s="34">
        <v>450</v>
      </c>
      <c r="X138" s="33"/>
      <c r="Y138" s="33"/>
      <c r="Z138" s="33"/>
      <c r="AA138" s="33">
        <f t="shared" ref="AA138" si="297">+AA137+W138</f>
        <v>150518</v>
      </c>
      <c r="AB138" s="33"/>
      <c r="AC138" s="46">
        <f t="shared" ref="AC138" si="298">+AA138/H138</f>
        <v>3.4406017429992698E-2</v>
      </c>
      <c r="AD138" s="33"/>
      <c r="AE138" s="33">
        <f t="shared" ref="AE138" si="299">+AA138/BW138</f>
        <v>1166.8062015503876</v>
      </c>
      <c r="AF138" s="50"/>
      <c r="AG138" s="33">
        <f t="shared" ref="AG138" si="300">SUM(W132:W138)</f>
        <v>6580</v>
      </c>
      <c r="AH138" s="33">
        <f>SUM(D109:D173)</f>
        <v>3125672</v>
      </c>
      <c r="AI138" s="231">
        <f t="shared" ref="AI138" si="301">+(AG138-AG131)/AG131</f>
        <v>0.18836915297092288</v>
      </c>
      <c r="AJ138" s="50"/>
      <c r="AK138" s="391"/>
      <c r="AL138" s="23">
        <f t="shared" ref="AL138" si="302">+AP138-AP137</f>
        <v>28437</v>
      </c>
      <c r="AM138" s="24"/>
      <c r="AN138" s="24"/>
      <c r="AO138" s="24">
        <v>178263</v>
      </c>
      <c r="AP138" s="24">
        <v>2090129</v>
      </c>
      <c r="AQ138" s="24"/>
      <c r="AR138" s="504">
        <f t="shared" ref="AR138" si="303">+AL138/AP137</f>
        <v>1.3793039891506587E-2</v>
      </c>
      <c r="AS138" s="25"/>
      <c r="AT138" s="25"/>
      <c r="AU138" s="24"/>
      <c r="AV138" s="341">
        <f t="shared" ref="AV138" si="304">+AP138/H138</f>
        <v>0.4777701989458617</v>
      </c>
      <c r="AW138" s="341"/>
      <c r="AX138" s="24">
        <f t="shared" ref="AX138" si="305">+AP138/BW138</f>
        <v>16202.550387596899</v>
      </c>
      <c r="AY138" s="351"/>
      <c r="AZ138" s="391"/>
      <c r="BA138" s="66">
        <f t="shared" ref="BA138" si="306">+BC138-BC137</f>
        <v>867325</v>
      </c>
      <c r="BB138" s="67"/>
      <c r="BC138" s="67">
        <v>54219575</v>
      </c>
      <c r="BD138" s="67"/>
      <c r="BE138" s="67">
        <f t="shared" ref="BE138" si="307">+D138</f>
        <v>56130</v>
      </c>
      <c r="BF138" s="67"/>
      <c r="BG138" s="156">
        <f t="shared" ref="BG138" si="308">+BE138/BA138</f>
        <v>6.4716225175107375E-2</v>
      </c>
      <c r="BH138" s="67"/>
      <c r="BI138" s="183"/>
      <c r="BJ138" s="67"/>
      <c r="BK138" s="67">
        <f t="shared" ref="BK138" si="309">SUM(BA132:BA138)</f>
        <v>5877840</v>
      </c>
      <c r="BL138" s="67"/>
      <c r="BM138" s="156">
        <f t="shared" ref="BM138" si="310">+Q138/BK138</f>
        <v>8.0520905638806095E-2</v>
      </c>
      <c r="BN138" s="66">
        <f t="shared" ref="BN138" si="311">+BC138/BW138</f>
        <v>420306.78294573643</v>
      </c>
      <c r="BO138" s="67"/>
      <c r="BP138" s="67">
        <f t="shared" ref="BP138" si="312">+BP137+BE138</f>
        <v>4092219</v>
      </c>
      <c r="BQ138" s="67"/>
      <c r="BR138" s="478">
        <f t="shared" ref="BR138" si="313">+BP138/BC138</f>
        <v>7.5474936865513972E-2</v>
      </c>
      <c r="BS138" s="67"/>
      <c r="BT138" s="86"/>
      <c r="BU138" s="183"/>
      <c r="BV138" s="1"/>
      <c r="BW138" s="472">
        <f t="shared" si="53"/>
        <v>129</v>
      </c>
    </row>
    <row r="139" spans="1:75" x14ac:dyDescent="0.3">
      <c r="A139" s="552"/>
      <c r="B139" s="171">
        <f t="shared" si="52"/>
        <v>44039</v>
      </c>
      <c r="C139" s="61"/>
      <c r="D139" s="17">
        <v>61571</v>
      </c>
      <c r="E139" s="16"/>
      <c r="F139" s="16"/>
      <c r="G139" s="16"/>
      <c r="H139" s="16">
        <f t="shared" ref="H139" si="314">+H138+D139</f>
        <v>4436329</v>
      </c>
      <c r="I139" s="16"/>
      <c r="J139" s="479">
        <f t="shared" ref="J139" si="315">+D139/H138</f>
        <v>1.4074149930121849E-2</v>
      </c>
      <c r="K139" s="16"/>
      <c r="L139" s="16"/>
      <c r="M139" s="16"/>
      <c r="N139" s="16"/>
      <c r="O139" s="16">
        <f t="shared" ref="O139" si="316">+H139/BW139</f>
        <v>34125.607692307691</v>
      </c>
      <c r="P139" s="41"/>
      <c r="Q139" s="17">
        <f t="shared" ref="Q139" si="317">SUM(D133:D139)</f>
        <v>471981</v>
      </c>
      <c r="R139" s="16"/>
      <c r="S139" s="60">
        <f t="shared" ref="S139" si="318">+(Q139-Q132)/Q132</f>
        <v>-1.2271761763751844E-2</v>
      </c>
      <c r="T139" s="16"/>
      <c r="U139" s="41"/>
      <c r="V139" s="10">
        <f t="shared" ref="V139" si="319">+V138+1</f>
        <v>31</v>
      </c>
      <c r="W139" s="34">
        <v>596</v>
      </c>
      <c r="X139" s="33"/>
      <c r="Y139" s="33"/>
      <c r="Z139" s="33"/>
      <c r="AA139" s="33">
        <f t="shared" ref="AA139" si="320">+AA138+W139</f>
        <v>151114</v>
      </c>
      <c r="AB139" s="33"/>
      <c r="AC139" s="46">
        <f t="shared" ref="AC139" si="321">+AA139/H139</f>
        <v>3.4062847908710107E-2</v>
      </c>
      <c r="AD139" s="33"/>
      <c r="AE139" s="33">
        <f t="shared" ref="AE139" si="322">+AA139/BW139</f>
        <v>1162.4153846153847</v>
      </c>
      <c r="AF139" s="50"/>
      <c r="AG139" s="33"/>
      <c r="AH139" s="33"/>
      <c r="AI139" s="231"/>
      <c r="AJ139" s="50"/>
      <c r="AK139" s="10"/>
      <c r="AL139" s="23">
        <f t="shared" ref="AL139" si="323">+AP139-AP138</f>
        <v>46474</v>
      </c>
      <c r="AM139" s="24"/>
      <c r="AN139" s="24"/>
      <c r="AO139" s="24">
        <v>178263</v>
      </c>
      <c r="AP139" s="24">
        <v>2136603</v>
      </c>
      <c r="AQ139" s="24"/>
      <c r="AR139" s="504">
        <f t="shared" ref="AR139" si="324">+AL139/AP138</f>
        <v>2.2234991237382956E-2</v>
      </c>
      <c r="AS139" s="25"/>
      <c r="AT139" s="25"/>
      <c r="AU139" s="24"/>
      <c r="AV139" s="341">
        <f t="shared" ref="AV139" si="325">+AP139/H139</f>
        <v>0.48161509211782988</v>
      </c>
      <c r="AW139" s="341"/>
      <c r="AX139" s="24">
        <f t="shared" ref="AX139" si="326">+AP139/BW139</f>
        <v>16435.407692307694</v>
      </c>
      <c r="AY139" s="351"/>
      <c r="AZ139" s="10"/>
      <c r="BA139" s="66">
        <f t="shared" ref="BA139" si="327">+BC139-BC138</f>
        <v>798661</v>
      </c>
      <c r="BB139" s="67"/>
      <c r="BC139" s="67">
        <v>55018236</v>
      </c>
      <c r="BD139" s="67"/>
      <c r="BE139" s="67">
        <f t="shared" ref="BE139" si="328">+D139</f>
        <v>61571</v>
      </c>
      <c r="BF139" s="67"/>
      <c r="BG139" s="156">
        <f t="shared" ref="BG139" si="329">+BE139/BA139</f>
        <v>7.7092784047299162E-2</v>
      </c>
      <c r="BH139" s="67"/>
      <c r="BI139" s="183"/>
      <c r="BJ139" s="67"/>
      <c r="BK139" s="67">
        <f t="shared" ref="BK139" si="330">SUM(BA133:BA139)</f>
        <v>5856329</v>
      </c>
      <c r="BL139" s="67"/>
      <c r="BM139" s="156">
        <f t="shared" ref="BM139" si="331">+Q139/BK139</f>
        <v>8.059332049138633E-2</v>
      </c>
      <c r="BN139" s="66">
        <f t="shared" ref="BN139" si="332">+BC139/BW139</f>
        <v>423217.2</v>
      </c>
      <c r="BO139" s="67"/>
      <c r="BP139" s="67">
        <f t="shared" ref="BP139" si="333">+BP138+BE139</f>
        <v>4153790</v>
      </c>
      <c r="BQ139" s="67"/>
      <c r="BR139" s="478">
        <f t="shared" ref="BR139" si="334">+BP139/BC139</f>
        <v>7.5498422014111832E-2</v>
      </c>
      <c r="BS139" s="67"/>
      <c r="BT139" s="86"/>
      <c r="BU139" s="183"/>
      <c r="BV139" s="1"/>
      <c r="BW139" s="61">
        <f t="shared" si="53"/>
        <v>130</v>
      </c>
    </row>
    <row r="140" spans="1:75" x14ac:dyDescent="0.3">
      <c r="A140" s="61"/>
      <c r="B140" s="171">
        <f t="shared" si="52"/>
        <v>44040</v>
      </c>
      <c r="C140" s="61"/>
      <c r="D140" s="17">
        <v>64729</v>
      </c>
      <c r="E140" s="16"/>
      <c r="F140" s="16"/>
      <c r="G140" s="16"/>
      <c r="H140" s="16">
        <f t="shared" ref="H140" si="335">+H139+D140</f>
        <v>4501058</v>
      </c>
      <c r="I140" s="16"/>
      <c r="J140" s="479">
        <f t="shared" ref="J140" si="336">+D140/H139</f>
        <v>1.4590667193528703E-2</v>
      </c>
      <c r="K140" s="16"/>
      <c r="L140" s="16"/>
      <c r="M140" s="16"/>
      <c r="N140" s="16"/>
      <c r="O140" s="16">
        <f t="shared" ref="O140" si="337">+H140/BW140</f>
        <v>34359.221374045803</v>
      </c>
      <c r="P140" s="41"/>
      <c r="Q140" s="17">
        <f t="shared" ref="Q140" si="338">SUM(D134:D140)</f>
        <v>469231</v>
      </c>
      <c r="R140" s="16"/>
      <c r="S140" s="60">
        <f t="shared" ref="S140" si="339">+(Q140-Q133)/Q133</f>
        <v>-2.0958696033183385E-2</v>
      </c>
      <c r="T140" s="16"/>
      <c r="U140" s="41"/>
      <c r="V140" s="10">
        <f t="shared" ref="V140:V161" si="340">+V139+1</f>
        <v>32</v>
      </c>
      <c r="W140" s="34">
        <v>1245</v>
      </c>
      <c r="X140" s="33"/>
      <c r="Y140" s="33"/>
      <c r="Z140" s="33"/>
      <c r="AA140" s="33">
        <f t="shared" ref="AA140" si="341">+AA139+W140</f>
        <v>152359</v>
      </c>
      <c r="AB140" s="33"/>
      <c r="AC140" s="46">
        <f t="shared" ref="AC140" si="342">+AA140/H140</f>
        <v>3.3849597139161504E-2</v>
      </c>
      <c r="AD140" s="33"/>
      <c r="AE140" s="33">
        <f t="shared" ref="AE140" si="343">+AA140/BW140</f>
        <v>1163.0458015267175</v>
      </c>
      <c r="AF140" s="50"/>
      <c r="AG140" s="33"/>
      <c r="AH140" s="33"/>
      <c r="AI140" s="231"/>
      <c r="AJ140" s="50"/>
      <c r="AK140" s="10"/>
      <c r="AL140" s="23">
        <f t="shared" ref="AL140" si="344">+AP140-AP139</f>
        <v>49291</v>
      </c>
      <c r="AM140" s="24"/>
      <c r="AN140" s="24"/>
      <c r="AO140" s="24">
        <v>178263</v>
      </c>
      <c r="AP140" s="24">
        <v>2185894</v>
      </c>
      <c r="AQ140" s="24"/>
      <c r="AR140" s="504">
        <f t="shared" ref="AR140" si="345">+AL140/AP139</f>
        <v>2.3069798179633744E-2</v>
      </c>
      <c r="AS140" s="25"/>
      <c r="AT140" s="25"/>
      <c r="AU140" s="24"/>
      <c r="AV140" s="341">
        <f t="shared" ref="AV140" si="346">+AP140/H140</f>
        <v>0.48564004285214718</v>
      </c>
      <c r="AW140" s="341"/>
      <c r="AX140" s="24">
        <f t="shared" ref="AX140" si="347">+AP140/BW140</f>
        <v>16686.213740458013</v>
      </c>
      <c r="AY140" s="351"/>
      <c r="AZ140" s="10"/>
      <c r="BA140" s="66">
        <f t="shared" ref="BA140" si="348">+BC140-BC139</f>
        <v>787180</v>
      </c>
      <c r="BB140" s="67"/>
      <c r="BC140" s="67">
        <v>55805416</v>
      </c>
      <c r="BD140" s="67"/>
      <c r="BE140" s="67">
        <f t="shared" ref="BE140" si="349">+D140</f>
        <v>64729</v>
      </c>
      <c r="BF140" s="67"/>
      <c r="BG140" s="156">
        <f t="shared" ref="BG140" si="350">+BE140/BA140</f>
        <v>8.2228969231941867E-2</v>
      </c>
      <c r="BH140" s="67"/>
      <c r="BI140" s="183"/>
      <c r="BJ140" s="67"/>
      <c r="BK140" s="67">
        <f t="shared" ref="BK140" si="351">SUM(BA134:BA140)</f>
        <v>5891863</v>
      </c>
      <c r="BL140" s="67"/>
      <c r="BM140" s="156">
        <f t="shared" ref="BM140" si="352">+Q140/BK140</f>
        <v>7.9640514383990266E-2</v>
      </c>
      <c r="BN140" s="66">
        <f t="shared" ref="BN140" si="353">+BC140/BW140</f>
        <v>425995.54198473284</v>
      </c>
      <c r="BO140" s="67"/>
      <c r="BP140" s="67">
        <f t="shared" ref="BP140" si="354">+BP139+BE140</f>
        <v>4218519</v>
      </c>
      <c r="BQ140" s="67"/>
      <c r="BR140" s="478">
        <f t="shared" ref="BR140" si="355">+BP140/BC140</f>
        <v>7.5593361762593084E-2</v>
      </c>
      <c r="BS140" s="67"/>
      <c r="BT140" s="86"/>
      <c r="BU140" s="183"/>
      <c r="BV140" s="1"/>
      <c r="BW140" s="61">
        <f t="shared" si="53"/>
        <v>131</v>
      </c>
    </row>
    <row r="141" spans="1:75" x14ac:dyDescent="0.3">
      <c r="A141" s="61"/>
      <c r="B141" s="171">
        <f t="shared" si="52"/>
        <v>44041</v>
      </c>
      <c r="C141" s="61"/>
      <c r="D141" s="17">
        <v>66921</v>
      </c>
      <c r="E141" s="16"/>
      <c r="F141" s="16"/>
      <c r="G141" s="16"/>
      <c r="H141" s="16">
        <f t="shared" ref="H141" si="356">+H140+D141</f>
        <v>4567979</v>
      </c>
      <c r="I141" s="16"/>
      <c r="J141" s="479">
        <f t="shared" ref="J141" si="357">+D141/H140</f>
        <v>1.4867837739482585E-2</v>
      </c>
      <c r="K141" s="16"/>
      <c r="L141" s="16"/>
      <c r="M141" s="16"/>
      <c r="N141" s="16"/>
      <c r="O141" s="16">
        <f t="shared" ref="O141" si="358">+H141/BW141</f>
        <v>34605.901515151512</v>
      </c>
      <c r="P141" s="41"/>
      <c r="Q141" s="17">
        <f t="shared" ref="Q141" si="359">SUM(D135:D141)</f>
        <v>464185</v>
      </c>
      <c r="R141" s="16"/>
      <c r="S141" s="60">
        <f t="shared" ref="S141" si="360">+(Q141-Q134)/Q134</f>
        <v>-3.1410280486939682E-2</v>
      </c>
      <c r="T141" s="16"/>
      <c r="U141" s="41"/>
      <c r="V141" s="10">
        <f t="shared" si="340"/>
        <v>33</v>
      </c>
      <c r="W141" s="34">
        <v>1485</v>
      </c>
      <c r="X141" s="33"/>
      <c r="Y141" s="33"/>
      <c r="Z141" s="33"/>
      <c r="AA141" s="33">
        <f t="shared" ref="AA141" si="361">+AA140+W141</f>
        <v>153844</v>
      </c>
      <c r="AB141" s="33"/>
      <c r="AC141" s="46">
        <f t="shared" ref="AC141" si="362">+AA141/H141</f>
        <v>3.3678788803538723E-2</v>
      </c>
      <c r="AD141" s="33"/>
      <c r="AE141" s="33">
        <f t="shared" ref="AE141" si="363">+AA141/BW141</f>
        <v>1165.4848484848485</v>
      </c>
      <c r="AF141" s="50"/>
      <c r="AG141" s="33"/>
      <c r="AH141" s="33"/>
      <c r="AI141" s="231"/>
      <c r="AJ141" s="50"/>
      <c r="AK141" s="10"/>
      <c r="AL141" s="23">
        <f t="shared" ref="AL141" si="364">+AP141-AP140</f>
        <v>59150</v>
      </c>
      <c r="AM141" s="24"/>
      <c r="AN141" s="24"/>
      <c r="AO141" s="24">
        <v>178263</v>
      </c>
      <c r="AP141" s="24">
        <v>2245044</v>
      </c>
      <c r="AQ141" s="24"/>
      <c r="AR141" s="504">
        <f t="shared" ref="AR141" si="365">+AL141/AP140</f>
        <v>2.7059866580904656E-2</v>
      </c>
      <c r="AS141" s="25"/>
      <c r="AT141" s="25"/>
      <c r="AU141" s="24"/>
      <c r="AV141" s="341">
        <f t="shared" ref="AV141" si="366">+AP141/H141</f>
        <v>0.49147423838857401</v>
      </c>
      <c r="AW141" s="341"/>
      <c r="AX141" s="24">
        <f t="shared" ref="AX141" si="367">+AP141/BW141</f>
        <v>17007.909090909092</v>
      </c>
      <c r="AY141" s="351"/>
      <c r="AZ141" s="10"/>
      <c r="BA141" s="66">
        <f t="shared" ref="BA141" si="368">+BC141-BC140</f>
        <v>878963</v>
      </c>
      <c r="BB141" s="67"/>
      <c r="BC141" s="67">
        <v>56684379</v>
      </c>
      <c r="BD141" s="67"/>
      <c r="BE141" s="67">
        <f t="shared" ref="BE141" si="369">+D141</f>
        <v>66921</v>
      </c>
      <c r="BF141" s="67"/>
      <c r="BG141" s="156">
        <f t="shared" ref="BG141" si="370">+BE141/BA141</f>
        <v>7.6136310629685205E-2</v>
      </c>
      <c r="BH141" s="67"/>
      <c r="BI141" s="183"/>
      <c r="BJ141" s="67"/>
      <c r="BK141" s="67">
        <f t="shared" ref="BK141" si="371">SUM(BA135:BA141)</f>
        <v>5951509</v>
      </c>
      <c r="BL141" s="67"/>
      <c r="BM141" s="156">
        <f t="shared" ref="BM141" si="372">+Q141/BK141</f>
        <v>7.7994505259086397E-2</v>
      </c>
      <c r="BN141" s="66">
        <f t="shared" ref="BN141" si="373">+BC141/BW141</f>
        <v>429427.11363636365</v>
      </c>
      <c r="BO141" s="67"/>
      <c r="BP141" s="67">
        <f t="shared" ref="BP141" si="374">+BP140+BE141</f>
        <v>4285440</v>
      </c>
      <c r="BQ141" s="67"/>
      <c r="BR141" s="478">
        <f t="shared" ref="BR141" si="375">+BP141/BC141</f>
        <v>7.5601780871587212E-2</v>
      </c>
      <c r="BS141" s="67"/>
      <c r="BT141" s="86"/>
      <c r="BU141" s="183"/>
      <c r="BV141" s="1"/>
      <c r="BW141" s="61">
        <f t="shared" si="53"/>
        <v>132</v>
      </c>
    </row>
    <row r="142" spans="1:75" x14ac:dyDescent="0.3">
      <c r="A142" s="61"/>
      <c r="B142" s="171">
        <f t="shared" si="52"/>
        <v>44042</v>
      </c>
      <c r="C142" s="61"/>
      <c r="D142" s="17">
        <v>68569</v>
      </c>
      <c r="E142" s="16"/>
      <c r="F142" s="16"/>
      <c r="G142" s="16"/>
      <c r="H142" s="16">
        <f t="shared" ref="H142" si="376">+H141+D142</f>
        <v>4636548</v>
      </c>
      <c r="I142" s="16"/>
      <c r="J142" s="479">
        <f t="shared" ref="J142" si="377">+D142/H141</f>
        <v>1.5010795802695241E-2</v>
      </c>
      <c r="K142" s="16"/>
      <c r="L142" s="16"/>
      <c r="M142" s="16"/>
      <c r="N142" s="16"/>
      <c r="O142" s="16">
        <f t="shared" ref="O142" si="378">+H142/BW142</f>
        <v>34861.26315789474</v>
      </c>
      <c r="P142" s="41"/>
      <c r="Q142" s="17">
        <f t="shared" ref="Q142" si="379">SUM(D136:D142)</f>
        <v>463311</v>
      </c>
      <c r="R142" s="16"/>
      <c r="S142" s="60">
        <f t="shared" ref="S142" si="380">+(Q142-Q135)/Q135</f>
        <v>-2.5209712745611654E-2</v>
      </c>
      <c r="T142" s="16"/>
      <c r="U142" s="41"/>
      <c r="V142" s="10">
        <f t="shared" si="340"/>
        <v>34</v>
      </c>
      <c r="W142" s="34">
        <v>1465</v>
      </c>
      <c r="X142" s="33"/>
      <c r="Y142" s="33"/>
      <c r="Z142" s="33"/>
      <c r="AA142" s="33">
        <f t="shared" ref="AA142" si="381">+AA141+W142</f>
        <v>155309</v>
      </c>
      <c r="AB142" s="33"/>
      <c r="AC142" s="46">
        <f t="shared" ref="AC142" si="382">+AA142/H142</f>
        <v>3.3496687621911818E-2</v>
      </c>
      <c r="AD142" s="33"/>
      <c r="AE142" s="33">
        <f t="shared" ref="AE142" si="383">+AA142/BW142</f>
        <v>1167.7368421052631</v>
      </c>
      <c r="AF142" s="50"/>
      <c r="AG142" s="33"/>
      <c r="AH142" s="33"/>
      <c r="AI142" s="231"/>
      <c r="AJ142" s="50"/>
      <c r="AK142" s="10"/>
      <c r="AL142" s="23">
        <f t="shared" ref="AL142" si="384">+AP142-AP141</f>
        <v>39921</v>
      </c>
      <c r="AM142" s="24"/>
      <c r="AN142" s="24"/>
      <c r="AO142" s="24">
        <v>178263</v>
      </c>
      <c r="AP142" s="24">
        <v>2284965</v>
      </c>
      <c r="AQ142" s="24"/>
      <c r="AR142" s="504">
        <f t="shared" ref="AR142" si="385">+AL142/AP141</f>
        <v>1.7781834119954886E-2</v>
      </c>
      <c r="AS142" s="25"/>
      <c r="AT142" s="25"/>
      <c r="AU142" s="24"/>
      <c r="AV142" s="341">
        <f t="shared" ref="AV142" si="386">+AP142/H142</f>
        <v>0.49281599155233591</v>
      </c>
      <c r="AW142" s="341"/>
      <c r="AX142" s="24">
        <f t="shared" ref="AX142" si="387">+AP142/BW142</f>
        <v>17180.187969924813</v>
      </c>
      <c r="AY142" s="351"/>
      <c r="AZ142" s="10"/>
      <c r="BA142" s="66">
        <f t="shared" ref="BA142" si="388">+BC142-BC141</f>
        <v>836765</v>
      </c>
      <c r="BB142" s="67"/>
      <c r="BC142" s="67">
        <v>57521144</v>
      </c>
      <c r="BD142" s="67"/>
      <c r="BE142" s="67">
        <f t="shared" ref="BE142" si="389">+D142</f>
        <v>68569</v>
      </c>
      <c r="BF142" s="67"/>
      <c r="BG142" s="156">
        <f t="shared" ref="BG142" si="390">+BE142/BA142</f>
        <v>8.1945349052601382E-2</v>
      </c>
      <c r="BH142" s="67"/>
      <c r="BI142" s="183"/>
      <c r="BJ142" s="67"/>
      <c r="BK142" s="67">
        <f t="shared" ref="BK142" si="391">SUM(BA136:BA142)</f>
        <v>5968969</v>
      </c>
      <c r="BL142" s="67"/>
      <c r="BM142" s="156">
        <f t="shared" ref="BM142" si="392">+Q142/BK142</f>
        <v>7.7619937379470386E-2</v>
      </c>
      <c r="BN142" s="66">
        <f t="shared" ref="BN142" si="393">+BC142/BW142</f>
        <v>432489.80451127817</v>
      </c>
      <c r="BO142" s="67"/>
      <c r="BP142" s="67">
        <f t="shared" ref="BP142" si="394">+BP141+BE142</f>
        <v>4354009</v>
      </c>
      <c r="BQ142" s="67"/>
      <c r="BR142" s="478">
        <f t="shared" ref="BR142" si="395">+BP142/BC142</f>
        <v>7.5694061300310714E-2</v>
      </c>
      <c r="BS142" s="67"/>
      <c r="BT142" s="86"/>
      <c r="BU142" s="183"/>
      <c r="BV142" s="1"/>
      <c r="BW142" s="61">
        <f t="shared" si="53"/>
        <v>133</v>
      </c>
    </row>
    <row r="143" spans="1:75" x14ac:dyDescent="0.3">
      <c r="A143" s="61"/>
      <c r="B143" s="171">
        <f t="shared" si="52"/>
        <v>44043</v>
      </c>
      <c r="C143" s="61"/>
      <c r="D143" s="17">
        <v>71083</v>
      </c>
      <c r="E143" s="16"/>
      <c r="F143" s="16"/>
      <c r="G143" s="16"/>
      <c r="H143" s="16">
        <f t="shared" ref="H143" si="396">+H142+D143</f>
        <v>4707631</v>
      </c>
      <c r="I143" s="16"/>
      <c r="J143" s="479">
        <f t="shared" ref="J143" si="397">+D143/H142</f>
        <v>1.5331017817566E-2</v>
      </c>
      <c r="K143" s="16"/>
      <c r="L143" s="16"/>
      <c r="M143" s="16"/>
      <c r="N143" s="16"/>
      <c r="O143" s="16">
        <f t="shared" ref="O143" si="398">+H143/BW143</f>
        <v>35131.574626865673</v>
      </c>
      <c r="P143" s="41"/>
      <c r="Q143" s="17">
        <f t="shared" ref="Q143" si="399">SUM(D137:D143)</f>
        <v>456416</v>
      </c>
      <c r="R143" s="16"/>
      <c r="S143" s="60">
        <f t="shared" ref="S143" si="400">+(Q143-Q136)/Q136</f>
        <v>-4.5721788728036061E-2</v>
      </c>
      <c r="T143" s="16"/>
      <c r="U143" s="41"/>
      <c r="V143" s="10">
        <f t="shared" si="340"/>
        <v>35</v>
      </c>
      <c r="W143" s="34">
        <v>1462</v>
      </c>
      <c r="X143" s="33"/>
      <c r="Y143" s="33"/>
      <c r="Z143" s="33"/>
      <c r="AA143" s="33">
        <f t="shared" ref="AA143" si="401">+AA142+W143</f>
        <v>156771</v>
      </c>
      <c r="AB143" s="33"/>
      <c r="AC143" s="46">
        <f t="shared" ref="AC143" si="402">+AA143/H143</f>
        <v>3.3301463092583083E-2</v>
      </c>
      <c r="AD143" s="33"/>
      <c r="AE143" s="33">
        <f t="shared" ref="AE143" si="403">+AA143/BW143</f>
        <v>1169.9328358208954</v>
      </c>
      <c r="AF143" s="50"/>
      <c r="AG143" s="33">
        <f>SUM(W113:W143)</f>
        <v>25901</v>
      </c>
      <c r="AH143" s="33"/>
      <c r="AI143" s="231"/>
      <c r="AJ143" s="50"/>
      <c r="AK143" s="10"/>
      <c r="AL143" s="23">
        <f t="shared" ref="AL143" si="404">+AP143-AP142</f>
        <v>42607</v>
      </c>
      <c r="AM143" s="24"/>
      <c r="AN143" s="24"/>
      <c r="AO143" s="24">
        <v>178263</v>
      </c>
      <c r="AP143" s="24">
        <v>2327572</v>
      </c>
      <c r="AQ143" s="24"/>
      <c r="AR143" s="504">
        <f t="shared" ref="AR143" si="405">+AL143/AP142</f>
        <v>1.8646675113185542E-2</v>
      </c>
      <c r="AS143" s="25"/>
      <c r="AT143" s="25"/>
      <c r="AU143" s="24"/>
      <c r="AV143" s="341">
        <f t="shared" ref="AV143" si="406">+AP143/H143</f>
        <v>0.49442532772853265</v>
      </c>
      <c r="AW143" s="341"/>
      <c r="AX143" s="24">
        <f t="shared" ref="AX143" si="407">+AP143/BW143</f>
        <v>17369.940298507463</v>
      </c>
      <c r="AY143" s="351"/>
      <c r="AZ143" s="10"/>
      <c r="BA143" s="66">
        <f t="shared" ref="BA143" si="408">+BC143-BC142</f>
        <v>972569</v>
      </c>
      <c r="BB143" s="67"/>
      <c r="BC143" s="67">
        <v>58493713</v>
      </c>
      <c r="BD143" s="67"/>
      <c r="BE143" s="67">
        <f t="shared" ref="BE143" si="409">+D143</f>
        <v>71083</v>
      </c>
      <c r="BF143" s="67"/>
      <c r="BG143" s="156">
        <f t="shared" ref="BG143" si="410">+BE143/BA143</f>
        <v>7.3087873456793295E-2</v>
      </c>
      <c r="BH143" s="67"/>
      <c r="BI143" s="183"/>
      <c r="BJ143" s="67"/>
      <c r="BK143" s="67">
        <f t="shared" ref="BK143" si="411">SUM(BA137:BA143)</f>
        <v>5973287</v>
      </c>
      <c r="BL143" s="67"/>
      <c r="BM143" s="156">
        <f t="shared" ref="BM143" si="412">+Q143/BK143</f>
        <v>7.6409521256889212E-2</v>
      </c>
      <c r="BN143" s="66">
        <f t="shared" ref="BN143" si="413">+BC143/BW143</f>
        <v>436520.24626865675</v>
      </c>
      <c r="BO143" s="67"/>
      <c r="BP143" s="67">
        <f t="shared" ref="BP143" si="414">+BP142+BE143</f>
        <v>4425092</v>
      </c>
      <c r="BQ143" s="67"/>
      <c r="BR143" s="478">
        <f t="shared" ref="BR143" si="415">+BP143/BC143</f>
        <v>7.5650728480853996E-2</v>
      </c>
      <c r="BS143" s="67"/>
      <c r="BT143" s="86"/>
      <c r="BU143" s="183"/>
      <c r="BV143" s="1"/>
      <c r="BW143" s="61">
        <f t="shared" si="53"/>
        <v>134</v>
      </c>
    </row>
    <row r="144" spans="1:75" x14ac:dyDescent="0.3">
      <c r="A144" s="61"/>
      <c r="B144" s="171">
        <f t="shared" si="52"/>
        <v>44044</v>
      </c>
      <c r="C144" s="61"/>
      <c r="D144" s="17">
        <v>58541</v>
      </c>
      <c r="E144" s="16"/>
      <c r="F144" s="16"/>
      <c r="G144" s="16"/>
      <c r="H144" s="16">
        <f t="shared" ref="H144" si="416">+H143+D144</f>
        <v>4766172</v>
      </c>
      <c r="I144" s="16"/>
      <c r="J144" s="479">
        <f t="shared" ref="J144" si="417">+D144/H143</f>
        <v>1.2435341682472564E-2</v>
      </c>
      <c r="K144" s="16"/>
      <c r="L144" s="16"/>
      <c r="M144" s="16"/>
      <c r="N144" s="16"/>
      <c r="O144" s="16">
        <f t="shared" ref="O144" si="418">+H144/BW144</f>
        <v>35304.977777777778</v>
      </c>
      <c r="P144" s="41"/>
      <c r="Q144" s="17">
        <f t="shared" ref="Q144" si="419">SUM(D138:D144)</f>
        <v>447544</v>
      </c>
      <c r="R144" s="16"/>
      <c r="S144" s="60">
        <f t="shared" ref="S144" si="420">+(Q144-Q137)/Q137</f>
        <v>-7.2328465004829631E-2</v>
      </c>
      <c r="T144" s="16"/>
      <c r="U144" s="41"/>
      <c r="V144" s="10">
        <f t="shared" si="340"/>
        <v>36</v>
      </c>
      <c r="W144" s="34">
        <v>1123</v>
      </c>
      <c r="X144" s="33"/>
      <c r="Y144" s="33"/>
      <c r="Z144" s="33"/>
      <c r="AA144" s="33">
        <f t="shared" ref="AA144" si="421">+AA143+W144</f>
        <v>157894</v>
      </c>
      <c r="AB144" s="33"/>
      <c r="AC144" s="46">
        <f t="shared" ref="AC144" si="422">+AA144/H144</f>
        <v>3.3128053288886766E-2</v>
      </c>
      <c r="AD144" s="33"/>
      <c r="AE144" s="33">
        <f t="shared" ref="AE144" si="423">+AA144/BW144</f>
        <v>1169.5851851851851</v>
      </c>
      <c r="AF144" s="50"/>
      <c r="AG144" s="33"/>
      <c r="AH144" s="33"/>
      <c r="AI144" s="231"/>
      <c r="AJ144" s="50"/>
      <c r="AK144" s="10"/>
      <c r="AL144" s="23">
        <f t="shared" ref="AL144" si="424">+AP144-AP143</f>
        <v>35331</v>
      </c>
      <c r="AM144" s="24"/>
      <c r="AN144" s="24"/>
      <c r="AO144" s="24">
        <v>178263</v>
      </c>
      <c r="AP144" s="24">
        <v>2362903</v>
      </c>
      <c r="AQ144" s="24"/>
      <c r="AR144" s="504">
        <f t="shared" ref="AR144" si="425">+AL144/AP143</f>
        <v>1.5179337094620488E-2</v>
      </c>
      <c r="AS144" s="25"/>
      <c r="AT144" s="25"/>
      <c r="AU144" s="24"/>
      <c r="AV144" s="341">
        <f t="shared" ref="AV144" si="426">+AP144/H144</f>
        <v>0.49576536474134797</v>
      </c>
      <c r="AW144" s="341"/>
      <c r="AX144" s="24">
        <f t="shared" ref="AX144" si="427">+AP144/BW144</f>
        <v>17502.985185185185</v>
      </c>
      <c r="AY144" s="351"/>
      <c r="AZ144" s="10"/>
      <c r="BA144" s="66">
        <f t="shared" ref="BA144" si="428">+BC144-BC143</f>
        <v>733196</v>
      </c>
      <c r="BB144" s="67"/>
      <c r="BC144" s="67">
        <v>59226909</v>
      </c>
      <c r="BD144" s="67"/>
      <c r="BE144" s="67">
        <f t="shared" ref="BE144" si="429">+D144</f>
        <v>58541</v>
      </c>
      <c r="BF144" s="67"/>
      <c r="BG144" s="156">
        <f t="shared" ref="BG144" si="430">+BE144/BA144</f>
        <v>7.984358889028309E-2</v>
      </c>
      <c r="BH144" s="67"/>
      <c r="BI144" s="183"/>
      <c r="BJ144" s="67"/>
      <c r="BK144" s="67">
        <f t="shared" ref="BK144" si="431">SUM(BA138:BA144)</f>
        <v>5874659</v>
      </c>
      <c r="BL144" s="67"/>
      <c r="BM144" s="156">
        <f t="shared" ref="BM144" si="432">+Q144/BK144</f>
        <v>7.6182123932640178E-2</v>
      </c>
      <c r="BN144" s="66">
        <f t="shared" ref="BN144" si="433">+BC144/BW144</f>
        <v>438717.84444444446</v>
      </c>
      <c r="BO144" s="67"/>
      <c r="BP144" s="67">
        <f t="shared" ref="BP144" si="434">+BP143+BE144</f>
        <v>4483633</v>
      </c>
      <c r="BQ144" s="67"/>
      <c r="BR144" s="478">
        <f t="shared" ref="BR144" si="435">+BP144/BC144</f>
        <v>7.5702633747103024E-2</v>
      </c>
      <c r="BS144" s="67"/>
      <c r="BT144" s="86"/>
      <c r="BU144" s="183"/>
      <c r="BV144" s="1"/>
      <c r="BW144" s="61">
        <f t="shared" si="53"/>
        <v>135</v>
      </c>
    </row>
    <row r="145" spans="1:75" x14ac:dyDescent="0.3">
      <c r="B145" s="390">
        <f t="shared" si="52"/>
        <v>44045</v>
      </c>
      <c r="C145" s="61"/>
      <c r="D145" s="17">
        <v>49038</v>
      </c>
      <c r="E145" s="16"/>
      <c r="F145" s="16"/>
      <c r="G145" s="16"/>
      <c r="H145" s="16">
        <f t="shared" ref="H145" si="436">+H144+D145</f>
        <v>4815210</v>
      </c>
      <c r="I145" s="16"/>
      <c r="J145" s="479">
        <f t="shared" ref="J145" si="437">+D145/H144</f>
        <v>1.0288760036356221E-2</v>
      </c>
      <c r="K145" s="16"/>
      <c r="L145" s="16"/>
      <c r="M145" s="16"/>
      <c r="N145" s="16">
        <f>SUM(D139:D145)</f>
        <v>440452</v>
      </c>
      <c r="O145" s="16">
        <f t="shared" ref="O145" si="438">+H145/BW145</f>
        <v>35405.955882352944</v>
      </c>
      <c r="P145" s="41"/>
      <c r="Q145" s="17">
        <f t="shared" ref="Q145" si="439">SUM(D139:D145)</f>
        <v>440452</v>
      </c>
      <c r="R145" s="16"/>
      <c r="S145" s="60">
        <f t="shared" ref="S145" si="440">+(Q145-Q138)/Q138</f>
        <v>-6.9380441970973344E-2</v>
      </c>
      <c r="T145" s="16"/>
      <c r="U145" s="41"/>
      <c r="V145" s="391">
        <f t="shared" si="340"/>
        <v>37</v>
      </c>
      <c r="W145" s="34">
        <v>467</v>
      </c>
      <c r="X145" s="33"/>
      <c r="Y145" s="33"/>
      <c r="Z145" s="33"/>
      <c r="AA145" s="33">
        <f t="shared" ref="AA145" si="441">+AA144+W145</f>
        <v>158361</v>
      </c>
      <c r="AB145" s="33"/>
      <c r="AC145" s="46">
        <f t="shared" ref="AC145" si="442">+AA145/H145</f>
        <v>3.28876622203393E-2</v>
      </c>
      <c r="AD145" s="33"/>
      <c r="AE145" s="33">
        <f t="shared" ref="AE145" si="443">+AA145/BW145</f>
        <v>1164.4191176470588</v>
      </c>
      <c r="AF145" s="50"/>
      <c r="AG145" s="33">
        <f t="shared" ref="AG145" si="444">SUM(W139:W145)</f>
        <v>7843</v>
      </c>
      <c r="AH145" s="33">
        <f>SUM(D116:D180)</f>
        <v>3786612</v>
      </c>
      <c r="AI145" s="231">
        <f t="shared" ref="AI145" si="445">+(AG145-AG138)/AG138</f>
        <v>0.1919452887537994</v>
      </c>
      <c r="AJ145" s="50"/>
      <c r="AK145" s="10"/>
      <c r="AL145" s="23">
        <f t="shared" ref="AL145" si="446">+AP145-AP144</f>
        <v>17314</v>
      </c>
      <c r="AM145" s="24"/>
      <c r="AN145" s="24"/>
      <c r="AO145" s="24">
        <v>178263</v>
      </c>
      <c r="AP145" s="24">
        <v>2380217</v>
      </c>
      <c r="AQ145" s="24"/>
      <c r="AR145" s="504">
        <f t="shared" ref="AR145" si="447">+AL145/AP144</f>
        <v>7.327427321392372E-3</v>
      </c>
      <c r="AS145" s="25"/>
      <c r="AT145" s="25"/>
      <c r="AU145" s="24"/>
      <c r="AV145" s="341">
        <f t="shared" ref="AV145" si="448">+AP145/H145</f>
        <v>0.49431218991487391</v>
      </c>
      <c r="AW145" s="341"/>
      <c r="AX145" s="24">
        <f t="shared" ref="AX145" si="449">+AP145/BW145</f>
        <v>17501.595588235294</v>
      </c>
      <c r="AY145" s="351"/>
      <c r="AZ145" s="10"/>
      <c r="BA145" s="66">
        <f t="shared" ref="BA145" si="450">+BC145-BC144</f>
        <v>698375</v>
      </c>
      <c r="BB145" s="67"/>
      <c r="BC145" s="67">
        <v>59925284</v>
      </c>
      <c r="BD145" s="67"/>
      <c r="BE145" s="67">
        <f t="shared" ref="BE145" si="451">+D145</f>
        <v>49038</v>
      </c>
      <c r="BF145" s="67"/>
      <c r="BG145" s="156">
        <f t="shared" ref="BG145" si="452">+BE145/BA145</f>
        <v>7.0217290137819938E-2</v>
      </c>
      <c r="BH145" s="67"/>
      <c r="BI145" s="183"/>
      <c r="BJ145" s="67"/>
      <c r="BK145" s="67">
        <f t="shared" ref="BK145" si="453">SUM(BA139:BA145)</f>
        <v>5705709</v>
      </c>
      <c r="BL145" s="67"/>
      <c r="BM145" s="156">
        <f t="shared" ref="BM145" si="454">+Q145/BK145</f>
        <v>7.7194963851118237E-2</v>
      </c>
      <c r="BN145" s="66">
        <f t="shared" ref="BN145" si="455">+BC145/BW145</f>
        <v>440627.0882352941</v>
      </c>
      <c r="BO145" s="67"/>
      <c r="BP145" s="67">
        <f t="shared" ref="BP145" si="456">+BP144+BE145</f>
        <v>4532671</v>
      </c>
      <c r="BQ145" s="67"/>
      <c r="BR145" s="478">
        <f t="shared" ref="BR145" si="457">+BP145/BC145</f>
        <v>7.5638707027237448E-2</v>
      </c>
      <c r="BS145" s="67"/>
      <c r="BT145" s="86"/>
      <c r="BU145" s="183"/>
      <c r="BV145" s="1"/>
      <c r="BW145" s="61">
        <f t="shared" si="53"/>
        <v>136</v>
      </c>
    </row>
    <row r="146" spans="1:75" x14ac:dyDescent="0.3">
      <c r="A146" s="552"/>
      <c r="B146" s="171">
        <f t="shared" si="52"/>
        <v>44046</v>
      </c>
      <c r="C146" s="61"/>
      <c r="D146" s="17">
        <v>48646</v>
      </c>
      <c r="E146" s="16"/>
      <c r="F146" s="16"/>
      <c r="G146" s="16"/>
      <c r="H146" s="16">
        <f t="shared" ref="H146" si="458">+H145+D146</f>
        <v>4863856</v>
      </c>
      <c r="I146" s="16"/>
      <c r="J146" s="479">
        <f t="shared" ref="J146" si="459">+D146/H145</f>
        <v>1.0102570812072578E-2</v>
      </c>
      <c r="K146" s="16"/>
      <c r="L146" s="16"/>
      <c r="M146" s="16"/>
      <c r="N146" s="16"/>
      <c r="O146" s="16">
        <f t="shared" ref="O146" si="460">+H146/BW146</f>
        <v>35502.598540145984</v>
      </c>
      <c r="P146" s="41"/>
      <c r="Q146" s="17">
        <f t="shared" ref="Q146" si="461">SUM(D140:D146)</f>
        <v>427527</v>
      </c>
      <c r="R146" s="16"/>
      <c r="S146" s="60">
        <f t="shared" ref="S146" si="462">+(Q146-Q139)/Q139</f>
        <v>-9.4185994775213402E-2</v>
      </c>
      <c r="T146" s="16"/>
      <c r="U146" s="41"/>
      <c r="V146" s="10">
        <f t="shared" si="340"/>
        <v>38</v>
      </c>
      <c r="W146" s="34">
        <v>562</v>
      </c>
      <c r="X146" s="33"/>
      <c r="Y146" s="33"/>
      <c r="Z146" s="33"/>
      <c r="AA146" s="33">
        <f t="shared" ref="AA146" si="463">+AA145+W146</f>
        <v>158923</v>
      </c>
      <c r="AB146" s="33"/>
      <c r="AC146" s="46">
        <f t="shared" ref="AC146" si="464">+AA146/H146</f>
        <v>3.2674281475438417E-2</v>
      </c>
      <c r="AD146" s="33"/>
      <c r="AE146" s="33">
        <f t="shared" ref="AE146" si="465">+AA146/BW146</f>
        <v>1160.0218978102189</v>
      </c>
      <c r="AF146" s="50"/>
      <c r="AG146" s="33"/>
      <c r="AH146" s="33"/>
      <c r="AI146" s="231"/>
      <c r="AJ146" s="50"/>
      <c r="AK146" s="10"/>
      <c r="AL146" s="23">
        <f t="shared" ref="AL146" si="466">+AP146-AP145</f>
        <v>66581</v>
      </c>
      <c r="AM146" s="24"/>
      <c r="AN146" s="24"/>
      <c r="AO146" s="24">
        <v>178263</v>
      </c>
      <c r="AP146" s="24">
        <v>2446798</v>
      </c>
      <c r="AQ146" s="24"/>
      <c r="AR146" s="504">
        <f t="shared" ref="AR146" si="467">+AL146/AP145</f>
        <v>2.7972659635655067E-2</v>
      </c>
      <c r="AS146" s="25"/>
      <c r="AT146" s="25"/>
      <c r="AU146" s="24"/>
      <c r="AV146" s="341">
        <f t="shared" ref="AV146" si="468">+AP146/H146</f>
        <v>0.5030572451158094</v>
      </c>
      <c r="AW146" s="341"/>
      <c r="AX146" s="24">
        <f t="shared" ref="AX146" si="469">+AP146/BW146</f>
        <v>17859.839416058396</v>
      </c>
      <c r="AY146" s="351"/>
      <c r="AZ146" s="10"/>
      <c r="BA146" s="66">
        <f t="shared" ref="BA146" si="470">+BC146-BC145</f>
        <v>1012257</v>
      </c>
      <c r="BB146" s="67"/>
      <c r="BC146" s="67">
        <v>60937541</v>
      </c>
      <c r="BD146" s="67"/>
      <c r="BE146" s="67">
        <f t="shared" ref="BE146" si="471">+D146</f>
        <v>48646</v>
      </c>
      <c r="BF146" s="67"/>
      <c r="BG146" s="156">
        <f t="shared" ref="BG146" si="472">+BE146/BA146</f>
        <v>4.8056965770550367E-2</v>
      </c>
      <c r="BH146" s="67"/>
      <c r="BI146" s="183"/>
      <c r="BJ146" s="67"/>
      <c r="BK146" s="67">
        <f t="shared" ref="BK146" si="473">SUM(BA140:BA146)</f>
        <v>5919305</v>
      </c>
      <c r="BL146" s="67"/>
      <c r="BM146" s="156">
        <f t="shared" ref="BM146" si="474">+Q146/BK146</f>
        <v>7.2225877869107946E-2</v>
      </c>
      <c r="BN146" s="66">
        <f t="shared" ref="BN146" si="475">+BC146/BW146</f>
        <v>444799.56934306567</v>
      </c>
      <c r="BO146" s="67"/>
      <c r="BP146" s="67">
        <f t="shared" ref="BP146" si="476">+BP145+BE146</f>
        <v>4581317</v>
      </c>
      <c r="BQ146" s="67"/>
      <c r="BR146" s="478">
        <f t="shared" ref="BR146" si="477">+BP146/BC146</f>
        <v>7.5180536083659821E-2</v>
      </c>
      <c r="BS146" s="67"/>
      <c r="BT146" s="86"/>
      <c r="BU146" s="183"/>
      <c r="BV146" s="1"/>
      <c r="BW146" s="61">
        <f t="shared" si="53"/>
        <v>137</v>
      </c>
    </row>
    <row r="147" spans="1:75" x14ac:dyDescent="0.3">
      <c r="B147" s="171">
        <f t="shared" si="52"/>
        <v>44047</v>
      </c>
      <c r="C147" s="61"/>
      <c r="D147" s="17">
        <v>54564</v>
      </c>
      <c r="E147" s="16"/>
      <c r="F147" s="16"/>
      <c r="G147" s="16"/>
      <c r="H147" s="16">
        <f t="shared" ref="H147" si="478">+H146+D147</f>
        <v>4918420</v>
      </c>
      <c r="I147" s="16"/>
      <c r="J147" s="479">
        <f t="shared" ref="J147" si="479">+D147/H146</f>
        <v>1.1218259751111053E-2</v>
      </c>
      <c r="K147" s="16"/>
      <c r="L147" s="16"/>
      <c r="M147" s="16"/>
      <c r="N147" s="16"/>
      <c r="O147" s="16">
        <f t="shared" ref="O147" si="480">+H147/BW147</f>
        <v>35640.72463768116</v>
      </c>
      <c r="P147" s="41"/>
      <c r="Q147" s="17">
        <f t="shared" ref="Q147" si="481">SUM(D141:D147)</f>
        <v>417362</v>
      </c>
      <c r="R147" s="16"/>
      <c r="S147" s="60">
        <f t="shared" ref="S147" si="482">+(Q147-Q140)/Q140</f>
        <v>-0.11054043743912913</v>
      </c>
      <c r="T147" s="16"/>
      <c r="U147" s="41"/>
      <c r="V147" s="10">
        <f t="shared" si="340"/>
        <v>39</v>
      </c>
      <c r="W147" s="34">
        <v>1359</v>
      </c>
      <c r="X147" s="33"/>
      <c r="Y147" s="33"/>
      <c r="Z147" s="33"/>
      <c r="AA147" s="33">
        <f t="shared" ref="AA147" si="483">+AA146+W147</f>
        <v>160282</v>
      </c>
      <c r="AB147" s="33"/>
      <c r="AC147" s="46">
        <f t="shared" ref="AC147" si="484">+AA147/H147</f>
        <v>3.2588107562997876E-2</v>
      </c>
      <c r="AD147" s="33"/>
      <c r="AE147" s="33">
        <f t="shared" ref="AE147" si="485">+AA147/BW147</f>
        <v>1161.463768115942</v>
      </c>
      <c r="AF147" s="50"/>
      <c r="AG147" s="33"/>
      <c r="AH147" s="33"/>
      <c r="AI147" s="231"/>
      <c r="AJ147" s="50"/>
      <c r="AK147" s="10"/>
      <c r="AL147" s="23">
        <f t="shared" ref="AL147" si="486">+AP147-AP146</f>
        <v>34882</v>
      </c>
      <c r="AM147" s="24"/>
      <c r="AN147" s="24"/>
      <c r="AO147" s="24">
        <v>178263</v>
      </c>
      <c r="AP147" s="24">
        <v>2481680</v>
      </c>
      <c r="AQ147" s="24"/>
      <c r="AR147" s="504">
        <f t="shared" ref="AR147" si="487">+AL147/AP146</f>
        <v>1.425618297873384E-2</v>
      </c>
      <c r="AS147" s="25"/>
      <c r="AT147" s="25"/>
      <c r="AU147" s="24"/>
      <c r="AV147" s="341">
        <f t="shared" ref="AV147" si="488">+AP147/H147</f>
        <v>0.50456854030359344</v>
      </c>
      <c r="AW147" s="341"/>
      <c r="AX147" s="24">
        <f t="shared" ref="AX147" si="489">+AP147/BW147</f>
        <v>17983.1884057971</v>
      </c>
      <c r="AY147" s="351"/>
      <c r="AZ147" s="10"/>
      <c r="BA147" s="66">
        <f t="shared" ref="BA147" si="490">+BC147-BC146</f>
        <v>681496</v>
      </c>
      <c r="BB147" s="67"/>
      <c r="BC147" s="67">
        <v>61619037</v>
      </c>
      <c r="BD147" s="67"/>
      <c r="BE147" s="67">
        <f t="shared" ref="BE147" si="491">+D147</f>
        <v>54564</v>
      </c>
      <c r="BF147" s="67"/>
      <c r="BG147" s="156">
        <f t="shared" ref="BG147" si="492">+BE147/BA147</f>
        <v>8.0065033397114585E-2</v>
      </c>
      <c r="BH147" s="67"/>
      <c r="BI147" s="183"/>
      <c r="BJ147" s="67"/>
      <c r="BK147" s="67">
        <f t="shared" ref="BK147" si="493">SUM(BA141:BA147)</f>
        <v>5813621</v>
      </c>
      <c r="BL147" s="67"/>
      <c r="BM147" s="156">
        <f t="shared" ref="BM147" si="494">+Q147/BK147</f>
        <v>7.1790369547653693E-2</v>
      </c>
      <c r="BN147" s="66">
        <f t="shared" ref="BN147" si="495">+BC147/BW147</f>
        <v>446514.76086956525</v>
      </c>
      <c r="BO147" s="67"/>
      <c r="BP147" s="67">
        <f t="shared" ref="BP147" si="496">+BP146+BE147</f>
        <v>4635881</v>
      </c>
      <c r="BQ147" s="67"/>
      <c r="BR147" s="478">
        <f t="shared" ref="BR147" si="497">+BP147/BC147</f>
        <v>7.5234557787717454E-2</v>
      </c>
      <c r="BS147" s="67"/>
      <c r="BT147" s="86"/>
      <c r="BU147" s="183"/>
      <c r="BV147" s="1"/>
      <c r="BW147" s="61">
        <f t="shared" si="53"/>
        <v>138</v>
      </c>
    </row>
    <row r="148" spans="1:75" x14ac:dyDescent="0.3">
      <c r="B148" s="171">
        <f t="shared" si="52"/>
        <v>44048</v>
      </c>
      <c r="C148" s="61"/>
      <c r="D148" s="17">
        <v>55148</v>
      </c>
      <c r="E148" s="16"/>
      <c r="F148" s="16"/>
      <c r="G148" s="16"/>
      <c r="H148" s="16">
        <f t="shared" ref="H148" si="498">+H147+D148</f>
        <v>4973568</v>
      </c>
      <c r="I148" s="16"/>
      <c r="J148" s="479">
        <f t="shared" ref="J148" si="499">+D148/H147</f>
        <v>1.1212543865712974E-2</v>
      </c>
      <c r="K148" s="16"/>
      <c r="L148" s="16"/>
      <c r="M148" s="16"/>
      <c r="N148" s="16"/>
      <c r="O148" s="16">
        <f t="shared" ref="O148" si="500">+H148/BW148</f>
        <v>35781.064748201439</v>
      </c>
      <c r="P148" s="41"/>
      <c r="Q148" s="17">
        <f t="shared" ref="Q148" si="501">SUM(D142:D148)</f>
        <v>405589</v>
      </c>
      <c r="R148" s="16"/>
      <c r="S148" s="60">
        <f t="shared" ref="S148" si="502">+(Q148-Q141)/Q141</f>
        <v>-0.12623415233150576</v>
      </c>
      <c r="T148" s="16"/>
      <c r="U148" s="41"/>
      <c r="V148" s="10">
        <f t="shared" si="340"/>
        <v>40</v>
      </c>
      <c r="W148" s="34">
        <v>1319</v>
      </c>
      <c r="X148" s="33"/>
      <c r="Y148" s="33"/>
      <c r="Z148" s="33"/>
      <c r="AA148" s="33">
        <f t="shared" ref="AA148" si="503">+AA147+W148</f>
        <v>161601</v>
      </c>
      <c r="AB148" s="33"/>
      <c r="AC148" s="46">
        <f t="shared" ref="AC148" si="504">+AA148/H148</f>
        <v>3.2491965526559606E-2</v>
      </c>
      <c r="AD148" s="33"/>
      <c r="AE148" s="33">
        <f t="shared" ref="AE148" si="505">+AA148/BW148</f>
        <v>1162.5971223021584</v>
      </c>
      <c r="AF148" s="50"/>
      <c r="AG148" s="33"/>
      <c r="AH148" s="33"/>
      <c r="AI148" s="231"/>
      <c r="AJ148" s="50"/>
      <c r="AK148" s="10"/>
      <c r="AL148" s="23">
        <f t="shared" ref="AL148" si="506">+AP148-AP147</f>
        <v>58457</v>
      </c>
      <c r="AM148" s="24"/>
      <c r="AN148" s="24"/>
      <c r="AO148" s="24">
        <v>178263</v>
      </c>
      <c r="AP148" s="24">
        <v>2540137</v>
      </c>
      <c r="AQ148" s="24"/>
      <c r="AR148" s="504">
        <f t="shared" ref="AR148" si="507">+AL148/AP147</f>
        <v>2.3555414074336738E-2</v>
      </c>
      <c r="AS148" s="25"/>
      <c r="AT148" s="25"/>
      <c r="AU148" s="24"/>
      <c r="AV148" s="341">
        <f t="shared" ref="AV148" si="508">+AP148/H148</f>
        <v>0.51072730884548079</v>
      </c>
      <c r="AW148" s="341"/>
      <c r="AX148" s="24">
        <f t="shared" ref="AX148" si="509">+AP148/BW148</f>
        <v>18274.366906474821</v>
      </c>
      <c r="AY148" s="351"/>
      <c r="AZ148" s="10"/>
      <c r="BA148" s="66">
        <f t="shared" ref="BA148" si="510">+BC148-BC147</f>
        <v>762258</v>
      </c>
      <c r="BB148" s="67"/>
      <c r="BC148" s="67">
        <v>62381295</v>
      </c>
      <c r="BD148" s="67"/>
      <c r="BE148" s="67">
        <f t="shared" ref="BE148" si="511">+D148</f>
        <v>55148</v>
      </c>
      <c r="BF148" s="67"/>
      <c r="BG148" s="156">
        <f t="shared" ref="BG148" si="512">+BE148/BA148</f>
        <v>7.2348207562268937E-2</v>
      </c>
      <c r="BH148" s="67"/>
      <c r="BI148" s="183"/>
      <c r="BJ148" s="67"/>
      <c r="BK148" s="67">
        <f t="shared" ref="BK148" si="513">SUM(BA142:BA148)</f>
        <v>5696916</v>
      </c>
      <c r="BL148" s="67"/>
      <c r="BM148" s="156">
        <f t="shared" ref="BM148" si="514">+Q148/BK148</f>
        <v>7.1194484875676589E-2</v>
      </c>
      <c r="BN148" s="66">
        <f t="shared" ref="BN148" si="515">+BC148/BW148</f>
        <v>448786.29496402876</v>
      </c>
      <c r="BO148" s="67"/>
      <c r="BP148" s="67">
        <f t="shared" ref="BP148" si="516">+BP147+BE148</f>
        <v>4691029</v>
      </c>
      <c r="BQ148" s="67"/>
      <c r="BR148" s="478">
        <f t="shared" ref="BR148" si="517">+BP148/BC148</f>
        <v>7.5199288504671155E-2</v>
      </c>
      <c r="BS148" s="67"/>
      <c r="BT148" s="86"/>
      <c r="BU148" s="183"/>
      <c r="BV148" s="1"/>
      <c r="BW148" s="61">
        <f t="shared" si="53"/>
        <v>139</v>
      </c>
    </row>
    <row r="149" spans="1:75" x14ac:dyDescent="0.3">
      <c r="B149" s="171">
        <f t="shared" si="52"/>
        <v>44049</v>
      </c>
      <c r="C149" s="61"/>
      <c r="D149" s="17">
        <v>58710</v>
      </c>
      <c r="E149" s="16"/>
      <c r="F149" s="16"/>
      <c r="G149" s="16"/>
      <c r="H149" s="16">
        <f t="shared" ref="H149" si="518">+H148+D149</f>
        <v>5032278</v>
      </c>
      <c r="I149" s="16"/>
      <c r="J149" s="479">
        <f t="shared" ref="J149" si="519">+D149/H148</f>
        <v>1.1804402794935146E-2</v>
      </c>
      <c r="K149" s="16"/>
      <c r="L149" s="16"/>
      <c r="M149" s="16"/>
      <c r="N149" s="16"/>
      <c r="O149" s="16">
        <f t="shared" ref="O149" si="520">+H149/BW149</f>
        <v>35944.842857142859</v>
      </c>
      <c r="P149" s="41"/>
      <c r="Q149" s="17">
        <f t="shared" ref="Q149" si="521">SUM(D143:D149)</f>
        <v>395730</v>
      </c>
      <c r="R149" s="16"/>
      <c r="S149" s="60">
        <f t="shared" ref="S149" si="522">+(Q149-Q142)/Q142</f>
        <v>-0.14586530429884031</v>
      </c>
      <c r="T149" s="16"/>
      <c r="U149" s="41"/>
      <c r="V149" s="10">
        <f t="shared" si="340"/>
        <v>41</v>
      </c>
      <c r="W149" s="34">
        <v>1203</v>
      </c>
      <c r="X149" s="33"/>
      <c r="Y149" s="33"/>
      <c r="Z149" s="33"/>
      <c r="AA149" s="33">
        <f t="shared" ref="AA149" si="523">+AA148+W149</f>
        <v>162804</v>
      </c>
      <c r="AB149" s="33"/>
      <c r="AC149" s="46">
        <f t="shared" ref="AC149" si="524">+AA149/H149</f>
        <v>3.2351948759587607E-2</v>
      </c>
      <c r="AD149" s="33"/>
      <c r="AE149" s="33">
        <f t="shared" ref="AE149" si="525">+AA149/BW149</f>
        <v>1162.8857142857144</v>
      </c>
      <c r="AF149" s="50"/>
      <c r="AG149" s="33"/>
      <c r="AH149" s="33"/>
      <c r="AI149" s="231"/>
      <c r="AJ149" s="50"/>
      <c r="AK149" s="10"/>
      <c r="AL149" s="23">
        <f t="shared" ref="AL149" si="526">+AP149-AP148</f>
        <v>25795</v>
      </c>
      <c r="AM149" s="24"/>
      <c r="AN149" s="24"/>
      <c r="AO149" s="24">
        <v>178263</v>
      </c>
      <c r="AP149" s="24">
        <f>2616967-51035</f>
        <v>2565932</v>
      </c>
      <c r="AQ149" s="24"/>
      <c r="AR149" s="504">
        <f t="shared" ref="AR149" si="527">+AL149/AP148</f>
        <v>1.0154964082645936E-2</v>
      </c>
      <c r="AS149" s="25"/>
      <c r="AT149" s="25"/>
      <c r="AU149" s="24"/>
      <c r="AV149" s="341">
        <f t="shared" ref="AV149" si="528">+AP149/H149</f>
        <v>0.50989472362218458</v>
      </c>
      <c r="AW149" s="341"/>
      <c r="AX149" s="24">
        <f t="shared" ref="AX149" si="529">+AP149/BW149</f>
        <v>18328.085714285713</v>
      </c>
      <c r="AY149" s="351"/>
      <c r="AZ149" s="10"/>
      <c r="BA149" s="66">
        <f t="shared" ref="BA149" si="530">+BC149-BC148</f>
        <v>764126</v>
      </c>
      <c r="BB149" s="67"/>
      <c r="BC149" s="67">
        <f>63896457-751036</f>
        <v>63145421</v>
      </c>
      <c r="BD149" s="67"/>
      <c r="BE149" s="67">
        <f t="shared" ref="BE149" si="531">+D149</f>
        <v>58710</v>
      </c>
      <c r="BF149" s="67"/>
      <c r="BG149" s="156">
        <f t="shared" ref="BG149" si="532">+BE149/BA149</f>
        <v>7.6832878347288275E-2</v>
      </c>
      <c r="BH149" s="67"/>
      <c r="BI149" s="183"/>
      <c r="BJ149" s="67"/>
      <c r="BK149" s="67">
        <f t="shared" ref="BK149" si="533">SUM(BA143:BA149)</f>
        <v>5624277</v>
      </c>
      <c r="BL149" s="67"/>
      <c r="BM149" s="156">
        <f t="shared" ref="BM149" si="534">+Q149/BK149</f>
        <v>7.0361043739488649E-2</v>
      </c>
      <c r="BN149" s="66">
        <f t="shared" ref="BN149" si="535">+BC149/BW149</f>
        <v>451038.72142857144</v>
      </c>
      <c r="BO149" s="67"/>
      <c r="BP149" s="67">
        <f t="shared" ref="BP149" si="536">+BP148+BE149</f>
        <v>4749739</v>
      </c>
      <c r="BQ149" s="67"/>
      <c r="BR149" s="478">
        <f t="shared" ref="BR149" si="537">+BP149/BC149</f>
        <v>7.5219056659706171E-2</v>
      </c>
      <c r="BS149" s="67"/>
      <c r="BT149" s="86"/>
      <c r="BU149" s="183"/>
      <c r="BV149" s="1"/>
      <c r="BW149" s="61">
        <f t="shared" si="53"/>
        <v>140</v>
      </c>
    </row>
    <row r="150" spans="1:75" x14ac:dyDescent="0.3">
      <c r="B150" s="171">
        <f t="shared" si="52"/>
        <v>44050</v>
      </c>
      <c r="C150" s="61"/>
      <c r="D150" s="17">
        <v>63246</v>
      </c>
      <c r="E150" s="16"/>
      <c r="F150" s="16"/>
      <c r="G150" s="16"/>
      <c r="H150" s="16">
        <f t="shared" ref="H150" si="538">+H149+D150</f>
        <v>5095524</v>
      </c>
      <c r="I150" s="16"/>
      <c r="J150" s="479">
        <f t="shared" ref="J150" si="539">+D150/H149</f>
        <v>1.2568065595740139E-2</v>
      </c>
      <c r="K150" s="16"/>
      <c r="L150" s="16"/>
      <c r="M150" s="16"/>
      <c r="N150" s="16"/>
      <c r="O150" s="16">
        <f t="shared" ref="O150" si="540">+H150/BW150</f>
        <v>36138.468085106382</v>
      </c>
      <c r="P150" s="41"/>
      <c r="Q150" s="17">
        <f t="shared" ref="Q150" si="541">SUM(D144:D150)</f>
        <v>387893</v>
      </c>
      <c r="R150" s="16"/>
      <c r="S150" s="60">
        <f t="shared" ref="S150" si="542">+(Q150-Q143)/Q143</f>
        <v>-0.15013277361003996</v>
      </c>
      <c r="T150" s="16"/>
      <c r="U150" s="41"/>
      <c r="V150" s="10">
        <f t="shared" si="340"/>
        <v>42</v>
      </c>
      <c r="W150" s="34">
        <v>1290</v>
      </c>
      <c r="X150" s="33"/>
      <c r="Y150" s="33"/>
      <c r="Z150" s="33"/>
      <c r="AA150" s="33">
        <f t="shared" ref="AA150" si="543">+AA149+W150</f>
        <v>164094</v>
      </c>
      <c r="AB150" s="33"/>
      <c r="AC150" s="46">
        <f t="shared" ref="AC150" si="544">+AA150/H150</f>
        <v>3.2203557475148775E-2</v>
      </c>
      <c r="AD150" s="33"/>
      <c r="AE150" s="33">
        <f t="shared" ref="AE150" si="545">+AA150/BW150</f>
        <v>1163.7872340425531</v>
      </c>
      <c r="AF150" s="50"/>
      <c r="AG150" s="33"/>
      <c r="AH150" s="33"/>
      <c r="AI150" s="231"/>
      <c r="AJ150" s="50"/>
      <c r="AK150" s="10"/>
      <c r="AL150" s="23">
        <f t="shared" ref="AL150" si="546">+AP150-AP149</f>
        <v>51035</v>
      </c>
      <c r="AM150" s="24"/>
      <c r="AN150" s="24"/>
      <c r="AO150" s="24">
        <v>178263</v>
      </c>
      <c r="AP150" s="24">
        <v>2616967</v>
      </c>
      <c r="AQ150" s="24"/>
      <c r="AR150" s="504">
        <f t="shared" ref="AR150" si="547">+AL150/AP149</f>
        <v>1.9889459268601039E-2</v>
      </c>
      <c r="AS150" s="25"/>
      <c r="AT150" s="25"/>
      <c r="AU150" s="24"/>
      <c r="AV150" s="341">
        <f t="shared" ref="AV150" si="548">+AP150/H150</f>
        <v>0.51358152763091691</v>
      </c>
      <c r="AW150" s="341"/>
      <c r="AX150" s="24">
        <f t="shared" ref="AX150" si="549">+AP150/BW150</f>
        <v>18560.049645390071</v>
      </c>
      <c r="AY150" s="351"/>
      <c r="AZ150" s="10"/>
      <c r="BA150" s="66">
        <f t="shared" ref="BA150" si="550">+BC150-BC149</f>
        <v>751036</v>
      </c>
      <c r="BB150" s="67"/>
      <c r="BC150" s="67">
        <v>63896457</v>
      </c>
      <c r="BD150" s="67"/>
      <c r="BE150" s="67">
        <f t="shared" ref="BE150" si="551">+D150</f>
        <v>63246</v>
      </c>
      <c r="BF150" s="67"/>
      <c r="BG150" s="156">
        <f t="shared" ref="BG150" si="552">+BE150/BA150</f>
        <v>8.4211675605430372E-2</v>
      </c>
      <c r="BH150" s="67"/>
      <c r="BI150" s="183"/>
      <c r="BJ150" s="67"/>
      <c r="BK150" s="67">
        <f t="shared" ref="BK150" si="553">SUM(BA144:BA150)</f>
        <v>5402744</v>
      </c>
      <c r="BL150" s="67"/>
      <c r="BM150" s="156">
        <f t="shared" ref="BM150" si="554">+Q150/BK150</f>
        <v>7.1795554259095007E-2</v>
      </c>
      <c r="BN150" s="66">
        <f t="shared" ref="BN150" si="555">+BC150/BW150</f>
        <v>453166.36170212767</v>
      </c>
      <c r="BO150" s="67"/>
      <c r="BP150" s="67">
        <f t="shared" ref="BP150" si="556">+BP149+BE150</f>
        <v>4812985</v>
      </c>
      <c r="BQ150" s="67"/>
      <c r="BR150" s="478">
        <f t="shared" ref="BR150" si="557">+BP150/BC150</f>
        <v>7.5324755486833955E-2</v>
      </c>
      <c r="BS150" s="67"/>
      <c r="BT150" s="86"/>
      <c r="BU150" s="183"/>
      <c r="BV150" s="1"/>
      <c r="BW150" s="61">
        <f t="shared" si="53"/>
        <v>141</v>
      </c>
    </row>
    <row r="151" spans="1:75" x14ac:dyDescent="0.3">
      <c r="B151" s="171">
        <f t="shared" si="52"/>
        <v>44051</v>
      </c>
      <c r="C151" s="61"/>
      <c r="D151" s="17">
        <v>54199</v>
      </c>
      <c r="E151" s="16"/>
      <c r="F151" s="16"/>
      <c r="G151" s="16"/>
      <c r="H151" s="16">
        <f t="shared" ref="H151" si="558">+H150+D151</f>
        <v>5149723</v>
      </c>
      <c r="I151" s="16"/>
      <c r="J151" s="479">
        <f t="shared" ref="J151" si="559">+D151/H150</f>
        <v>1.0636590073955102E-2</v>
      </c>
      <c r="K151" s="16"/>
      <c r="L151" s="16"/>
      <c r="M151" s="16"/>
      <c r="N151" s="16"/>
      <c r="O151" s="16">
        <f t="shared" ref="O151:O160" si="560">+H151/BW151</f>
        <v>36265.654929577468</v>
      </c>
      <c r="P151" s="41"/>
      <c r="Q151" s="17">
        <f t="shared" ref="Q151" si="561">SUM(D145:D151)</f>
        <v>383551</v>
      </c>
      <c r="R151" s="16"/>
      <c r="S151" s="60">
        <f t="shared" ref="S151" si="562">+(Q151-Q144)/Q144</f>
        <v>-0.14298705825572458</v>
      </c>
      <c r="T151" s="16"/>
      <c r="U151" s="41"/>
      <c r="V151" s="10">
        <f t="shared" si="340"/>
        <v>43</v>
      </c>
      <c r="W151" s="34">
        <v>976</v>
      </c>
      <c r="X151" s="33"/>
      <c r="Y151" s="33"/>
      <c r="Z151" s="33"/>
      <c r="AA151" s="33">
        <f t="shared" ref="AA151" si="563">+AA150+W151</f>
        <v>165070</v>
      </c>
      <c r="AB151" s="33"/>
      <c r="AC151" s="46">
        <f t="shared" ref="AC151" si="564">+AA151/H151</f>
        <v>3.2054151262116429E-2</v>
      </c>
      <c r="AD151" s="33"/>
      <c r="AE151" s="33">
        <f t="shared" ref="AE151" si="565">+AA151/BW151</f>
        <v>1162.4647887323943</v>
      </c>
      <c r="AF151" s="50"/>
      <c r="AG151" s="33"/>
      <c r="AH151" s="33"/>
      <c r="AI151" s="231"/>
      <c r="AJ151" s="50"/>
      <c r="AK151" s="10"/>
      <c r="AL151" s="23">
        <f t="shared" ref="AL151" si="566">+AP151-AP150</f>
        <v>21503</v>
      </c>
      <c r="AM151" s="24"/>
      <c r="AN151" s="24"/>
      <c r="AO151" s="24">
        <v>178263</v>
      </c>
      <c r="AP151" s="24">
        <v>2638470</v>
      </c>
      <c r="AQ151" s="24"/>
      <c r="AR151" s="504">
        <f t="shared" ref="AR151" si="567">+AL151/AP150</f>
        <v>8.2167639102824E-3</v>
      </c>
      <c r="AS151" s="25"/>
      <c r="AT151" s="25"/>
      <c r="AU151" s="24"/>
      <c r="AV151" s="341">
        <f t="shared" ref="AV151" si="568">+AP151/H151</f>
        <v>0.51235182940907698</v>
      </c>
      <c r="AW151" s="341"/>
      <c r="AX151" s="24">
        <f t="shared" ref="AX151" si="569">+AP151/BW151</f>
        <v>18580.774647887323</v>
      </c>
      <c r="AY151" s="351"/>
      <c r="AZ151" s="10"/>
      <c r="BA151" s="66">
        <f t="shared" ref="BA151" si="570">+BC151-BC150</f>
        <v>714090</v>
      </c>
      <c r="BB151" s="67"/>
      <c r="BC151" s="67">
        <v>64610547</v>
      </c>
      <c r="BD151" s="67"/>
      <c r="BE151" s="67">
        <f t="shared" ref="BE151" si="571">+D151</f>
        <v>54199</v>
      </c>
      <c r="BF151" s="67"/>
      <c r="BG151" s="156">
        <f t="shared" ref="BG151" si="572">+BE151/BA151</f>
        <v>7.5899396434623081E-2</v>
      </c>
      <c r="BH151" s="67"/>
      <c r="BI151" s="183"/>
      <c r="BJ151" s="67"/>
      <c r="BK151" s="67">
        <f t="shared" ref="BK151" si="573">SUM(BA145:BA151)</f>
        <v>5383638</v>
      </c>
      <c r="BL151" s="67"/>
      <c r="BM151" s="156">
        <f t="shared" ref="BM151" si="574">+Q151/BK151</f>
        <v>7.1243831773235872E-2</v>
      </c>
      <c r="BN151" s="66">
        <f t="shared" ref="BN151" si="575">+BC151/BW151</f>
        <v>455003.85211267608</v>
      </c>
      <c r="BO151" s="67"/>
      <c r="BP151" s="67">
        <f t="shared" ref="BP151" si="576">+BP150+BE151</f>
        <v>4867184</v>
      </c>
      <c r="BQ151" s="67"/>
      <c r="BR151" s="478">
        <f t="shared" ref="BR151" si="577">+BP151/BC151</f>
        <v>7.5331106545189902E-2</v>
      </c>
      <c r="BS151" s="67"/>
      <c r="BT151" s="86"/>
      <c r="BU151" s="183"/>
      <c r="BV151" s="1"/>
      <c r="BW151" s="61">
        <f t="shared" si="53"/>
        <v>142</v>
      </c>
    </row>
    <row r="152" spans="1:75" x14ac:dyDescent="0.3">
      <c r="B152" s="390">
        <f t="shared" si="52"/>
        <v>44052</v>
      </c>
      <c r="C152" s="61"/>
      <c r="D152" s="17">
        <v>47849</v>
      </c>
      <c r="E152" s="16"/>
      <c r="F152" s="16"/>
      <c r="G152" s="16"/>
      <c r="H152" s="16">
        <f t="shared" ref="H152" si="578">+H151+D152</f>
        <v>5197572</v>
      </c>
      <c r="I152" s="16"/>
      <c r="J152" s="479">
        <f t="shared" ref="J152" si="579">+D152/H151</f>
        <v>9.2915677212152964E-3</v>
      </c>
      <c r="K152" s="16"/>
      <c r="L152" s="16"/>
      <c r="M152" s="16"/>
      <c r="N152" s="16">
        <f>SUM(D146:D152)</f>
        <v>382362</v>
      </c>
      <c r="O152" s="16">
        <f t="shared" si="560"/>
        <v>36346.657342657345</v>
      </c>
      <c r="P152" s="41"/>
      <c r="Q152" s="17">
        <f t="shared" ref="Q152" si="580">SUM(D146:D152)</f>
        <v>382362</v>
      </c>
      <c r="R152" s="16"/>
      <c r="S152" s="60">
        <f t="shared" ref="S152" si="581">+(Q152-Q145)/Q145</f>
        <v>-0.13188724310481051</v>
      </c>
      <c r="T152" s="16"/>
      <c r="U152" s="41"/>
      <c r="V152" s="391">
        <f t="shared" si="340"/>
        <v>44</v>
      </c>
      <c r="W152" s="34">
        <v>534</v>
      </c>
      <c r="X152" s="33"/>
      <c r="Y152" s="33"/>
      <c r="Z152" s="33"/>
      <c r="AA152" s="33">
        <f t="shared" ref="AA152" si="582">+AA151+W152</f>
        <v>165604</v>
      </c>
      <c r="AB152" s="33"/>
      <c r="AC152" s="46">
        <f t="shared" ref="AC152" si="583">+AA152/H152</f>
        <v>3.1861800086655845E-2</v>
      </c>
      <c r="AD152" s="33"/>
      <c r="AE152" s="33">
        <f t="shared" ref="AE152" si="584">+AA152/BW152</f>
        <v>1158.06993006993</v>
      </c>
      <c r="AF152" s="50"/>
      <c r="AG152" s="33">
        <f t="shared" ref="AG152" si="585">SUM(W146:W152)</f>
        <v>7243</v>
      </c>
      <c r="AH152" s="33">
        <f t="shared" ref="AH152" si="586">SUM(D123:D187)</f>
        <v>3423742.0049000001</v>
      </c>
      <c r="AI152" s="231">
        <f t="shared" ref="AI152" si="587">+(AG152-AG145)/AG145</f>
        <v>-7.6501338773428532E-2</v>
      </c>
      <c r="AJ152" s="50"/>
      <c r="AK152" s="10"/>
      <c r="AL152" s="23">
        <f t="shared" ref="AL152" si="588">+AP152-AP151</f>
        <v>26231</v>
      </c>
      <c r="AM152" s="24"/>
      <c r="AN152" s="24"/>
      <c r="AO152" s="24">
        <v>178263</v>
      </c>
      <c r="AP152" s="24">
        <v>2664701</v>
      </c>
      <c r="AQ152" s="24"/>
      <c r="AR152" s="504">
        <f t="shared" ref="AR152" si="589">+AL152/AP151</f>
        <v>9.9417465425038001E-3</v>
      </c>
      <c r="AS152" s="25"/>
      <c r="AT152" s="25"/>
      <c r="AU152" s="24"/>
      <c r="AV152" s="341">
        <f t="shared" ref="AV152" si="590">+AP152/H152</f>
        <v>0.51268188300229411</v>
      </c>
      <c r="AW152" s="341"/>
      <c r="AX152" s="24">
        <f t="shared" ref="AX152" si="591">+AP152/BW152</f>
        <v>18634.272727272728</v>
      </c>
      <c r="AY152" s="351"/>
      <c r="AZ152" s="10"/>
      <c r="BA152" s="66">
        <f t="shared" ref="BA152" si="592">+BC152-BC151</f>
        <v>822704</v>
      </c>
      <c r="BB152" s="67"/>
      <c r="BC152" s="67">
        <v>65433251</v>
      </c>
      <c r="BD152" s="67"/>
      <c r="BE152" s="67">
        <f t="shared" ref="BE152" si="593">+D152</f>
        <v>47849</v>
      </c>
      <c r="BF152" s="67"/>
      <c r="BG152" s="156">
        <f t="shared" ref="BG152" si="594">+BE152/BA152</f>
        <v>5.8160650732219606E-2</v>
      </c>
      <c r="BH152" s="67"/>
      <c r="BI152" s="183"/>
      <c r="BJ152" s="67"/>
      <c r="BK152" s="67">
        <f t="shared" ref="BK152" si="595">SUM(BA146:BA152)</f>
        <v>5507967</v>
      </c>
      <c r="BL152" s="67"/>
      <c r="BM152" s="156">
        <f t="shared" ref="BM152" si="596">+Q152/BK152</f>
        <v>6.9419805892083228E-2</v>
      </c>
      <c r="BN152" s="66">
        <f t="shared" ref="BN152" si="597">+BC152/BW152</f>
        <v>457575.18181818182</v>
      </c>
      <c r="BO152" s="67"/>
      <c r="BP152" s="67">
        <f t="shared" ref="BP152" si="598">+BP151+BE152</f>
        <v>4915033</v>
      </c>
      <c r="BQ152" s="67"/>
      <c r="BR152" s="478">
        <f t="shared" ref="BR152" si="599">+BP152/BC152</f>
        <v>7.511521932480475E-2</v>
      </c>
      <c r="BS152" s="67"/>
      <c r="BT152" s="86"/>
      <c r="BU152" s="183"/>
      <c r="BV152" s="1"/>
      <c r="BW152" s="61">
        <f t="shared" si="53"/>
        <v>143</v>
      </c>
    </row>
    <row r="153" spans="1:75" x14ac:dyDescent="0.3">
      <c r="A153" s="551"/>
      <c r="B153" s="171">
        <f t="shared" si="52"/>
        <v>44053</v>
      </c>
      <c r="C153" s="61"/>
      <c r="D153" s="17">
        <v>49800</v>
      </c>
      <c r="E153" s="16"/>
      <c r="F153" s="16"/>
      <c r="G153" s="16"/>
      <c r="H153" s="16">
        <f t="shared" ref="H153" si="600">+H152+D153</f>
        <v>5247372</v>
      </c>
      <c r="I153" s="16"/>
      <c r="J153" s="479">
        <f t="shared" ref="J153" si="601">+D153/H152</f>
        <v>9.581396852222538E-3</v>
      </c>
      <c r="K153" s="16"/>
      <c r="L153" s="16"/>
      <c r="M153" s="16"/>
      <c r="N153" s="16"/>
      <c r="O153" s="16">
        <f t="shared" si="560"/>
        <v>36440.083333333336</v>
      </c>
      <c r="P153" s="41"/>
      <c r="Q153" s="17">
        <f t="shared" ref="Q153" si="602">SUM(D147:D153)</f>
        <v>383516</v>
      </c>
      <c r="R153" s="16"/>
      <c r="S153" s="60">
        <f t="shared" ref="S153" si="603">+(Q153-Q146)/Q146</f>
        <v>-0.10294320592617542</v>
      </c>
      <c r="T153" s="16"/>
      <c r="U153" s="41"/>
      <c r="V153" s="10">
        <f t="shared" si="340"/>
        <v>45</v>
      </c>
      <c r="W153" s="34">
        <v>569</v>
      </c>
      <c r="X153" s="33"/>
      <c r="Y153" s="33"/>
      <c r="Z153" s="33"/>
      <c r="AA153" s="33">
        <f t="shared" ref="AA153" si="604">+AA152+W153</f>
        <v>166173</v>
      </c>
      <c r="AB153" s="33"/>
      <c r="AC153" s="46">
        <f t="shared" ref="AC153" si="605">+AA153/H153</f>
        <v>3.1667852021926401E-2</v>
      </c>
      <c r="AD153" s="33"/>
      <c r="AE153" s="33">
        <f t="shared" ref="AE153" si="606">+AA153/BW153</f>
        <v>1153.9791666666667</v>
      </c>
      <c r="AF153" s="50"/>
      <c r="AG153" s="33">
        <f t="shared" ref="AG153" si="607">SUM(W147:W153)</f>
        <v>7250</v>
      </c>
      <c r="AH153" s="33">
        <f t="shared" ref="AH153" si="608">SUM(D124:D188)</f>
        <v>3362023.0049000001</v>
      </c>
      <c r="AI153" s="231" t="e">
        <f t="shared" ref="AI153" si="609">+(AG153-AG146)/AG146</f>
        <v>#DIV/0!</v>
      </c>
      <c r="AJ153" s="50"/>
      <c r="AK153" s="10"/>
      <c r="AL153" s="23">
        <f t="shared" ref="AL153" si="610">+AP153-AP152</f>
        <v>51233</v>
      </c>
      <c r="AM153" s="24"/>
      <c r="AN153" s="24"/>
      <c r="AO153" s="24">
        <v>178263</v>
      </c>
      <c r="AP153" s="24">
        <v>2715934</v>
      </c>
      <c r="AQ153" s="24"/>
      <c r="AR153" s="504">
        <f t="shared" ref="AR153" si="611">+AL153/AP152</f>
        <v>1.9226547368729176E-2</v>
      </c>
      <c r="AS153" s="25"/>
      <c r="AT153" s="25"/>
      <c r="AU153" s="24"/>
      <c r="AV153" s="341">
        <f t="shared" ref="AV153" si="612">+AP153/H153</f>
        <v>0.51757984758846909</v>
      </c>
      <c r="AW153" s="341"/>
      <c r="AX153" s="24">
        <f t="shared" ref="AX153" si="613">+AP153/BW153</f>
        <v>18860.652777777777</v>
      </c>
      <c r="AY153" s="351"/>
      <c r="AZ153" s="10"/>
      <c r="BA153" s="66">
        <f t="shared" ref="BA153" si="614">+BC153-BC152</f>
        <v>745364</v>
      </c>
      <c r="BB153" s="67"/>
      <c r="BC153" s="67">
        <v>66178615</v>
      </c>
      <c r="BD153" s="67"/>
      <c r="BE153" s="67">
        <f t="shared" ref="BE153" si="615">+D153</f>
        <v>49800</v>
      </c>
      <c r="BF153" s="67"/>
      <c r="BG153" s="156">
        <f t="shared" ref="BG153" si="616">+BE153/BA153</f>
        <v>6.6812993383098734E-2</v>
      </c>
      <c r="BH153" s="67"/>
      <c r="BI153" s="183"/>
      <c r="BJ153" s="67"/>
      <c r="BK153" s="67">
        <f t="shared" ref="BK153" si="617">SUM(BA147:BA153)</f>
        <v>5241074</v>
      </c>
      <c r="BL153" s="67"/>
      <c r="BM153" s="156">
        <f t="shared" ref="BM153" si="618">+Q153/BK153</f>
        <v>7.3175078237781035E-2</v>
      </c>
      <c r="BN153" s="66">
        <f t="shared" ref="BN153" si="619">+BC153/BW153</f>
        <v>459573.71527777775</v>
      </c>
      <c r="BO153" s="67"/>
      <c r="BP153" s="67">
        <f t="shared" ref="BP153" si="620">+BP152+BE153</f>
        <v>4964833</v>
      </c>
      <c r="BQ153" s="67"/>
      <c r="BR153" s="478">
        <f t="shared" ref="BR153" si="621">+BP153/BC153</f>
        <v>7.5021712074210073E-2</v>
      </c>
      <c r="BS153" s="67"/>
      <c r="BT153" s="86"/>
      <c r="BU153" s="183"/>
      <c r="BV153" s="1"/>
      <c r="BW153" s="61">
        <f t="shared" si="53"/>
        <v>144</v>
      </c>
    </row>
    <row r="154" spans="1:75" x14ac:dyDescent="0.3">
      <c r="B154" s="171">
        <f t="shared" si="52"/>
        <v>44054</v>
      </c>
      <c r="C154" s="61"/>
      <c r="D154" s="17">
        <v>54519</v>
      </c>
      <c r="E154" s="16"/>
      <c r="F154" s="16"/>
      <c r="G154" s="16"/>
      <c r="H154" s="16">
        <f t="shared" ref="H154" si="622">+H153+D154</f>
        <v>5301891</v>
      </c>
      <c r="I154" s="16"/>
      <c r="J154" s="479">
        <f t="shared" ref="J154" si="623">+D154/H153</f>
        <v>1.0389772251709999E-2</v>
      </c>
      <c r="K154" s="16"/>
      <c r="L154" s="16"/>
      <c r="M154" s="16"/>
      <c r="N154" s="16"/>
      <c r="O154" s="16">
        <f t="shared" si="560"/>
        <v>36564.76551724138</v>
      </c>
      <c r="P154" s="41"/>
      <c r="Q154" s="17">
        <f t="shared" ref="Q154" si="624">SUM(D148:D154)</f>
        <v>383471</v>
      </c>
      <c r="R154" s="16"/>
      <c r="S154" s="60">
        <f t="shared" ref="S154" si="625">+(Q154-Q147)/Q147</f>
        <v>-8.1202888619471822E-2</v>
      </c>
      <c r="T154" s="16"/>
      <c r="U154" s="41"/>
      <c r="V154" s="10">
        <f t="shared" si="340"/>
        <v>46</v>
      </c>
      <c r="W154" s="34">
        <v>1504</v>
      </c>
      <c r="X154" s="33"/>
      <c r="Y154" s="33"/>
      <c r="Z154" s="33"/>
      <c r="AA154" s="33">
        <f t="shared" ref="AA154" si="626">+AA153+W154</f>
        <v>167677</v>
      </c>
      <c r="AB154" s="33"/>
      <c r="AC154" s="46">
        <f t="shared" ref="AC154" si="627">+AA154/H154</f>
        <v>3.1625885933905466E-2</v>
      </c>
      <c r="AD154" s="33"/>
      <c r="AE154" s="33">
        <f t="shared" ref="AE154" si="628">+AA154/BW154</f>
        <v>1156.393103448276</v>
      </c>
      <c r="AF154" s="50"/>
      <c r="AG154" s="33">
        <f t="shared" ref="AG154" si="629">SUM(W148:W154)</f>
        <v>7395</v>
      </c>
      <c r="AH154" s="33">
        <f t="shared" ref="AH154" si="630">SUM(D125:D189)</f>
        <v>3303674.0049000001</v>
      </c>
      <c r="AI154" s="231" t="e">
        <f t="shared" ref="AI154" si="631">+(AG154-AG147)/AG147</f>
        <v>#DIV/0!</v>
      </c>
      <c r="AJ154" s="50"/>
      <c r="AK154" s="10"/>
      <c r="AL154" s="23">
        <f t="shared" ref="AL154" si="632">+AP154-AP153</f>
        <v>39414</v>
      </c>
      <c r="AM154" s="24"/>
      <c r="AN154" s="24"/>
      <c r="AO154" s="24">
        <v>178263</v>
      </c>
      <c r="AP154" s="24">
        <v>2755348</v>
      </c>
      <c r="AQ154" s="24"/>
      <c r="AR154" s="504">
        <f t="shared" ref="AR154" si="633">+AL154/AP153</f>
        <v>1.4512134683685245E-2</v>
      </c>
      <c r="AS154" s="25"/>
      <c r="AT154" s="25"/>
      <c r="AU154" s="24"/>
      <c r="AV154" s="341">
        <f t="shared" ref="AV154" si="634">+AP154/H154</f>
        <v>0.51969155910598686</v>
      </c>
      <c r="AW154" s="341"/>
      <c r="AX154" s="24">
        <f t="shared" ref="AX154" si="635">+AP154/BW154</f>
        <v>19002.400000000001</v>
      </c>
      <c r="AY154" s="351"/>
      <c r="AZ154" s="10"/>
      <c r="BA154" s="66">
        <f t="shared" ref="BA154" si="636">+BC154-BC153</f>
        <v>763742</v>
      </c>
      <c r="BB154" s="67"/>
      <c r="BC154" s="67">
        <v>66942357</v>
      </c>
      <c r="BD154" s="67"/>
      <c r="BE154" s="67">
        <f t="shared" ref="BE154" si="637">+D154</f>
        <v>54519</v>
      </c>
      <c r="BF154" s="67"/>
      <c r="BG154" s="156">
        <f t="shared" ref="BG154" si="638">+BE154/BA154</f>
        <v>7.1384053777322709E-2</v>
      </c>
      <c r="BH154" s="67"/>
      <c r="BI154" s="183"/>
      <c r="BJ154" s="67"/>
      <c r="BK154" s="67">
        <f t="shared" ref="BK154" si="639">SUM(BA148:BA154)</f>
        <v>5323320</v>
      </c>
      <c r="BL154" s="67"/>
      <c r="BM154" s="156">
        <f t="shared" ref="BM154" si="640">+Q154/BK154</f>
        <v>7.2036060203031188E-2</v>
      </c>
      <c r="BN154" s="66">
        <f t="shared" ref="BN154" si="641">+BC154/BW154</f>
        <v>461671.42758620688</v>
      </c>
      <c r="BO154" s="67"/>
      <c r="BP154" s="67">
        <f t="shared" ref="BP154" si="642">+BP153+BE154</f>
        <v>5019352</v>
      </c>
      <c r="BQ154" s="67"/>
      <c r="BR154" s="478">
        <f t="shared" ref="BR154" si="643">+BP154/BC154</f>
        <v>7.4980210212795467E-2</v>
      </c>
      <c r="BS154" s="67"/>
      <c r="BT154" s="86"/>
      <c r="BU154" s="183"/>
      <c r="BV154" s="1"/>
      <c r="BW154" s="61">
        <f t="shared" si="53"/>
        <v>145</v>
      </c>
    </row>
    <row r="155" spans="1:75" x14ac:dyDescent="0.3">
      <c r="B155" s="171">
        <f t="shared" si="52"/>
        <v>44055</v>
      </c>
      <c r="C155" s="61"/>
      <c r="D155" s="17">
        <v>54345</v>
      </c>
      <c r="E155" s="16"/>
      <c r="F155" s="16"/>
      <c r="G155" s="16"/>
      <c r="H155" s="16">
        <f t="shared" ref="H155" si="644">+H154+D155</f>
        <v>5356236</v>
      </c>
      <c r="I155" s="16"/>
      <c r="J155" s="479">
        <f t="shared" ref="J155" si="645">+D155/H154</f>
        <v>1.0250116420726114E-2</v>
      </c>
      <c r="K155" s="16"/>
      <c r="L155" s="16"/>
      <c r="M155" s="16"/>
      <c r="N155" s="16"/>
      <c r="O155" s="16">
        <f t="shared" si="560"/>
        <v>36686.547945205479</v>
      </c>
      <c r="P155" s="41"/>
      <c r="Q155" s="17">
        <f t="shared" ref="Q155" si="646">SUM(D149:D155)</f>
        <v>382668</v>
      </c>
      <c r="R155" s="16"/>
      <c r="S155" s="60">
        <f t="shared" ref="S155" si="647">+(Q155-Q148)/Q148</f>
        <v>-5.6512873869853472E-2</v>
      </c>
      <c r="T155" s="16"/>
      <c r="U155" s="41"/>
      <c r="V155" s="10">
        <f t="shared" si="340"/>
        <v>47</v>
      </c>
      <c r="W155" s="34">
        <v>1386</v>
      </c>
      <c r="X155" s="33"/>
      <c r="Y155" s="33"/>
      <c r="Z155" s="33"/>
      <c r="AA155" s="33">
        <f t="shared" ref="AA155" si="648">+AA154+W155</f>
        <v>169063</v>
      </c>
      <c r="AB155" s="33"/>
      <c r="AC155" s="46">
        <f t="shared" ref="AC155" si="649">+AA155/H155</f>
        <v>3.1563769781615299E-2</v>
      </c>
      <c r="AD155" s="33"/>
      <c r="AE155" s="33">
        <f t="shared" ref="AE155" si="650">+AA155/BW155</f>
        <v>1157.9657534246576</v>
      </c>
      <c r="AF155" s="50"/>
      <c r="AG155" s="33">
        <f t="shared" ref="AG155" si="651">SUM(W149:W155)</f>
        <v>7462</v>
      </c>
      <c r="AH155" s="33">
        <f t="shared" ref="AH155" si="652">SUM(D126:D190)</f>
        <v>3238186.0049000001</v>
      </c>
      <c r="AI155" s="231" t="e">
        <f t="shared" ref="AI155" si="653">+(AG155-AG148)/AG148</f>
        <v>#DIV/0!</v>
      </c>
      <c r="AJ155" s="50"/>
      <c r="AK155" s="10"/>
      <c r="AL155" s="23">
        <f t="shared" ref="AL155" si="654">+AP155-AP154</f>
        <v>57255</v>
      </c>
      <c r="AM155" s="24"/>
      <c r="AN155" s="24"/>
      <c r="AO155" s="24">
        <v>178263</v>
      </c>
      <c r="AP155" s="24">
        <v>2812603</v>
      </c>
      <c r="AQ155" s="24"/>
      <c r="AR155" s="504">
        <f t="shared" ref="AR155" si="655">+AL155/AP154</f>
        <v>2.0779589365844169E-2</v>
      </c>
      <c r="AS155" s="25"/>
      <c r="AT155" s="25"/>
      <c r="AU155" s="24"/>
      <c r="AV155" s="341">
        <f t="shared" ref="AV155" si="656">+AP155/H155</f>
        <v>0.52510811696870718</v>
      </c>
      <c r="AW155" s="341"/>
      <c r="AX155" s="24">
        <f t="shared" ref="AX155" si="657">+AP155/BW155</f>
        <v>19264.404109589042</v>
      </c>
      <c r="AY155" s="351"/>
      <c r="AZ155" s="10"/>
      <c r="BA155" s="66">
        <f t="shared" ref="BA155" si="658">+BC155-BC154</f>
        <v>608804</v>
      </c>
      <c r="BB155" s="67"/>
      <c r="BC155" s="67">
        <v>67551161</v>
      </c>
      <c r="BD155" s="67"/>
      <c r="BE155" s="67">
        <f t="shared" ref="BE155" si="659">+D155</f>
        <v>54345</v>
      </c>
      <c r="BF155" s="67"/>
      <c r="BG155" s="156">
        <f t="shared" ref="BG155" si="660">+BE155/BA155</f>
        <v>8.9265182226135179E-2</v>
      </c>
      <c r="BH155" s="67"/>
      <c r="BI155" s="183"/>
      <c r="BJ155" s="67"/>
      <c r="BK155" s="67">
        <f t="shared" ref="BK155" si="661">SUM(BA149:BA155)</f>
        <v>5169866</v>
      </c>
      <c r="BL155" s="67"/>
      <c r="BM155" s="156">
        <f t="shared" ref="BM155" si="662">+Q155/BK155</f>
        <v>7.401893975588536E-2</v>
      </c>
      <c r="BN155" s="66">
        <f t="shared" ref="BN155" si="663">+BC155/BW155</f>
        <v>462679.18493150687</v>
      </c>
      <c r="BO155" s="67"/>
      <c r="BP155" s="67">
        <f t="shared" ref="BP155" si="664">+BP154+BE155</f>
        <v>5073697</v>
      </c>
      <c r="BQ155" s="67"/>
      <c r="BR155" s="478">
        <f t="shared" ref="BR155" si="665">+BP155/BC155</f>
        <v>7.510895334574634E-2</v>
      </c>
      <c r="BS155" s="67"/>
      <c r="BT155" s="86"/>
      <c r="BU155" s="183"/>
      <c r="BV155" s="1"/>
      <c r="BW155" s="61">
        <f t="shared" si="53"/>
        <v>146</v>
      </c>
    </row>
    <row r="156" spans="1:75" x14ac:dyDescent="0.3">
      <c r="B156" s="171">
        <f t="shared" si="52"/>
        <v>44056</v>
      </c>
      <c r="C156" s="61"/>
      <c r="D156" s="17">
        <v>55364</v>
      </c>
      <c r="E156" s="16"/>
      <c r="F156" s="16"/>
      <c r="G156" s="16"/>
      <c r="H156" s="16">
        <f t="shared" ref="H156" si="666">+H155+D156</f>
        <v>5411600</v>
      </c>
      <c r="I156" s="16"/>
      <c r="J156" s="479">
        <f t="shared" ref="J156" si="667">+D156/H155</f>
        <v>1.033636307287431E-2</v>
      </c>
      <c r="K156" s="16"/>
      <c r="L156" s="16"/>
      <c r="M156" s="16"/>
      <c r="N156" s="16"/>
      <c r="O156" s="16">
        <f t="shared" si="560"/>
        <v>36813.605442176871</v>
      </c>
      <c r="P156" s="41"/>
      <c r="Q156" s="17">
        <f t="shared" ref="Q156" si="668">SUM(D150:D156)</f>
        <v>379322</v>
      </c>
      <c r="R156" s="16"/>
      <c r="S156" s="60">
        <f t="shared" ref="S156" si="669">+(Q156-Q149)/Q149</f>
        <v>-4.1462613398023908E-2</v>
      </c>
      <c r="T156" s="16"/>
      <c r="U156" s="41"/>
      <c r="V156" s="10">
        <f t="shared" si="340"/>
        <v>48</v>
      </c>
      <c r="W156" s="34">
        <v>1284</v>
      </c>
      <c r="X156" s="33"/>
      <c r="Y156" s="33"/>
      <c r="Z156" s="33"/>
      <c r="AA156" s="33">
        <f t="shared" ref="AA156" si="670">+AA155+W156</f>
        <v>170347</v>
      </c>
      <c r="AB156" s="33"/>
      <c r="AC156" s="46">
        <f t="shared" ref="AC156" si="671">+AA156/H156</f>
        <v>3.1478121073250057E-2</v>
      </c>
      <c r="AD156" s="33"/>
      <c r="AE156" s="33">
        <f t="shared" ref="AE156" si="672">+AA156/BW156</f>
        <v>1158.8231292517007</v>
      </c>
      <c r="AF156" s="50"/>
      <c r="AG156" s="33">
        <f t="shared" ref="AG156" si="673">SUM(W150:W156)</f>
        <v>7543</v>
      </c>
      <c r="AH156" s="33">
        <f t="shared" ref="AH156" si="674">SUM(D127:D191)</f>
        <v>3172138.0049000001</v>
      </c>
      <c r="AI156" s="231" t="e">
        <f t="shared" ref="AI156" si="675">+(AG156-AG149)/AG149</f>
        <v>#DIV/0!</v>
      </c>
      <c r="AJ156" s="50"/>
      <c r="AK156" s="10"/>
      <c r="AL156" s="23">
        <f t="shared" ref="AL156" si="676">+AP156-AP155</f>
        <v>30601</v>
      </c>
      <c r="AM156" s="24"/>
      <c r="AN156" s="24"/>
      <c r="AO156" s="24">
        <v>178263</v>
      </c>
      <c r="AP156" s="24">
        <v>2843204</v>
      </c>
      <c r="AQ156" s="24"/>
      <c r="AR156" s="504">
        <f t="shared" ref="AR156" si="677">+AL156/AP155</f>
        <v>1.0879957107348601E-2</v>
      </c>
      <c r="AS156" s="25"/>
      <c r="AT156" s="25"/>
      <c r="AU156" s="24"/>
      <c r="AV156" s="341">
        <f t="shared" ref="AV156" si="678">+AP156/H156</f>
        <v>0.52539064232389676</v>
      </c>
      <c r="AW156" s="341"/>
      <c r="AX156" s="24">
        <f t="shared" ref="AX156" si="679">+AP156/BW156</f>
        <v>19341.523809523809</v>
      </c>
      <c r="AY156" s="351"/>
      <c r="AZ156" s="10"/>
      <c r="BA156" s="66">
        <f t="shared" ref="BA156" si="680">+BC156-BC155</f>
        <v>973441</v>
      </c>
      <c r="BB156" s="67"/>
      <c r="BC156" s="67">
        <v>68524602</v>
      </c>
      <c r="BD156" s="67"/>
      <c r="BE156" s="67">
        <f t="shared" ref="BE156" si="681">+D156</f>
        <v>55364</v>
      </c>
      <c r="BF156" s="67"/>
      <c r="BG156" s="156">
        <f t="shared" ref="BG156" si="682">+BE156/BA156</f>
        <v>5.6874530659793456E-2</v>
      </c>
      <c r="BH156" s="67"/>
      <c r="BI156" s="183"/>
      <c r="BJ156" s="67"/>
      <c r="BK156" s="67">
        <f t="shared" ref="BK156" si="683">SUM(BA150:BA156)</f>
        <v>5379181</v>
      </c>
      <c r="BL156" s="67"/>
      <c r="BM156" s="156">
        <f t="shared" ref="BM156" si="684">+Q156/BK156</f>
        <v>7.0516682744083167E-2</v>
      </c>
      <c r="BN156" s="66">
        <f t="shared" ref="BN156" si="685">+BC156/BW156</f>
        <v>466153.75510204083</v>
      </c>
      <c r="BO156" s="67"/>
      <c r="BP156" s="67">
        <f t="shared" ref="BP156" si="686">+BP155+BE156</f>
        <v>5129061</v>
      </c>
      <c r="BQ156" s="67"/>
      <c r="BR156" s="478">
        <f t="shared" ref="BR156" si="687">+BP156/BC156</f>
        <v>7.4849920324965916E-2</v>
      </c>
      <c r="BS156" s="67"/>
      <c r="BT156" s="86"/>
      <c r="BU156" s="183"/>
      <c r="BV156" s="1"/>
      <c r="BW156" s="61">
        <f t="shared" si="53"/>
        <v>147</v>
      </c>
    </row>
    <row r="157" spans="1:75" x14ac:dyDescent="0.3">
      <c r="B157" s="171">
        <f t="shared" si="52"/>
        <v>44057</v>
      </c>
      <c r="C157" s="61"/>
      <c r="D157" s="17">
        <v>60600</v>
      </c>
      <c r="E157" s="16"/>
      <c r="F157" s="16"/>
      <c r="G157" s="16"/>
      <c r="H157" s="16">
        <f t="shared" ref="H157" si="688">+H156+D157</f>
        <v>5472200</v>
      </c>
      <c r="I157" s="16"/>
      <c r="J157" s="479">
        <f t="shared" ref="J157" si="689">+D157/H156</f>
        <v>1.1198166900731761E-2</v>
      </c>
      <c r="K157" s="16"/>
      <c r="L157" s="16"/>
      <c r="M157" s="16"/>
      <c r="N157" s="16"/>
      <c r="O157" s="16">
        <f t="shared" si="560"/>
        <v>36974.324324324327</v>
      </c>
      <c r="P157" s="41"/>
      <c r="Q157" s="17">
        <f t="shared" ref="Q157" si="690">SUM(D151:D157)</f>
        <v>376676</v>
      </c>
      <c r="R157" s="16"/>
      <c r="S157" s="60">
        <f t="shared" ref="S157" si="691">+(Q157-Q150)/Q150</f>
        <v>-2.8917768559886359E-2</v>
      </c>
      <c r="T157" s="16"/>
      <c r="U157" s="41"/>
      <c r="V157" s="10">
        <f t="shared" si="340"/>
        <v>49</v>
      </c>
      <c r="W157" s="34">
        <v>1120</v>
      </c>
      <c r="X157" s="33"/>
      <c r="Y157" s="33"/>
      <c r="Z157" s="33"/>
      <c r="AA157" s="33">
        <f t="shared" ref="AA157" si="692">+AA156+W157</f>
        <v>171467</v>
      </c>
      <c r="AB157" s="33"/>
      <c r="AC157" s="46">
        <f t="shared" ref="AC157" si="693">+AA157/H157</f>
        <v>3.1334198311465222E-2</v>
      </c>
      <c r="AD157" s="33"/>
      <c r="AE157" s="33">
        <f t="shared" ref="AE157" si="694">+AA157/BW157</f>
        <v>1158.5608108108108</v>
      </c>
      <c r="AF157" s="50"/>
      <c r="AG157" s="33">
        <f t="shared" ref="AG157" si="695">SUM(W151:W157)</f>
        <v>7373</v>
      </c>
      <c r="AH157" s="33">
        <f t="shared" ref="AH157" si="696">SUM(D128:D192)</f>
        <v>3100143.0049000001</v>
      </c>
      <c r="AI157" s="231" t="e">
        <f t="shared" ref="AI157" si="697">+(AG157-AG150)/AG150</f>
        <v>#DIV/0!</v>
      </c>
      <c r="AJ157" s="50"/>
      <c r="AK157" s="10"/>
      <c r="AL157" s="23">
        <f t="shared" ref="AL157" si="698">+AP157-AP156</f>
        <v>31943</v>
      </c>
      <c r="AM157" s="24"/>
      <c r="AN157" s="24"/>
      <c r="AO157" s="24">
        <v>178263</v>
      </c>
      <c r="AP157" s="24">
        <v>2875147</v>
      </c>
      <c r="AQ157" s="24"/>
      <c r="AR157" s="504">
        <f t="shared" ref="AR157" si="699">+AL157/AP156</f>
        <v>1.1234860389898156E-2</v>
      </c>
      <c r="AS157" s="25"/>
      <c r="AT157" s="25"/>
      <c r="AU157" s="24"/>
      <c r="AV157" s="341">
        <f t="shared" ref="AV157" si="700">+AP157/H157</f>
        <v>0.5254097072475421</v>
      </c>
      <c r="AW157" s="341"/>
      <c r="AX157" s="24">
        <f t="shared" ref="AX157" si="701">+AP157/BW157</f>
        <v>19426.66891891892</v>
      </c>
      <c r="AY157" s="351"/>
      <c r="AZ157" s="10"/>
      <c r="BA157" s="66">
        <f t="shared" ref="BA157" si="702">+BC157-BC156</f>
        <v>837407</v>
      </c>
      <c r="BB157" s="67"/>
      <c r="BC157" s="67">
        <v>69362009</v>
      </c>
      <c r="BD157" s="67"/>
      <c r="BE157" s="67">
        <f t="shared" ref="BE157" si="703">+D157</f>
        <v>60600</v>
      </c>
      <c r="BF157" s="67"/>
      <c r="BG157" s="156">
        <f t="shared" ref="BG157" si="704">+BE157/BA157</f>
        <v>7.2366244848681704E-2</v>
      </c>
      <c r="BH157" s="67"/>
      <c r="BI157" s="183"/>
      <c r="BJ157" s="67"/>
      <c r="BK157" s="67">
        <f t="shared" ref="BK157" si="705">SUM(BA151:BA157)</f>
        <v>5465552</v>
      </c>
      <c r="BL157" s="67"/>
      <c r="BM157" s="156">
        <f t="shared" ref="BM157" si="706">+Q157/BK157</f>
        <v>6.8918198930318475E-2</v>
      </c>
      <c r="BN157" s="66">
        <f t="shared" ref="BN157" si="707">+BC157/BW157</f>
        <v>468662.22297297296</v>
      </c>
      <c r="BO157" s="67"/>
      <c r="BP157" s="67">
        <f t="shared" ref="BP157" si="708">+BP156+BE157</f>
        <v>5189661</v>
      </c>
      <c r="BQ157" s="67"/>
      <c r="BR157" s="478">
        <f t="shared" ref="BR157" si="709">+BP157/BC157</f>
        <v>7.481993493008543E-2</v>
      </c>
      <c r="BS157" s="67"/>
      <c r="BT157" s="86"/>
      <c r="BU157" s="183"/>
      <c r="BV157" s="1"/>
      <c r="BW157" s="61">
        <f t="shared" si="53"/>
        <v>148</v>
      </c>
    </row>
    <row r="158" spans="1:75" x14ac:dyDescent="0.3">
      <c r="B158" s="171">
        <f t="shared" si="52"/>
        <v>44058</v>
      </c>
      <c r="C158" s="61"/>
      <c r="D158" s="17">
        <v>53523</v>
      </c>
      <c r="E158" s="16"/>
      <c r="F158" s="16"/>
      <c r="G158" s="16"/>
      <c r="H158" s="16">
        <f t="shared" ref="H158" si="710">+H157+D158</f>
        <v>5525723</v>
      </c>
      <c r="I158" s="16"/>
      <c r="J158" s="479">
        <f t="shared" ref="J158" si="711">+D158/H157</f>
        <v>9.7808925112386237E-3</v>
      </c>
      <c r="K158" s="16"/>
      <c r="L158" s="16"/>
      <c r="M158" s="16"/>
      <c r="N158" s="16"/>
      <c r="O158" s="16">
        <f t="shared" si="560"/>
        <v>37085.389261744967</v>
      </c>
      <c r="P158" s="41"/>
      <c r="Q158" s="17">
        <f t="shared" ref="Q158" si="712">SUM(D152:D158)</f>
        <v>376000</v>
      </c>
      <c r="R158" s="16"/>
      <c r="S158" s="60">
        <f t="shared" ref="S158" si="713">+(Q158-Q151)/Q151</f>
        <v>-1.968708203081207E-2</v>
      </c>
      <c r="T158" s="16"/>
      <c r="U158" s="41"/>
      <c r="V158" s="10">
        <f t="shared" si="340"/>
        <v>50</v>
      </c>
      <c r="W158" s="34">
        <v>1071</v>
      </c>
      <c r="X158" s="33"/>
      <c r="Y158" s="33"/>
      <c r="Z158" s="33"/>
      <c r="AA158" s="33">
        <f t="shared" ref="AA158" si="714">+AA157+W158</f>
        <v>172538</v>
      </c>
      <c r="AB158" s="33"/>
      <c r="AC158" s="46">
        <f t="shared" ref="AC158" si="715">+AA158/H158</f>
        <v>3.1224511254002416E-2</v>
      </c>
      <c r="AD158" s="33"/>
      <c r="AE158" s="33">
        <f t="shared" ref="AE158" si="716">+AA158/BW158</f>
        <v>1157.9731543624162</v>
      </c>
      <c r="AF158" s="50"/>
      <c r="AG158" s="33">
        <f t="shared" ref="AG158" si="717">SUM(W152:W158)</f>
        <v>7468</v>
      </c>
      <c r="AH158" s="33">
        <f t="shared" ref="AH158" si="718">SUM(D129:D193)</f>
        <v>53026755.004900001</v>
      </c>
      <c r="AI158" s="231" t="e">
        <f t="shared" ref="AI158" si="719">+(AG158-AG151)/AG151</f>
        <v>#DIV/0!</v>
      </c>
      <c r="AJ158" s="50"/>
      <c r="AK158" s="10"/>
      <c r="AL158" s="23">
        <f t="shared" ref="AL158" si="720">+AP158-AP157</f>
        <v>29242</v>
      </c>
      <c r="AM158" s="24"/>
      <c r="AN158" s="24"/>
      <c r="AO158" s="24">
        <v>178263</v>
      </c>
      <c r="AP158" s="24">
        <v>2904389</v>
      </c>
      <c r="AQ158" s="24"/>
      <c r="AR158" s="504">
        <f t="shared" ref="AR158" si="721">+AL158/AP157</f>
        <v>1.0170610407050492E-2</v>
      </c>
      <c r="AS158" s="25"/>
      <c r="AT158" s="25"/>
      <c r="AU158" s="24"/>
      <c r="AV158" s="341">
        <f t="shared" ref="AV158" si="722">+AP158/H158</f>
        <v>0.52561248546117856</v>
      </c>
      <c r="AW158" s="341"/>
      <c r="AX158" s="24">
        <f t="shared" ref="AX158" si="723">+AP158/BW158</f>
        <v>19492.543624161073</v>
      </c>
      <c r="AY158" s="351"/>
      <c r="AZ158" s="10"/>
      <c r="BA158" s="66">
        <f t="shared" ref="BA158" si="724">+BC158-BC157</f>
        <v>862664</v>
      </c>
      <c r="BB158" s="67"/>
      <c r="BC158" s="67">
        <v>70224673</v>
      </c>
      <c r="BD158" s="67"/>
      <c r="BE158" s="67">
        <f t="shared" ref="BE158" si="725">+D158</f>
        <v>53523</v>
      </c>
      <c r="BF158" s="67"/>
      <c r="BG158" s="156">
        <f t="shared" ref="BG158" si="726">+BE158/BA158</f>
        <v>6.2043854849628592E-2</v>
      </c>
      <c r="BH158" s="67"/>
      <c r="BI158" s="183"/>
      <c r="BJ158" s="67"/>
      <c r="BK158" s="67">
        <f t="shared" ref="BK158" si="727">SUM(BA152:BA158)</f>
        <v>5614126</v>
      </c>
      <c r="BL158" s="67"/>
      <c r="BM158" s="156">
        <f t="shared" ref="BM158" si="728">+Q158/BK158</f>
        <v>6.6973915441156828E-2</v>
      </c>
      <c r="BN158" s="66">
        <f t="shared" ref="BN158" si="729">+BC158/BW158</f>
        <v>471306.53020134231</v>
      </c>
      <c r="BO158" s="67"/>
      <c r="BP158" s="67">
        <f t="shared" ref="BP158" si="730">+BP157+BE158</f>
        <v>5243184</v>
      </c>
      <c r="BQ158" s="67"/>
      <c r="BR158" s="478">
        <f t="shared" ref="BR158" si="731">+BP158/BC158</f>
        <v>7.4662989174759137E-2</v>
      </c>
      <c r="BS158" s="67"/>
      <c r="BT158" s="86"/>
      <c r="BU158" s="183"/>
      <c r="BV158" s="1"/>
      <c r="BW158" s="61">
        <f t="shared" si="53"/>
        <v>149</v>
      </c>
    </row>
    <row r="159" spans="1:75" x14ac:dyDescent="0.3">
      <c r="B159" s="390">
        <f t="shared" si="52"/>
        <v>44059</v>
      </c>
      <c r="C159" s="61"/>
      <c r="D159" s="17">
        <v>36843</v>
      </c>
      <c r="E159" s="16"/>
      <c r="F159" s="16"/>
      <c r="G159" s="16"/>
      <c r="H159" s="16">
        <f t="shared" ref="H159" si="732">+H158+D159</f>
        <v>5562566</v>
      </c>
      <c r="I159" s="16"/>
      <c r="J159" s="479">
        <f t="shared" ref="J159" si="733">+D159/H158</f>
        <v>6.6675437766243444E-3</v>
      </c>
      <c r="K159" s="16"/>
      <c r="L159" s="16"/>
      <c r="M159" s="16"/>
      <c r="N159" s="16">
        <f>SUM(D153:D159)</f>
        <v>364994</v>
      </c>
      <c r="O159" s="16">
        <f t="shared" si="560"/>
        <v>37083.773333333331</v>
      </c>
      <c r="P159" s="41"/>
      <c r="Q159" s="17">
        <f t="shared" ref="Q159" si="734">SUM(D153:D159)</f>
        <v>364994</v>
      </c>
      <c r="R159" s="16"/>
      <c r="S159" s="60">
        <f t="shared" ref="S159" si="735">+(Q159-Q152)/Q152</f>
        <v>-4.5422923826112425E-2</v>
      </c>
      <c r="T159" s="16"/>
      <c r="U159" s="41"/>
      <c r="V159" s="10">
        <f t="shared" si="340"/>
        <v>51</v>
      </c>
      <c r="W159" s="34">
        <v>522</v>
      </c>
      <c r="X159" s="33"/>
      <c r="Y159" s="33"/>
      <c r="Z159" s="33"/>
      <c r="AA159" s="33">
        <f t="shared" ref="AA159" si="736">+AA158+W159</f>
        <v>173060</v>
      </c>
      <c r="AB159" s="33"/>
      <c r="AC159" s="46">
        <f t="shared" ref="AC159" si="737">+AA159/H159</f>
        <v>3.111154096868244E-2</v>
      </c>
      <c r="AD159" s="33"/>
      <c r="AE159" s="33">
        <f t="shared" ref="AE159" si="738">+AA159/BW159</f>
        <v>1153.7333333333333</v>
      </c>
      <c r="AF159" s="50"/>
      <c r="AG159" s="33">
        <f t="shared" ref="AG159" si="739">SUM(W153:W159)</f>
        <v>7456</v>
      </c>
      <c r="AH159" s="33">
        <f t="shared" ref="AH159" si="740">SUM(D130:D194)</f>
        <v>52951768.155957401</v>
      </c>
      <c r="AI159" s="231">
        <f t="shared" ref="AI159" si="741">+(AG159-AG152)/AG152</f>
        <v>2.9407703990059368E-2</v>
      </c>
      <c r="AJ159" s="50"/>
      <c r="AK159" s="10"/>
      <c r="AL159" s="23">
        <f t="shared" ref="AL159" si="742">+AP159-AP158</f>
        <v>18335</v>
      </c>
      <c r="AM159" s="24"/>
      <c r="AN159" s="24"/>
      <c r="AO159" s="24">
        <v>178263</v>
      </c>
      <c r="AP159" s="24">
        <v>2922724</v>
      </c>
      <c r="AQ159" s="24"/>
      <c r="AR159" s="504">
        <f t="shared" ref="AR159" si="743">+AL159/AP158</f>
        <v>6.3128596066160557E-3</v>
      </c>
      <c r="AS159" s="25"/>
      <c r="AT159" s="25"/>
      <c r="AU159" s="24"/>
      <c r="AV159" s="341">
        <f t="shared" ref="AV159" si="744">+AP159/H159</f>
        <v>0.52542729380649145</v>
      </c>
      <c r="AW159" s="341"/>
      <c r="AX159" s="24">
        <f t="shared" ref="AX159" si="745">+AP159/BW159</f>
        <v>19484.826666666668</v>
      </c>
      <c r="AY159" s="351"/>
      <c r="AZ159" s="10"/>
      <c r="BA159" s="66">
        <f t="shared" ref="BA159" si="746">+BC159-BC158</f>
        <v>735957</v>
      </c>
      <c r="BB159" s="67"/>
      <c r="BC159" s="67">
        <v>70960630</v>
      </c>
      <c r="BD159" s="67"/>
      <c r="BE159" s="67">
        <f t="shared" ref="BE159" si="747">+D159</f>
        <v>36843</v>
      </c>
      <c r="BF159" s="67"/>
      <c r="BG159" s="156">
        <f t="shared" ref="BG159" si="748">+BE159/BA159</f>
        <v>5.0061348692926354E-2</v>
      </c>
      <c r="BH159" s="67"/>
      <c r="BI159" s="183"/>
      <c r="BJ159" s="67"/>
      <c r="BK159" s="67">
        <f t="shared" ref="BK159" si="749">SUM(BA153:BA159)</f>
        <v>5527379</v>
      </c>
      <c r="BL159" s="67"/>
      <c r="BM159" s="156">
        <f t="shared" ref="BM159" si="750">+Q159/BK159</f>
        <v>6.603382905351704E-2</v>
      </c>
      <c r="BN159" s="66">
        <f t="shared" ref="BN159" si="751">+BC159/BW159</f>
        <v>473070.86666666664</v>
      </c>
      <c r="BO159" s="67"/>
      <c r="BP159" s="67">
        <f t="shared" ref="BP159" si="752">+BP158+BE159</f>
        <v>5280027</v>
      </c>
      <c r="BQ159" s="67"/>
      <c r="BR159" s="478">
        <f t="shared" ref="BR159" si="753">+BP159/BC159</f>
        <v>7.4407837134478655E-2</v>
      </c>
      <c r="BS159" s="67"/>
      <c r="BT159" s="86"/>
      <c r="BU159" s="183"/>
      <c r="BV159" s="1"/>
      <c r="BW159" s="61">
        <f t="shared" si="53"/>
        <v>150</v>
      </c>
    </row>
    <row r="160" spans="1:75" x14ac:dyDescent="0.3">
      <c r="B160" s="171">
        <f t="shared" si="52"/>
        <v>44060</v>
      </c>
      <c r="C160" s="61"/>
      <c r="D160" s="17">
        <v>40612</v>
      </c>
      <c r="E160" s="16"/>
      <c r="F160" s="16"/>
      <c r="G160" s="16"/>
      <c r="H160" s="16">
        <f t="shared" ref="H160" si="754">+H159+D160</f>
        <v>5603178</v>
      </c>
      <c r="I160" s="16"/>
      <c r="J160" s="479">
        <f t="shared" ref="J160" si="755">+D160/H159</f>
        <v>7.3009470808975572E-3</v>
      </c>
      <c r="K160" s="16"/>
      <c r="L160" s="16"/>
      <c r="M160" s="16"/>
      <c r="N160" s="16">
        <f>SUM(D154:D160)</f>
        <v>355806</v>
      </c>
      <c r="O160" s="16">
        <f t="shared" si="560"/>
        <v>37107.139072847684</v>
      </c>
      <c r="P160" s="41"/>
      <c r="Q160" s="17">
        <f t="shared" ref="Q160" si="756">SUM(D154:D160)</f>
        <v>355806</v>
      </c>
      <c r="R160" s="16"/>
      <c r="S160" s="60">
        <f t="shared" ref="S160" si="757">+(Q160-Q153)/Q153</f>
        <v>-7.2252526622096608E-2</v>
      </c>
      <c r="T160" s="16"/>
      <c r="U160" s="41"/>
      <c r="V160" s="10">
        <f t="shared" si="340"/>
        <v>52</v>
      </c>
      <c r="W160" s="34">
        <v>589</v>
      </c>
      <c r="X160" s="33"/>
      <c r="Y160" s="33"/>
      <c r="Z160" s="33"/>
      <c r="AA160" s="33">
        <f t="shared" ref="AA160" si="758">+AA159+W160</f>
        <v>173649</v>
      </c>
      <c r="AB160" s="33"/>
      <c r="AC160" s="46">
        <f t="shared" ref="AC160" si="759">+AA160/H160</f>
        <v>3.0991162515272584E-2</v>
      </c>
      <c r="AD160" s="33"/>
      <c r="AE160" s="33">
        <f t="shared" ref="AE160" si="760">+AA160/BW160</f>
        <v>1149.9933774834437</v>
      </c>
      <c r="AF160" s="50"/>
      <c r="AG160" s="33">
        <f t="shared" ref="AG160" si="761">SUM(W154:W160)</f>
        <v>7476</v>
      </c>
      <c r="AH160" s="33">
        <f t="shared" ref="AH160" si="762">SUM(D131:D195)</f>
        <v>52888509.155957401</v>
      </c>
      <c r="AI160" s="231">
        <f t="shared" ref="AI160" si="763">+(AG160-AG153)/AG153</f>
        <v>3.1172413793103447E-2</v>
      </c>
      <c r="AJ160" s="50"/>
      <c r="AK160" s="10"/>
      <c r="AL160" s="23">
        <f t="shared" ref="AL160" si="764">+AP160-AP159</f>
        <v>50863</v>
      </c>
      <c r="AM160" s="24"/>
      <c r="AN160" s="24"/>
      <c r="AO160" s="24">
        <v>178263</v>
      </c>
      <c r="AP160" s="24">
        <v>2973587</v>
      </c>
      <c r="AQ160" s="24"/>
      <c r="AR160" s="504">
        <f t="shared" ref="AR160" si="765">+AL160/AP159</f>
        <v>1.7402601135105469E-2</v>
      </c>
      <c r="AS160" s="25"/>
      <c r="AT160" s="25"/>
      <c r="AU160" s="24"/>
      <c r="AV160" s="341">
        <f t="shared" ref="AV160" si="766">+AP160/H160</f>
        <v>0.53069650830296666</v>
      </c>
      <c r="AW160" s="341"/>
      <c r="AX160" s="24">
        <f t="shared" ref="AX160" si="767">+AP160/BW160</f>
        <v>19692.629139072847</v>
      </c>
      <c r="AY160" s="351"/>
      <c r="AZ160" s="10"/>
      <c r="BA160" s="66">
        <f t="shared" ref="BA160" si="768">+BC160-BC159</f>
        <v>727151</v>
      </c>
      <c r="BB160" s="67"/>
      <c r="BC160" s="67">
        <v>71687781</v>
      </c>
      <c r="BD160" s="67"/>
      <c r="BE160" s="67">
        <f t="shared" ref="BE160" si="769">+D160</f>
        <v>40612</v>
      </c>
      <c r="BF160" s="67"/>
      <c r="BG160" s="156">
        <f t="shared" ref="BG160" si="770">+BE160/BA160</f>
        <v>5.5850848035689973E-2</v>
      </c>
      <c r="BH160" s="67"/>
      <c r="BI160" s="183"/>
      <c r="BJ160" s="67"/>
      <c r="BK160" s="67">
        <f t="shared" ref="BK160" si="771">SUM(BA154:BA160)</f>
        <v>5509166</v>
      </c>
      <c r="BL160" s="67"/>
      <c r="BM160" s="156">
        <f t="shared" ref="BM160" si="772">+Q160/BK160</f>
        <v>6.4584367216380847E-2</v>
      </c>
      <c r="BN160" s="66">
        <f t="shared" ref="BN160" si="773">+BC160/BW160</f>
        <v>474753.51655629138</v>
      </c>
      <c r="BO160" s="67"/>
      <c r="BP160" s="67">
        <f t="shared" ref="BP160" si="774">+BP159+BE160</f>
        <v>5320639</v>
      </c>
      <c r="BQ160" s="67"/>
      <c r="BR160" s="478">
        <f t="shared" ref="BR160" si="775">+BP160/BC160</f>
        <v>7.4219607941275231E-2</v>
      </c>
      <c r="BS160" s="67"/>
      <c r="BT160" s="86"/>
      <c r="BU160" s="183"/>
      <c r="BV160" s="1"/>
      <c r="BW160" s="61">
        <f t="shared" si="53"/>
        <v>151</v>
      </c>
    </row>
    <row r="161" spans="2:85" x14ac:dyDescent="0.3">
      <c r="B161" s="171">
        <f t="shared" si="52"/>
        <v>44061</v>
      </c>
      <c r="C161" s="61"/>
      <c r="D161" s="17">
        <v>43999</v>
      </c>
      <c r="E161" s="16"/>
      <c r="F161" s="16"/>
      <c r="G161" s="16"/>
      <c r="H161" s="16">
        <f t="shared" ref="H161" si="776">+H160+D161</f>
        <v>5647177</v>
      </c>
      <c r="I161" s="16"/>
      <c r="J161" s="479">
        <f t="shared" ref="J161" si="777">+D161/H160</f>
        <v>7.8525079874314178E-3</v>
      </c>
      <c r="K161" s="16"/>
      <c r="L161" s="16"/>
      <c r="M161" s="16"/>
      <c r="N161" s="16">
        <f>SUM(D155:D161)</f>
        <v>345286</v>
      </c>
      <c r="O161" s="16">
        <f t="shared" ref="O161" si="778">+H161/BW161</f>
        <v>37152.480263157893</v>
      </c>
      <c r="P161" s="41"/>
      <c r="Q161" s="17">
        <f t="shared" ref="Q161" si="779">SUM(D155:D161)</f>
        <v>345286</v>
      </c>
      <c r="R161" s="16"/>
      <c r="S161" s="60">
        <f t="shared" ref="S161" si="780">+(Q161-Q154)/Q154</f>
        <v>-9.9577282245593535E-2</v>
      </c>
      <c r="T161" s="16"/>
      <c r="U161" s="41"/>
      <c r="V161" s="10">
        <f t="shared" si="340"/>
        <v>53</v>
      </c>
      <c r="W161" s="34">
        <v>1358</v>
      </c>
      <c r="X161" s="33"/>
      <c r="Y161" s="33"/>
      <c r="Z161" s="33"/>
      <c r="AA161" s="33">
        <f t="shared" ref="AA161" si="781">+AA160+W161</f>
        <v>175007</v>
      </c>
      <c r="AB161" s="33"/>
      <c r="AC161" s="46">
        <f t="shared" ref="AC161" si="782">+AA161/H161</f>
        <v>3.0990174382704846E-2</v>
      </c>
      <c r="AD161" s="33"/>
      <c r="AE161" s="33">
        <f t="shared" ref="AE161" si="783">+AA161/BW161</f>
        <v>1151.3618421052631</v>
      </c>
      <c r="AF161" s="50"/>
      <c r="AG161" s="33">
        <f t="shared" ref="AG161" si="784">SUM(W155:W161)</f>
        <v>7330</v>
      </c>
      <c r="AH161" s="33">
        <f t="shared" ref="AH161" si="785">SUM(D132:D196)</f>
        <v>383823230.1559574</v>
      </c>
      <c r="AI161" s="231">
        <f t="shared" ref="AI161" si="786">+(AG161-AG154)/AG154</f>
        <v>-8.7897227856659904E-3</v>
      </c>
      <c r="AJ161" s="50"/>
      <c r="AK161" s="10"/>
      <c r="AL161" s="23">
        <f t="shared" ref="AL161" si="787">+AP161-AP160</f>
        <v>37511</v>
      </c>
      <c r="AM161" s="24"/>
      <c r="AN161" s="24"/>
      <c r="AO161" s="24">
        <v>178263</v>
      </c>
      <c r="AP161" s="24">
        <v>3011098</v>
      </c>
      <c r="AQ161" s="24"/>
      <c r="AR161" s="504">
        <f t="shared" ref="AR161" si="788">+AL161/AP160</f>
        <v>1.261473096297502E-2</v>
      </c>
      <c r="AS161" s="25"/>
      <c r="AT161" s="25"/>
      <c r="AU161" s="24"/>
      <c r="AV161" s="341">
        <f t="shared" ref="AV161" si="789">+AP161/H161</f>
        <v>0.53320411242643895</v>
      </c>
      <c r="AW161" s="341"/>
      <c r="AX161" s="24">
        <f t="shared" ref="AX161" si="790">+AP161/BW161</f>
        <v>19809.855263157893</v>
      </c>
      <c r="AY161" s="351"/>
      <c r="AZ161" s="10"/>
      <c r="BA161" s="66">
        <f t="shared" ref="BA161" si="791">+BC161-BC160</f>
        <v>679870</v>
      </c>
      <c r="BB161" s="67"/>
      <c r="BC161" s="67">
        <v>72367651</v>
      </c>
      <c r="BD161" s="67"/>
      <c r="BE161" s="67">
        <f t="shared" ref="BE161" si="792">+D161</f>
        <v>43999</v>
      </c>
      <c r="BF161" s="67"/>
      <c r="BG161" s="156">
        <f t="shared" ref="BG161" si="793">+BE161/BA161</f>
        <v>6.4716784091076229E-2</v>
      </c>
      <c r="BH161" s="67"/>
      <c r="BI161" s="183"/>
      <c r="BJ161" s="67"/>
      <c r="BK161" s="67">
        <f t="shared" ref="BK161" si="794">SUM(BA155:BA161)</f>
        <v>5425294</v>
      </c>
      <c r="BL161" s="67"/>
      <c r="BM161" s="156">
        <f t="shared" ref="BM161" si="795">+Q161/BK161</f>
        <v>6.3643739859996523E-2</v>
      </c>
      <c r="BN161" s="66">
        <f t="shared" ref="BN161" si="796">+BC161/BW161</f>
        <v>476102.96710526315</v>
      </c>
      <c r="BO161" s="67"/>
      <c r="BP161" s="67">
        <f t="shared" ref="BP161" si="797">+BP160+BE161</f>
        <v>5364638</v>
      </c>
      <c r="BQ161" s="67"/>
      <c r="BR161" s="478">
        <f t="shared" ref="BR161" si="798">+BP161/BC161</f>
        <v>7.4130332073373509E-2</v>
      </c>
      <c r="BS161" s="67"/>
      <c r="BT161" s="86"/>
      <c r="BU161" s="183"/>
      <c r="BV161" s="1"/>
      <c r="BW161" s="61">
        <f t="shared" si="53"/>
        <v>152</v>
      </c>
    </row>
    <row r="162" spans="2:85" x14ac:dyDescent="0.3">
      <c r="B162" s="171">
        <f t="shared" si="52"/>
        <v>44062</v>
      </c>
      <c r="C162" s="61"/>
      <c r="D162" s="17"/>
      <c r="E162" s="16"/>
      <c r="F162" s="16"/>
      <c r="G162" s="16"/>
      <c r="H162" s="16"/>
      <c r="I162" s="16"/>
      <c r="J162" s="479"/>
      <c r="K162" s="16"/>
      <c r="L162" s="16"/>
      <c r="M162" s="16"/>
      <c r="N162" s="16"/>
      <c r="O162" s="16"/>
      <c r="P162" s="41"/>
      <c r="Q162" s="17"/>
      <c r="R162" s="16"/>
      <c r="S162" s="60"/>
      <c r="T162" s="16"/>
      <c r="U162" s="41"/>
      <c r="V162" s="10"/>
      <c r="W162" s="34"/>
      <c r="X162" s="33"/>
      <c r="Y162" s="33"/>
      <c r="Z162" s="33"/>
      <c r="AA162" s="33"/>
      <c r="AB162" s="33"/>
      <c r="AC162" s="46"/>
      <c r="AD162" s="33"/>
      <c r="AE162" s="33"/>
      <c r="AF162" s="50"/>
      <c r="AG162" s="33"/>
      <c r="AH162" s="33"/>
      <c r="AI162" s="231"/>
      <c r="AJ162" s="50"/>
      <c r="AK162" s="10"/>
      <c r="AL162" s="23"/>
      <c r="AM162" s="24"/>
      <c r="AN162" s="24"/>
      <c r="AO162" s="24"/>
      <c r="AP162" s="24"/>
      <c r="AQ162" s="24"/>
      <c r="AR162" s="504"/>
      <c r="AS162" s="25"/>
      <c r="AT162" s="25"/>
      <c r="AU162" s="24"/>
      <c r="AV162" s="341"/>
      <c r="AW162" s="341"/>
      <c r="AX162" s="24"/>
      <c r="AY162" s="351"/>
      <c r="AZ162" s="10"/>
      <c r="BA162" s="66"/>
      <c r="BB162" s="67"/>
      <c r="BC162" s="67"/>
      <c r="BD162" s="67"/>
      <c r="BE162" s="67"/>
      <c r="BF162" s="67"/>
      <c r="BG162" s="156"/>
      <c r="BH162" s="67"/>
      <c r="BI162" s="183"/>
      <c r="BJ162" s="67"/>
      <c r="BK162" s="67"/>
      <c r="BL162" s="67"/>
      <c r="BM162" s="156"/>
      <c r="BN162" s="66"/>
      <c r="BO162" s="67"/>
      <c r="BP162" s="67"/>
      <c r="BQ162" s="67"/>
      <c r="BR162" s="478"/>
      <c r="BS162" s="67"/>
      <c r="BT162" s="86"/>
      <c r="BU162" s="183"/>
      <c r="BV162" s="1"/>
      <c r="BW162" s="61">
        <f t="shared" si="53"/>
        <v>153</v>
      </c>
    </row>
    <row r="163" spans="2:85" x14ac:dyDescent="0.3">
      <c r="B163" s="171">
        <f t="shared" si="52"/>
        <v>44063</v>
      </c>
      <c r="C163" s="61"/>
      <c r="D163" s="14"/>
      <c r="E163" s="16"/>
      <c r="F163" s="16"/>
      <c r="G163" s="16"/>
      <c r="H163" s="542"/>
      <c r="I163" s="16"/>
      <c r="J163" s="479"/>
      <c r="K163" s="16"/>
      <c r="L163" s="16"/>
      <c r="M163" s="16"/>
      <c r="N163" s="16"/>
      <c r="O163" s="16"/>
      <c r="P163" s="41"/>
      <c r="Q163" s="17"/>
      <c r="R163" s="16"/>
      <c r="S163" s="60"/>
      <c r="T163" s="16"/>
      <c r="U163" s="41"/>
      <c r="V163" s="10"/>
      <c r="W163" s="34"/>
      <c r="X163" s="33"/>
      <c r="Y163" s="33"/>
      <c r="Z163" s="33"/>
      <c r="AA163" s="33"/>
      <c r="AB163" s="33"/>
      <c r="AC163" s="46"/>
      <c r="AD163" s="33"/>
      <c r="AE163" s="33"/>
      <c r="AF163" s="50"/>
      <c r="AG163" s="33"/>
      <c r="AH163" s="33"/>
      <c r="AI163" s="231"/>
      <c r="AJ163" s="50"/>
      <c r="AK163" s="10"/>
      <c r="AL163" s="23"/>
      <c r="AM163" s="24"/>
      <c r="AN163" s="24"/>
      <c r="AO163" s="24"/>
      <c r="AP163" s="24"/>
      <c r="AQ163" s="24"/>
      <c r="AR163" s="504"/>
      <c r="AS163" s="25"/>
      <c r="AT163" s="25"/>
      <c r="AU163" s="24"/>
      <c r="AV163" s="341"/>
      <c r="AW163" s="341"/>
      <c r="AX163" s="24"/>
      <c r="AY163" s="351"/>
      <c r="AZ163" s="10"/>
      <c r="BA163" s="66"/>
      <c r="BB163" s="67"/>
      <c r="BC163" s="67"/>
      <c r="BD163" s="67"/>
      <c r="BE163" s="67"/>
      <c r="BF163" s="67"/>
      <c r="BG163" s="156"/>
      <c r="BH163" s="67"/>
      <c r="BI163" s="183"/>
      <c r="BJ163" s="67"/>
      <c r="BK163" s="67"/>
      <c r="BL163" s="67"/>
      <c r="BM163" s="156"/>
      <c r="BN163" s="66"/>
      <c r="BO163" s="67"/>
      <c r="BP163" s="67"/>
      <c r="BQ163" s="67"/>
      <c r="BR163" s="478"/>
      <c r="BS163" s="67"/>
      <c r="BT163" s="86"/>
      <c r="BU163" s="183"/>
      <c r="BV163" s="1"/>
      <c r="BW163" s="61">
        <f t="shared" si="53"/>
        <v>154</v>
      </c>
    </row>
    <row r="164" spans="2:85" x14ac:dyDescent="0.3">
      <c r="B164" s="171">
        <f t="shared" si="52"/>
        <v>44064</v>
      </c>
      <c r="C164" s="61"/>
      <c r="D164" s="17"/>
      <c r="E164" s="16"/>
      <c r="F164" s="16"/>
      <c r="G164" s="16"/>
      <c r="H164" s="550"/>
      <c r="I164" s="16"/>
      <c r="J164" s="38"/>
      <c r="K164" s="16"/>
      <c r="L164" s="16"/>
      <c r="M164" s="16"/>
      <c r="N164" s="16"/>
      <c r="O164" s="16"/>
      <c r="P164" s="41"/>
      <c r="Q164" s="453"/>
      <c r="R164" s="16"/>
      <c r="S164" s="60"/>
      <c r="T164" s="16"/>
      <c r="U164" s="41"/>
      <c r="V164" s="10"/>
      <c r="W164" s="34"/>
      <c r="X164" s="33"/>
      <c r="Y164" s="33"/>
      <c r="Z164" s="33"/>
      <c r="AA164" s="541"/>
      <c r="AB164" s="33"/>
      <c r="AC164" s="46"/>
      <c r="AD164" s="33"/>
      <c r="AE164" s="33"/>
      <c r="AF164" s="50"/>
      <c r="AG164" s="541"/>
      <c r="AH164" s="33"/>
      <c r="AI164" s="231"/>
      <c r="AJ164" s="50"/>
      <c r="AK164" s="10"/>
      <c r="AL164" s="23"/>
      <c r="AM164" s="24"/>
      <c r="AN164" s="24"/>
      <c r="AO164" s="24"/>
      <c r="AP164" s="24"/>
      <c r="AQ164" s="24"/>
      <c r="AR164" s="25"/>
      <c r="AS164" s="25"/>
      <c r="AT164" s="25"/>
      <c r="AU164" s="24"/>
      <c r="AV164" s="341"/>
      <c r="AW164" s="341"/>
      <c r="AX164" s="24"/>
      <c r="AY164" s="351"/>
      <c r="AZ164" s="10"/>
      <c r="BA164" s="66"/>
      <c r="BB164" s="67"/>
      <c r="BC164" s="67"/>
      <c r="BD164" s="67"/>
      <c r="BE164" s="67"/>
      <c r="BF164" s="67"/>
      <c r="BG164" s="156"/>
      <c r="BH164" s="67"/>
      <c r="BI164" s="183"/>
      <c r="BJ164" s="67"/>
      <c r="BK164" s="67"/>
      <c r="BL164" s="67"/>
      <c r="BM164" s="156"/>
      <c r="BN164" s="66"/>
      <c r="BO164" s="67"/>
      <c r="BP164" s="67"/>
      <c r="BQ164" s="67"/>
      <c r="BR164" s="478"/>
      <c r="BS164" s="67"/>
      <c r="BT164" s="86"/>
      <c r="BU164" s="183"/>
      <c r="BV164" s="1"/>
      <c r="BW164" s="61">
        <f t="shared" si="53"/>
        <v>155</v>
      </c>
    </row>
    <row r="165" spans="2:85" x14ac:dyDescent="0.3">
      <c r="B165" s="171">
        <f t="shared" si="52"/>
        <v>44065</v>
      </c>
      <c r="D165" s="18"/>
      <c r="E165" s="19"/>
      <c r="F165" s="19"/>
      <c r="G165" s="19"/>
      <c r="H165" s="19"/>
      <c r="I165" s="19"/>
      <c r="J165" s="39"/>
      <c r="K165" s="19"/>
      <c r="L165" s="19"/>
      <c r="M165" s="19"/>
      <c r="N165" s="19"/>
      <c r="O165" s="19"/>
      <c r="P165" s="43"/>
      <c r="Q165" s="18"/>
      <c r="R165" s="19"/>
      <c r="S165" s="19"/>
      <c r="T165" s="19"/>
      <c r="U165" s="43"/>
      <c r="V165" s="1"/>
      <c r="W165" s="35"/>
      <c r="X165" s="36"/>
      <c r="Y165" s="36"/>
      <c r="Z165" s="36"/>
      <c r="AA165" s="36"/>
      <c r="AB165" s="36"/>
      <c r="AC165" s="47"/>
      <c r="AD165" s="36"/>
      <c r="AE165" s="36"/>
      <c r="AF165" s="51"/>
      <c r="AG165" s="36"/>
      <c r="AH165" s="36"/>
      <c r="AI165" s="36"/>
      <c r="AJ165" s="51"/>
      <c r="AK165" s="1"/>
      <c r="AL165" s="26"/>
      <c r="AM165" s="27"/>
      <c r="AN165" s="27"/>
      <c r="AO165" s="27"/>
      <c r="AP165" s="27"/>
      <c r="AQ165" s="27"/>
      <c r="AR165" s="27"/>
      <c r="AS165" s="27"/>
      <c r="AT165" s="27"/>
      <c r="AU165" s="27"/>
      <c r="AV165" s="343"/>
      <c r="AW165" s="343"/>
      <c r="AX165" s="27"/>
      <c r="AY165" s="350"/>
      <c r="AZ165" s="1"/>
      <c r="BA165" s="68"/>
      <c r="BB165" s="69"/>
      <c r="BC165" s="69"/>
      <c r="BD165" s="69"/>
      <c r="BE165" s="69"/>
      <c r="BF165" s="69"/>
      <c r="BG165" s="69"/>
      <c r="BH165" s="69"/>
      <c r="BI165" s="184"/>
      <c r="BJ165" s="69"/>
      <c r="BK165" s="69"/>
      <c r="BL165" s="69"/>
      <c r="BM165" s="69"/>
      <c r="BN165" s="68"/>
      <c r="BO165" s="69"/>
      <c r="BP165" s="69"/>
      <c r="BQ165" s="69"/>
      <c r="BR165" s="71"/>
      <c r="BS165" s="69"/>
      <c r="BT165" s="69"/>
      <c r="BU165" s="184"/>
      <c r="BV165" s="1"/>
      <c r="BW165" s="61">
        <f t="shared" si="53"/>
        <v>156</v>
      </c>
    </row>
    <row r="166" spans="2:85" x14ac:dyDescent="0.3">
      <c r="B166" s="56"/>
      <c r="D166" s="1"/>
      <c r="E166" s="1"/>
      <c r="F166" s="1"/>
      <c r="G166" s="1"/>
      <c r="H166" s="59"/>
      <c r="I166" s="1"/>
      <c r="J166" s="59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59"/>
      <c r="X166" s="1"/>
      <c r="Y166" s="1"/>
      <c r="Z166" s="1"/>
      <c r="AA166" s="1"/>
      <c r="AB166" s="1"/>
      <c r="AC166" s="59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59"/>
      <c r="BD166" s="1"/>
      <c r="BE166" s="59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</row>
    <row r="167" spans="2:85" x14ac:dyDescent="0.3">
      <c r="B167" s="179" t="s">
        <v>82</v>
      </c>
      <c r="D167" s="56">
        <f>+D161</f>
        <v>43999</v>
      </c>
      <c r="E167" s="56">
        <f t="shared" ref="E167:G167" si="799">+E137</f>
        <v>0</v>
      </c>
      <c r="F167" s="56">
        <f t="shared" si="799"/>
        <v>0</v>
      </c>
      <c r="G167" s="56">
        <f t="shared" si="799"/>
        <v>0</v>
      </c>
      <c r="H167" s="56">
        <f t="shared" ref="H167:BP167" si="800">+H161</f>
        <v>5647177</v>
      </c>
      <c r="I167" s="56">
        <f t="shared" si="800"/>
        <v>0</v>
      </c>
      <c r="J167" s="56">
        <f t="shared" si="800"/>
        <v>7.8525079874314178E-3</v>
      </c>
      <c r="K167" s="56">
        <f t="shared" si="800"/>
        <v>0</v>
      </c>
      <c r="L167" s="56">
        <f t="shared" si="800"/>
        <v>0</v>
      </c>
      <c r="M167" s="56">
        <f t="shared" si="800"/>
        <v>0</v>
      </c>
      <c r="N167" s="56">
        <f t="shared" si="800"/>
        <v>345286</v>
      </c>
      <c r="O167" s="56">
        <f t="shared" si="800"/>
        <v>37152.480263157893</v>
      </c>
      <c r="P167" s="56">
        <f t="shared" si="800"/>
        <v>0</v>
      </c>
      <c r="Q167" s="56">
        <f t="shared" si="800"/>
        <v>345286</v>
      </c>
      <c r="R167" s="56">
        <f t="shared" si="800"/>
        <v>0</v>
      </c>
      <c r="S167" s="56">
        <f t="shared" si="800"/>
        <v>-9.9577282245593535E-2</v>
      </c>
      <c r="T167" s="56">
        <f t="shared" si="800"/>
        <v>0</v>
      </c>
      <c r="U167" s="56">
        <f t="shared" si="800"/>
        <v>0</v>
      </c>
      <c r="V167" s="56">
        <f t="shared" si="800"/>
        <v>53</v>
      </c>
      <c r="W167" s="56">
        <f t="shared" si="800"/>
        <v>1358</v>
      </c>
      <c r="X167" s="56">
        <f t="shared" si="800"/>
        <v>0</v>
      </c>
      <c r="Y167" s="56">
        <f t="shared" si="800"/>
        <v>0</v>
      </c>
      <c r="Z167" s="56">
        <f t="shared" si="800"/>
        <v>0</v>
      </c>
      <c r="AA167" s="56">
        <f t="shared" si="800"/>
        <v>175007</v>
      </c>
      <c r="AB167" s="56">
        <f t="shared" si="800"/>
        <v>0</v>
      </c>
      <c r="AC167" s="56">
        <f t="shared" si="800"/>
        <v>3.0990174382704846E-2</v>
      </c>
      <c r="AD167" s="56">
        <f t="shared" si="800"/>
        <v>0</v>
      </c>
      <c r="AE167" s="56">
        <f t="shared" si="800"/>
        <v>1151.3618421052631</v>
      </c>
      <c r="AF167" s="56">
        <f t="shared" si="800"/>
        <v>0</v>
      </c>
      <c r="AG167" s="56">
        <f t="shared" si="800"/>
        <v>7330</v>
      </c>
      <c r="AH167" s="56">
        <f t="shared" si="800"/>
        <v>383823230.1559574</v>
      </c>
      <c r="AI167" s="56">
        <f t="shared" si="800"/>
        <v>-8.7897227856659904E-3</v>
      </c>
      <c r="AJ167" s="56">
        <f t="shared" si="800"/>
        <v>0</v>
      </c>
      <c r="AK167" s="56">
        <f t="shared" si="800"/>
        <v>0</v>
      </c>
      <c r="AL167" s="56">
        <f t="shared" si="800"/>
        <v>37511</v>
      </c>
      <c r="AM167" s="56">
        <f t="shared" si="800"/>
        <v>0</v>
      </c>
      <c r="AN167" s="56">
        <f t="shared" si="800"/>
        <v>0</v>
      </c>
      <c r="AO167" s="56">
        <f t="shared" si="800"/>
        <v>178263</v>
      </c>
      <c r="AP167" s="56">
        <f t="shared" si="800"/>
        <v>3011098</v>
      </c>
      <c r="AQ167" s="56">
        <f t="shared" si="800"/>
        <v>0</v>
      </c>
      <c r="AR167" s="56">
        <f t="shared" si="800"/>
        <v>1.261473096297502E-2</v>
      </c>
      <c r="AS167" s="56">
        <f t="shared" si="800"/>
        <v>0</v>
      </c>
      <c r="AT167" s="56">
        <f t="shared" si="800"/>
        <v>0</v>
      </c>
      <c r="AU167" s="56">
        <f t="shared" si="800"/>
        <v>0</v>
      </c>
      <c r="AV167" s="56">
        <f t="shared" si="800"/>
        <v>0.53320411242643895</v>
      </c>
      <c r="AW167" s="56">
        <f t="shared" si="800"/>
        <v>0</v>
      </c>
      <c r="AX167" s="56">
        <f t="shared" si="800"/>
        <v>19809.855263157893</v>
      </c>
      <c r="AY167" s="56">
        <f t="shared" si="800"/>
        <v>0</v>
      </c>
      <c r="AZ167" s="56">
        <f t="shared" si="800"/>
        <v>0</v>
      </c>
      <c r="BA167" s="56">
        <f t="shared" si="800"/>
        <v>679870</v>
      </c>
      <c r="BB167" s="56">
        <f t="shared" si="800"/>
        <v>0</v>
      </c>
      <c r="BC167" s="56">
        <f t="shared" si="800"/>
        <v>72367651</v>
      </c>
      <c r="BD167" s="56">
        <f t="shared" si="800"/>
        <v>0</v>
      </c>
      <c r="BE167" s="56">
        <f t="shared" si="800"/>
        <v>43999</v>
      </c>
      <c r="BF167" s="56">
        <f t="shared" si="800"/>
        <v>0</v>
      </c>
      <c r="BG167" s="56">
        <f t="shared" si="800"/>
        <v>6.4716784091076229E-2</v>
      </c>
      <c r="BH167" s="56">
        <f t="shared" si="800"/>
        <v>0</v>
      </c>
      <c r="BI167" s="56">
        <f t="shared" si="800"/>
        <v>0</v>
      </c>
      <c r="BJ167" s="56">
        <f t="shared" si="800"/>
        <v>0</v>
      </c>
      <c r="BK167" s="56">
        <f t="shared" si="800"/>
        <v>5425294</v>
      </c>
      <c r="BL167" s="56">
        <f t="shared" si="800"/>
        <v>0</v>
      </c>
      <c r="BM167" s="56">
        <f t="shared" si="800"/>
        <v>6.3643739859996523E-2</v>
      </c>
      <c r="BN167" s="56">
        <f t="shared" si="800"/>
        <v>476102.96710526315</v>
      </c>
      <c r="BO167" s="56">
        <f t="shared" si="800"/>
        <v>0</v>
      </c>
      <c r="BP167" s="56">
        <f t="shared" si="800"/>
        <v>5364638</v>
      </c>
      <c r="BQ167" s="56">
        <f t="shared" ref="BQ167" si="801">+BQ156</f>
        <v>0</v>
      </c>
      <c r="BR167" s="62"/>
      <c r="BS167" s="10"/>
      <c r="BT167" s="10"/>
      <c r="BU167" s="10"/>
      <c r="BV167" s="10"/>
      <c r="BW167" s="160"/>
      <c r="BX167" s="10"/>
      <c r="BY167" s="62"/>
      <c r="BZ167" s="10"/>
      <c r="CA167" s="160"/>
      <c r="CB167" s="61"/>
      <c r="CC167" s="61"/>
      <c r="CD167" s="61"/>
      <c r="CE167" s="61"/>
      <c r="CF167" s="61"/>
      <c r="CG167" s="157"/>
    </row>
    <row r="168" spans="2:85" x14ac:dyDescent="0.3">
      <c r="B168" t="s">
        <v>118</v>
      </c>
      <c r="D168" s="56">
        <f>+D160-D167</f>
        <v>-3387</v>
      </c>
      <c r="E168" s="56">
        <f>+E137-E167</f>
        <v>0</v>
      </c>
      <c r="F168" s="56">
        <f>+F137-F167</f>
        <v>0</v>
      </c>
      <c r="G168" s="56">
        <f>+G137-G167</f>
        <v>0</v>
      </c>
      <c r="H168" s="56">
        <f t="shared" ref="H168:BP168" si="802">+H160-H167</f>
        <v>-43999</v>
      </c>
      <c r="I168" s="56">
        <f t="shared" si="802"/>
        <v>0</v>
      </c>
      <c r="J168" s="56">
        <f t="shared" si="802"/>
        <v>-5.5156090653386055E-4</v>
      </c>
      <c r="K168" s="56">
        <f t="shared" si="802"/>
        <v>0</v>
      </c>
      <c r="L168" s="56">
        <f t="shared" si="802"/>
        <v>0</v>
      </c>
      <c r="M168" s="56">
        <f t="shared" si="802"/>
        <v>0</v>
      </c>
      <c r="N168" s="56">
        <f t="shared" si="802"/>
        <v>10520</v>
      </c>
      <c r="O168" s="56">
        <f t="shared" si="802"/>
        <v>-45.34119031020964</v>
      </c>
      <c r="P168" s="56">
        <f t="shared" si="802"/>
        <v>0</v>
      </c>
      <c r="Q168" s="56">
        <f t="shared" si="802"/>
        <v>10520</v>
      </c>
      <c r="R168" s="56">
        <f t="shared" si="802"/>
        <v>0</v>
      </c>
      <c r="S168" s="56">
        <f t="shared" si="802"/>
        <v>2.7324755623496927E-2</v>
      </c>
      <c r="T168" s="56">
        <f t="shared" si="802"/>
        <v>0</v>
      </c>
      <c r="U168" s="56">
        <f t="shared" si="802"/>
        <v>0</v>
      </c>
      <c r="V168" s="56">
        <f t="shared" si="802"/>
        <v>-1</v>
      </c>
      <c r="W168" s="56">
        <f t="shared" si="802"/>
        <v>-769</v>
      </c>
      <c r="X168" s="56">
        <f t="shared" si="802"/>
        <v>0</v>
      </c>
      <c r="Y168" s="56">
        <f t="shared" si="802"/>
        <v>0</v>
      </c>
      <c r="Z168" s="56">
        <f t="shared" si="802"/>
        <v>0</v>
      </c>
      <c r="AA168" s="56">
        <f t="shared" si="802"/>
        <v>-1358</v>
      </c>
      <c r="AB168" s="56">
        <f t="shared" si="802"/>
        <v>0</v>
      </c>
      <c r="AC168" s="56">
        <f t="shared" si="802"/>
        <v>9.8813256773841451E-7</v>
      </c>
      <c r="AD168" s="56">
        <f t="shared" si="802"/>
        <v>0</v>
      </c>
      <c r="AE168" s="56">
        <f t="shared" si="802"/>
        <v>-1.3684646218193848</v>
      </c>
      <c r="AF168" s="56">
        <f t="shared" si="802"/>
        <v>0</v>
      </c>
      <c r="AG168" s="56">
        <f t="shared" si="802"/>
        <v>146</v>
      </c>
      <c r="AH168" s="56">
        <f t="shared" si="802"/>
        <v>-330934721</v>
      </c>
      <c r="AI168" s="56">
        <f t="shared" si="802"/>
        <v>3.9962136578769437E-2</v>
      </c>
      <c r="AJ168" s="56">
        <f t="shared" si="802"/>
        <v>0</v>
      </c>
      <c r="AK168" s="56">
        <f t="shared" si="802"/>
        <v>0</v>
      </c>
      <c r="AL168" s="56">
        <f t="shared" si="802"/>
        <v>13352</v>
      </c>
      <c r="AM168" s="56">
        <f t="shared" si="802"/>
        <v>0</v>
      </c>
      <c r="AN168" s="56">
        <f t="shared" si="802"/>
        <v>0</v>
      </c>
      <c r="AO168" s="56">
        <f t="shared" si="802"/>
        <v>0</v>
      </c>
      <c r="AP168" s="56">
        <f t="shared" si="802"/>
        <v>-37511</v>
      </c>
      <c r="AQ168" s="56">
        <f t="shared" si="802"/>
        <v>0</v>
      </c>
      <c r="AR168" s="56">
        <f t="shared" si="802"/>
        <v>4.7878701721304484E-3</v>
      </c>
      <c r="AS168" s="56">
        <f t="shared" si="802"/>
        <v>0</v>
      </c>
      <c r="AT168" s="56">
        <f t="shared" si="802"/>
        <v>0</v>
      </c>
      <c r="AU168" s="56">
        <f t="shared" si="802"/>
        <v>0</v>
      </c>
      <c r="AV168" s="56">
        <f t="shared" si="802"/>
        <v>-2.5076041234722846E-3</v>
      </c>
      <c r="AW168" s="56">
        <f t="shared" si="802"/>
        <v>0</v>
      </c>
      <c r="AX168" s="56">
        <f t="shared" si="802"/>
        <v>-117.22612408504574</v>
      </c>
      <c r="AY168" s="56">
        <f t="shared" si="802"/>
        <v>0</v>
      </c>
      <c r="AZ168" s="56">
        <f t="shared" si="802"/>
        <v>0</v>
      </c>
      <c r="BA168" s="56">
        <f t="shared" si="802"/>
        <v>47281</v>
      </c>
      <c r="BB168" s="56">
        <f t="shared" si="802"/>
        <v>0</v>
      </c>
      <c r="BC168" s="56">
        <f t="shared" si="802"/>
        <v>-679870</v>
      </c>
      <c r="BD168" s="56">
        <f t="shared" si="802"/>
        <v>0</v>
      </c>
      <c r="BE168" s="56">
        <f t="shared" si="802"/>
        <v>-3387</v>
      </c>
      <c r="BF168" s="56">
        <f t="shared" si="802"/>
        <v>0</v>
      </c>
      <c r="BG168" s="56">
        <f t="shared" si="802"/>
        <v>-8.865936055386256E-3</v>
      </c>
      <c r="BH168" s="56">
        <f t="shared" si="802"/>
        <v>0</v>
      </c>
      <c r="BI168" s="56">
        <f t="shared" si="802"/>
        <v>0</v>
      </c>
      <c r="BJ168" s="56">
        <f t="shared" si="802"/>
        <v>0</v>
      </c>
      <c r="BK168" s="56">
        <f t="shared" si="802"/>
        <v>83872</v>
      </c>
      <c r="BL168" s="56">
        <f t="shared" si="802"/>
        <v>0</v>
      </c>
      <c r="BM168" s="56">
        <f t="shared" si="802"/>
        <v>9.4062735638432426E-4</v>
      </c>
      <c r="BN168" s="56">
        <f t="shared" si="802"/>
        <v>-1349.4505489717703</v>
      </c>
      <c r="BO168" s="56">
        <f t="shared" si="802"/>
        <v>0</v>
      </c>
      <c r="BP168" s="56">
        <f t="shared" si="802"/>
        <v>-43999</v>
      </c>
      <c r="BQ168" s="56">
        <f t="shared" ref="BQ168" si="803">+BQ155-BQ167</f>
        <v>0</v>
      </c>
      <c r="BR168" s="10"/>
      <c r="BS168" s="10"/>
      <c r="BT168" s="10"/>
      <c r="BU168" s="10"/>
      <c r="BV168" s="10"/>
      <c r="BW168" s="62"/>
      <c r="BX168" s="10"/>
      <c r="BY168" s="10"/>
      <c r="BZ168" s="10"/>
      <c r="CA168" s="62"/>
      <c r="CB168" s="61"/>
      <c r="CC168" s="61"/>
      <c r="CD168" s="61"/>
      <c r="CE168" s="61"/>
      <c r="CF168" s="61"/>
      <c r="CG168" s="117"/>
    </row>
    <row r="169" spans="2:85" x14ac:dyDescent="0.3">
      <c r="B169" s="56"/>
      <c r="D169" s="56"/>
      <c r="H169" s="56"/>
      <c r="O169" s="59"/>
      <c r="AA169" s="56"/>
      <c r="AC169" s="59"/>
      <c r="AE169" s="273"/>
      <c r="BA169" s="59"/>
      <c r="BG169" s="59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  <c r="BV169" s="10"/>
      <c r="BW169" s="10"/>
      <c r="BX169" s="10"/>
      <c r="BY169" s="10"/>
      <c r="BZ169" s="10"/>
      <c r="CA169" s="10"/>
      <c r="CB169" s="61"/>
      <c r="CC169" s="117"/>
      <c r="CD169" s="117"/>
      <c r="CE169" s="117"/>
      <c r="CF169" s="117"/>
    </row>
    <row r="170" spans="2:85" x14ac:dyDescent="0.3">
      <c r="B170" s="56"/>
      <c r="D170" s="56"/>
      <c r="H170" s="1"/>
      <c r="J170" t="s">
        <v>157</v>
      </c>
      <c r="O170" s="59"/>
      <c r="W170" s="56"/>
      <c r="AA170" s="55"/>
      <c r="BA170" s="59"/>
      <c r="BC170" s="56"/>
      <c r="BE170" s="59"/>
      <c r="BJ170" s="61"/>
      <c r="BK170" s="62">
        <f>+BK168/BK82</f>
        <v>2.8695663181779459E-2</v>
      </c>
      <c r="BL170" s="61"/>
      <c r="BM170" s="61"/>
      <c r="BN170" s="61"/>
      <c r="BO170" s="61"/>
      <c r="BP170" s="61"/>
      <c r="BQ170" s="61"/>
      <c r="BR170" s="61"/>
      <c r="BS170" s="10"/>
      <c r="BT170" s="10"/>
    </row>
    <row r="171" spans="2:85" x14ac:dyDescent="0.3">
      <c r="B171" s="56"/>
      <c r="D171" s="56"/>
      <c r="H171" s="56"/>
      <c r="W171" s="56"/>
      <c r="AA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BH171" s="108"/>
      <c r="BI171" s="108"/>
      <c r="BJ171" s="108"/>
      <c r="BK171" s="537">
        <f>+BK54</f>
        <v>1726276</v>
      </c>
      <c r="BL171" s="108"/>
      <c r="BM171" s="108"/>
      <c r="BN171" s="108"/>
      <c r="BO171" s="108"/>
      <c r="BP171" s="108"/>
      <c r="BQ171" s="108"/>
      <c r="BR171" s="90"/>
      <c r="BS171" s="1"/>
      <c r="BT171" s="1"/>
    </row>
    <row r="172" spans="2:85" x14ac:dyDescent="0.3">
      <c r="D172" s="1"/>
      <c r="E172" s="123" t="s">
        <v>28</v>
      </c>
      <c r="F172" s="124"/>
      <c r="H172" s="124" t="s">
        <v>67</v>
      </c>
      <c r="I172" s="116"/>
      <c r="J172" s="116"/>
      <c r="K172" s="61"/>
      <c r="L172" s="10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BH172" s="108"/>
      <c r="BI172" s="108"/>
      <c r="BJ172" s="108"/>
      <c r="BK172" s="538"/>
      <c r="BL172" s="108"/>
      <c r="BM172" s="108"/>
      <c r="BN172" s="108"/>
      <c r="BO172" s="108"/>
      <c r="BP172" s="108"/>
      <c r="BQ172" s="108"/>
      <c r="BR172" s="90"/>
      <c r="BS172" s="1"/>
      <c r="BT172" s="1"/>
    </row>
    <row r="173" spans="2:85" x14ac:dyDescent="0.3">
      <c r="B173" s="56"/>
      <c r="D173" s="1"/>
      <c r="E173" s="123" t="s">
        <v>40</v>
      </c>
      <c r="F173" s="124"/>
      <c r="H173" s="124" t="s">
        <v>42</v>
      </c>
      <c r="I173" s="10"/>
      <c r="J173" s="10"/>
      <c r="K173" s="61"/>
      <c r="L173" s="10"/>
      <c r="AD173" s="1"/>
      <c r="AE173" s="1"/>
      <c r="AF173" s="1"/>
      <c r="AG173" s="1"/>
      <c r="AH173" s="1"/>
      <c r="AI173" s="1"/>
      <c r="AJ173" s="1"/>
      <c r="AK173" s="1"/>
      <c r="AL173" s="1" t="s">
        <v>17</v>
      </c>
      <c r="AM173" s="1"/>
      <c r="AN173" s="1"/>
      <c r="AO173" s="1"/>
      <c r="BH173" s="109"/>
      <c r="BI173" s="109"/>
      <c r="BJ173" s="109"/>
      <c r="BK173" s="537">
        <f>+BK167-BK171</f>
        <v>3699018</v>
      </c>
      <c r="BL173" s="109"/>
      <c r="BM173" s="109"/>
      <c r="BN173" s="109"/>
      <c r="BO173" s="109"/>
      <c r="BP173" s="109"/>
      <c r="BQ173" s="109"/>
      <c r="BR173" s="90"/>
      <c r="BS173" s="1"/>
      <c r="BT173" s="1"/>
    </row>
    <row r="174" spans="2:85" x14ac:dyDescent="0.3">
      <c r="B174" s="273"/>
      <c r="D174" s="1"/>
      <c r="E174" s="123" t="s">
        <v>47</v>
      </c>
      <c r="F174" s="124"/>
      <c r="H174" s="124" t="s">
        <v>57</v>
      </c>
      <c r="I174" s="10"/>
      <c r="J174" s="10"/>
      <c r="K174" s="61"/>
      <c r="L174" s="10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BH174" s="109"/>
      <c r="BI174" s="109"/>
      <c r="BJ174" s="109"/>
      <c r="BK174" s="537"/>
      <c r="BL174" s="109"/>
      <c r="BM174" s="109"/>
      <c r="BN174" s="109"/>
      <c r="BO174" s="109"/>
      <c r="BP174" s="109"/>
      <c r="BQ174" s="109"/>
      <c r="BR174" s="90"/>
      <c r="BS174" s="1"/>
      <c r="BT174" s="1"/>
    </row>
    <row r="175" spans="2:85" x14ac:dyDescent="0.3">
      <c r="D175" s="1"/>
      <c r="E175" s="123" t="s">
        <v>68</v>
      </c>
      <c r="F175" s="61"/>
      <c r="H175" s="93" t="s">
        <v>149</v>
      </c>
      <c r="I175" s="61"/>
      <c r="J175" s="61"/>
      <c r="K175" s="61"/>
      <c r="L175" s="6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BH175" s="109"/>
      <c r="BI175" s="109"/>
      <c r="BJ175" s="109"/>
      <c r="BK175" s="540">
        <f>+BK173/BK171</f>
        <v>2.1427732297732227</v>
      </c>
      <c r="BL175" s="109"/>
      <c r="BM175" s="109"/>
      <c r="BN175" s="109"/>
      <c r="BO175" s="109"/>
      <c r="BP175" s="109"/>
      <c r="BQ175" s="109"/>
      <c r="BR175" s="90"/>
      <c r="BS175" s="1"/>
      <c r="BT175" s="1"/>
    </row>
    <row r="176" spans="2:85" x14ac:dyDescent="0.3">
      <c r="E176" s="123" t="s">
        <v>150</v>
      </c>
      <c r="H176" s="93" t="s">
        <v>151</v>
      </c>
      <c r="AD176" s="1"/>
      <c r="AE176" s="1"/>
      <c r="AF176" s="1"/>
      <c r="AG176" s="1"/>
      <c r="AH176" s="1"/>
      <c r="AI176" s="1"/>
      <c r="BD176" s="90"/>
      <c r="BE176" s="90"/>
      <c r="BF176" s="90"/>
      <c r="BG176" s="90"/>
      <c r="BH176" s="90"/>
      <c r="BI176" s="90"/>
      <c r="BJ176" s="90"/>
      <c r="BK176" s="538">
        <f>+BM54</f>
        <v>0.11641359782560842</v>
      </c>
      <c r="BL176" s="90"/>
      <c r="BM176" s="90"/>
      <c r="BN176" s="90"/>
      <c r="BO176" s="90"/>
      <c r="BP176" s="90"/>
      <c r="BQ176" s="90"/>
      <c r="BR176" s="90"/>
      <c r="BS176" s="1"/>
      <c r="BT176" s="1"/>
    </row>
    <row r="177" spans="2:87" x14ac:dyDescent="0.3">
      <c r="AD177" s="1"/>
      <c r="AE177" s="1"/>
      <c r="AF177" s="1"/>
      <c r="AG177" s="1"/>
      <c r="AH177" s="1"/>
      <c r="AI177" s="1"/>
      <c r="BK177" s="539"/>
    </row>
    <row r="178" spans="2:87" ht="15" thickBot="1" x14ac:dyDescent="0.35">
      <c r="D178" s="56"/>
      <c r="AD178" s="1"/>
      <c r="AE178" s="1"/>
      <c r="AF178" s="1"/>
      <c r="AG178" s="1"/>
      <c r="AH178" s="1"/>
      <c r="AI178" s="528"/>
      <c r="AJ178" s="529"/>
      <c r="AK178" s="529"/>
      <c r="AL178" s="529"/>
      <c r="AM178" s="529"/>
      <c r="AN178" s="529"/>
      <c r="AO178" s="529"/>
      <c r="AP178" s="529"/>
      <c r="AQ178" s="529"/>
      <c r="AR178" s="529"/>
      <c r="AS178" s="529"/>
      <c r="AT178" s="529"/>
      <c r="AU178" s="529"/>
      <c r="AV178" s="529"/>
      <c r="AW178" s="529"/>
      <c r="AX178" s="529"/>
      <c r="AZ178" s="118"/>
      <c r="BA178" s="118"/>
      <c r="BB178" s="118"/>
      <c r="BC178" s="118"/>
      <c r="BK178" s="1">
        <f>+BK173*BK176</f>
        <v>430615.99380168639</v>
      </c>
    </row>
    <row r="179" spans="2:87" x14ac:dyDescent="0.3">
      <c r="D179" s="1">
        <v>4900</v>
      </c>
      <c r="J179" s="530">
        <f>+BR125</f>
        <v>7.4075240343216359E-2</v>
      </c>
      <c r="V179" s="118"/>
      <c r="AA179" s="56"/>
      <c r="AD179" s="1"/>
      <c r="AE179" s="1"/>
      <c r="AF179" s="1"/>
      <c r="AG179" s="1"/>
      <c r="AH179" s="1"/>
      <c r="AI179" s="528"/>
      <c r="AJ179" s="507"/>
      <c r="AK179" s="508"/>
      <c r="AL179" s="508"/>
      <c r="AM179" s="508"/>
      <c r="AN179" s="508"/>
      <c r="AO179" s="508"/>
      <c r="AP179" s="508"/>
      <c r="AQ179" s="508"/>
      <c r="AR179" s="508"/>
      <c r="AS179" s="508"/>
      <c r="AT179" s="508"/>
      <c r="AU179" s="508"/>
      <c r="AV179" s="508"/>
      <c r="AW179" s="509"/>
      <c r="AX179" s="529"/>
      <c r="AZ179" s="118"/>
      <c r="BA179" s="118"/>
      <c r="BB179" s="118"/>
      <c r="BC179" s="118"/>
    </row>
    <row r="180" spans="2:87" x14ac:dyDescent="0.3">
      <c r="D180" s="1">
        <v>1000000</v>
      </c>
      <c r="J180" s="232">
        <f>+AC125</f>
        <v>3.9829594295487485E-2</v>
      </c>
      <c r="AD180" s="1"/>
      <c r="AE180" s="1"/>
      <c r="AF180" s="1"/>
      <c r="AG180" s="1"/>
      <c r="AH180" s="1"/>
      <c r="AI180" s="528"/>
      <c r="AJ180" s="510"/>
      <c r="AK180" s="600" t="s">
        <v>156</v>
      </c>
      <c r="AL180" s="600"/>
      <c r="AM180" s="600"/>
      <c r="AN180" s="600"/>
      <c r="AO180" s="600"/>
      <c r="AP180" s="600"/>
      <c r="AQ180" s="600"/>
      <c r="AR180" s="600"/>
      <c r="AS180" s="600"/>
      <c r="AT180" s="600"/>
      <c r="AU180" s="600"/>
      <c r="AV180" s="600"/>
      <c r="AW180" s="511"/>
      <c r="AX180" s="529"/>
      <c r="AZ180" s="118"/>
      <c r="BA180" s="118"/>
      <c r="BB180" s="118"/>
      <c r="BC180" s="118"/>
    </row>
    <row r="181" spans="2:87" ht="15.6" x14ac:dyDescent="0.3">
      <c r="J181" s="57">
        <f>+J179*J180</f>
        <v>2.9503867702110349E-3</v>
      </c>
      <c r="AD181" s="1"/>
      <c r="AE181" s="1"/>
      <c r="AF181" s="1"/>
      <c r="AG181" s="1"/>
      <c r="AH181" s="1"/>
      <c r="AI181" s="528"/>
      <c r="AJ181" s="510"/>
      <c r="AK181" s="600" t="s">
        <v>155</v>
      </c>
      <c r="AL181" s="600"/>
      <c r="AM181" s="600"/>
      <c r="AN181" s="600"/>
      <c r="AO181" s="516"/>
      <c r="AP181" s="517" t="s">
        <v>20</v>
      </c>
      <c r="AQ181" s="516"/>
      <c r="AR181" s="517" t="s">
        <v>4</v>
      </c>
      <c r="AS181" s="518"/>
      <c r="AT181" s="518"/>
      <c r="AU181" s="518"/>
      <c r="AV181" s="522" t="s">
        <v>10</v>
      </c>
      <c r="AW181" s="511"/>
      <c r="AX181" s="529"/>
      <c r="AZ181" s="118"/>
      <c r="BA181" s="118"/>
      <c r="BB181" s="118"/>
      <c r="BC181" s="118"/>
    </row>
    <row r="182" spans="2:87" ht="15.6" x14ac:dyDescent="0.3">
      <c r="AD182" s="1"/>
      <c r="AE182" s="1"/>
      <c r="AF182" s="1"/>
      <c r="AG182" s="1"/>
      <c r="AH182" s="1"/>
      <c r="AI182" s="528"/>
      <c r="AJ182" s="510"/>
      <c r="AK182" s="598" t="s">
        <v>152</v>
      </c>
      <c r="AL182" s="598"/>
      <c r="AM182" s="598"/>
      <c r="AN182" s="598"/>
      <c r="AO182" s="516"/>
      <c r="AP182" s="519">
        <f>+AH50</f>
        <v>898992</v>
      </c>
      <c r="AQ182" s="520"/>
      <c r="AR182" s="519">
        <f>+AH51</f>
        <v>55687</v>
      </c>
      <c r="AS182" s="521"/>
      <c r="AT182" s="521"/>
      <c r="AU182" s="521"/>
      <c r="AV182" s="535">
        <f>+AR182/AP182</f>
        <v>6.194382152455194E-2</v>
      </c>
      <c r="AW182" s="511"/>
      <c r="AX182" s="529"/>
      <c r="AZ182" s="118"/>
      <c r="BA182" s="118"/>
      <c r="BB182" s="118"/>
      <c r="BC182" s="118"/>
    </row>
    <row r="183" spans="2:87" ht="15.6" x14ac:dyDescent="0.3">
      <c r="D183" s="277">
        <f>+D179/D180</f>
        <v>4.8999999999999998E-3</v>
      </c>
      <c r="AD183" s="1"/>
      <c r="AE183" s="1"/>
      <c r="AF183" s="1"/>
      <c r="AG183" s="1"/>
      <c r="AH183" s="1"/>
      <c r="AI183" s="528"/>
      <c r="AJ183" s="510"/>
      <c r="AK183" s="601" t="s">
        <v>153</v>
      </c>
      <c r="AL183" s="599"/>
      <c r="AM183" s="599"/>
      <c r="AN183" s="599"/>
      <c r="AO183" s="65"/>
      <c r="AP183" s="512">
        <f>+AG83</f>
        <v>742147</v>
      </c>
      <c r="AQ183" s="65"/>
      <c r="AR183" s="512">
        <f>+AG84</f>
        <v>42339</v>
      </c>
      <c r="AS183" s="65"/>
      <c r="AT183" s="65"/>
      <c r="AU183" s="65"/>
      <c r="AV183" s="533">
        <f>+AR183/AP183</f>
        <v>5.7049344671608188E-2</v>
      </c>
      <c r="AW183" s="511"/>
      <c r="AX183" s="529"/>
      <c r="AZ183" s="118"/>
      <c r="BA183" s="118"/>
      <c r="BB183" s="118"/>
      <c r="BC183" s="118"/>
    </row>
    <row r="184" spans="2:87" ht="15.6" x14ac:dyDescent="0.3">
      <c r="AD184" s="1"/>
      <c r="AE184" s="1"/>
      <c r="AF184" s="1"/>
      <c r="AG184" s="1"/>
      <c r="AH184" s="1"/>
      <c r="AI184" s="528"/>
      <c r="AJ184" s="510"/>
      <c r="AK184" s="599" t="s">
        <v>154</v>
      </c>
      <c r="AL184" s="599"/>
      <c r="AM184" s="599"/>
      <c r="AN184" s="599"/>
      <c r="AO184" s="65"/>
      <c r="AP184" s="512">
        <f>+AH113</f>
        <v>869627</v>
      </c>
      <c r="AQ184" s="65"/>
      <c r="AR184" s="512">
        <f>+AH114</f>
        <v>21252</v>
      </c>
      <c r="AS184" s="65"/>
      <c r="AT184" s="65"/>
      <c r="AU184" s="65"/>
      <c r="AV184" s="533">
        <f>+AR184/AP184</f>
        <v>2.4438063675575852E-2</v>
      </c>
      <c r="AW184" s="511"/>
      <c r="AX184" s="529"/>
      <c r="AZ184" s="118"/>
      <c r="BA184" s="118"/>
      <c r="BB184" s="118"/>
      <c r="BC184" s="118"/>
    </row>
    <row r="185" spans="2:87" ht="15.6" x14ac:dyDescent="0.3">
      <c r="D185" s="471">
        <v>32000</v>
      </c>
      <c r="AD185" s="1"/>
      <c r="AE185" s="1"/>
      <c r="AF185" s="1"/>
      <c r="AG185" s="1"/>
      <c r="AH185" s="1"/>
      <c r="AI185" s="528"/>
      <c r="AJ185" s="510"/>
      <c r="AK185" s="599" t="s">
        <v>158</v>
      </c>
      <c r="AL185" s="599"/>
      <c r="AM185" s="599"/>
      <c r="AN185" s="599"/>
      <c r="AO185" s="65"/>
      <c r="AP185" s="512">
        <f>+AG188</f>
        <v>1970617</v>
      </c>
      <c r="AQ185" s="65"/>
      <c r="AR185" s="512">
        <f>+AG190</f>
        <v>25901</v>
      </c>
      <c r="AS185" s="65"/>
      <c r="AT185" s="65"/>
      <c r="AU185" s="65"/>
      <c r="AV185" s="533">
        <f>+AR185/AP185</f>
        <v>1.3143599187462607E-2</v>
      </c>
      <c r="AW185" s="511"/>
      <c r="AX185" s="529"/>
    </row>
    <row r="186" spans="2:87" ht="15" thickBot="1" x14ac:dyDescent="0.35">
      <c r="B186" s="470"/>
      <c r="D186" s="277"/>
      <c r="AD186" s="1"/>
      <c r="AE186" s="1"/>
      <c r="AF186" s="1"/>
      <c r="AG186" s="1"/>
      <c r="AH186" s="1"/>
      <c r="AI186" s="528"/>
      <c r="AJ186" s="510"/>
      <c r="AK186" s="523"/>
      <c r="AL186" s="523"/>
      <c r="AM186" s="523"/>
      <c r="AN186" s="523"/>
      <c r="AO186" s="524"/>
      <c r="AP186" s="525"/>
      <c r="AQ186" s="524"/>
      <c r="AR186" s="525"/>
      <c r="AS186" s="524"/>
      <c r="AT186" s="524"/>
      <c r="AU186" s="524"/>
      <c r="AV186" s="526"/>
      <c r="AW186" s="511"/>
      <c r="AX186" s="529"/>
    </row>
    <row r="187" spans="2:87" ht="15.6" x14ac:dyDescent="0.3">
      <c r="B187" s="470"/>
      <c r="D187" s="277"/>
      <c r="AD187" s="1"/>
      <c r="AE187" s="1"/>
      <c r="AF187" s="1"/>
      <c r="AG187" s="1"/>
      <c r="AH187" s="1"/>
      <c r="AI187" s="528"/>
      <c r="AJ187" s="510"/>
      <c r="AK187" s="598" t="s">
        <v>152</v>
      </c>
      <c r="AL187" s="598"/>
      <c r="AM187" s="598"/>
      <c r="AN187" s="598"/>
      <c r="AO187" s="65"/>
      <c r="AP187" s="512"/>
      <c r="AQ187" s="65"/>
      <c r="AR187" s="512">
        <f>+AR182</f>
        <v>55687</v>
      </c>
      <c r="AS187" s="65"/>
      <c r="AT187" s="65"/>
      <c r="AU187" s="65"/>
      <c r="AV187" s="156"/>
      <c r="AW187" s="511"/>
      <c r="AX187" s="529"/>
    </row>
    <row r="188" spans="2:87" ht="15.6" x14ac:dyDescent="0.3">
      <c r="B188" s="470"/>
      <c r="D188" s="277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  <c r="AA188" s="61"/>
      <c r="AB188" s="61"/>
      <c r="AC188" s="61"/>
      <c r="AD188" s="10"/>
      <c r="AE188" s="10"/>
      <c r="AF188" s="1"/>
      <c r="AG188" s="33">
        <f>SUM(D113:D143)</f>
        <v>1970617</v>
      </c>
      <c r="AH188" s="1"/>
      <c r="AI188" s="528"/>
      <c r="AJ188" s="510"/>
      <c r="AK188" s="599" t="s">
        <v>158</v>
      </c>
      <c r="AL188" s="599"/>
      <c r="AM188" s="599"/>
      <c r="AN188" s="64"/>
      <c r="AO188" s="65"/>
      <c r="AP188" s="512"/>
      <c r="AQ188" s="65"/>
      <c r="AR188" s="512">
        <f>+AR185</f>
        <v>25901</v>
      </c>
      <c r="AS188" s="65"/>
      <c r="AT188" s="65"/>
      <c r="AU188" s="65"/>
      <c r="AV188" s="156"/>
      <c r="AW188" s="511"/>
      <c r="AX188" s="529"/>
    </row>
    <row r="189" spans="2:87" ht="15.6" x14ac:dyDescent="0.3">
      <c r="B189" s="470"/>
      <c r="D189" s="277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  <c r="AA189" s="61"/>
      <c r="AB189" s="61"/>
      <c r="AC189" s="61"/>
      <c r="AD189" s="10"/>
      <c r="AE189" s="10"/>
      <c r="AF189" s="1"/>
      <c r="AG189" s="33">
        <f>SUM(W125:W138)</f>
        <v>12117</v>
      </c>
      <c r="AH189" s="1"/>
      <c r="AI189" s="528"/>
      <c r="AJ189" s="510"/>
      <c r="AK189" s="64"/>
      <c r="AL189" s="543" t="s">
        <v>3</v>
      </c>
      <c r="AM189" s="64"/>
      <c r="AN189" s="64"/>
      <c r="AO189" s="65"/>
      <c r="AP189" s="512"/>
      <c r="AQ189" s="65"/>
      <c r="AR189" s="512">
        <f>+AR187-AR188</f>
        <v>29786</v>
      </c>
      <c r="AS189" s="65"/>
      <c r="AT189" s="65"/>
      <c r="AU189" s="65"/>
      <c r="AV189" s="527">
        <f>+AR189/AR187</f>
        <v>0.53488246808052153</v>
      </c>
      <c r="AW189" s="511"/>
      <c r="AX189" s="529"/>
    </row>
    <row r="190" spans="2:87" ht="15" thickBot="1" x14ac:dyDescent="0.35">
      <c r="D190" s="470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  <c r="AA190" s="61"/>
      <c r="AB190" s="61"/>
      <c r="AC190" s="61"/>
      <c r="AD190" s="10"/>
      <c r="AE190" s="10"/>
      <c r="AF190" s="1"/>
      <c r="AG190" s="33">
        <f>SUM(W113:W143)</f>
        <v>25901</v>
      </c>
      <c r="AH190" s="1"/>
      <c r="AI190" s="528"/>
      <c r="AJ190" s="513"/>
      <c r="AK190" s="514"/>
      <c r="AL190" s="514"/>
      <c r="AM190" s="514"/>
      <c r="AN190" s="514"/>
      <c r="AO190" s="514"/>
      <c r="AP190" s="514"/>
      <c r="AQ190" s="514"/>
      <c r="AR190" s="514"/>
      <c r="AS190" s="514"/>
      <c r="AT190" s="514"/>
      <c r="AU190" s="514"/>
      <c r="AV190" s="514"/>
      <c r="AW190" s="515"/>
      <c r="AX190" s="529"/>
      <c r="BD190" s="90"/>
      <c r="BE190" s="90"/>
      <c r="BF190" s="90"/>
      <c r="BG190" s="90"/>
      <c r="BH190" s="90"/>
      <c r="BI190" s="90"/>
      <c r="BJ190" s="90"/>
      <c r="BK190" s="90"/>
      <c r="BL190" s="90"/>
      <c r="BM190" s="90"/>
      <c r="BN190" s="90"/>
      <c r="BO190" s="90"/>
      <c r="BP190" s="90"/>
      <c r="BQ190" s="90"/>
      <c r="BR190" s="90"/>
      <c r="BS190" s="1"/>
      <c r="BT190" s="1"/>
      <c r="BU190" s="1"/>
      <c r="BV190" s="1"/>
      <c r="BW190" s="90"/>
      <c r="BX190" s="90"/>
      <c r="BY190" s="90"/>
      <c r="BZ190" s="90"/>
      <c r="CA190" s="90"/>
      <c r="CB190" s="90"/>
      <c r="CC190" s="90"/>
      <c r="CD190" s="90"/>
      <c r="CE190" s="90"/>
      <c r="CF190" s="90"/>
      <c r="CG190" s="90"/>
      <c r="CH190" s="90"/>
      <c r="CI190" s="90"/>
    </row>
    <row r="191" spans="2:87" x14ac:dyDescent="0.3"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  <c r="AA191" s="61"/>
      <c r="AB191" s="61"/>
      <c r="AC191" s="61"/>
      <c r="AD191" s="10"/>
      <c r="AE191" s="10"/>
      <c r="AF191" s="10"/>
      <c r="AG191" s="10"/>
      <c r="AH191" s="10"/>
      <c r="AI191" s="528"/>
      <c r="AJ191" s="529"/>
      <c r="AK191" s="529"/>
      <c r="AL191" s="529"/>
      <c r="AM191" s="529"/>
      <c r="AN191" s="529"/>
      <c r="AO191" s="529"/>
      <c r="AP191" s="529"/>
      <c r="AQ191" s="529"/>
      <c r="AR191" s="529"/>
      <c r="AS191" s="529"/>
      <c r="AT191" s="529"/>
      <c r="AU191" s="529"/>
      <c r="AV191" s="529"/>
      <c r="AW191" s="529"/>
      <c r="AX191" s="529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89"/>
      <c r="BX191" s="89"/>
      <c r="BY191" s="89"/>
      <c r="BZ191" s="89"/>
      <c r="CA191" s="121"/>
      <c r="CB191" s="1"/>
      <c r="CC191" s="1"/>
      <c r="CD191" s="1"/>
      <c r="CE191" s="1"/>
      <c r="CF191" s="1"/>
      <c r="CG191" s="1"/>
      <c r="CH191" s="1"/>
      <c r="CI191" s="1"/>
    </row>
    <row r="192" spans="2:87" x14ac:dyDescent="0.3">
      <c r="D192">
        <v>10</v>
      </c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  <c r="AA192" s="61"/>
      <c r="AB192" s="61"/>
      <c r="AC192" s="61"/>
      <c r="AD192" s="10"/>
      <c r="AE192" s="10"/>
      <c r="AF192" s="10"/>
      <c r="AG192" s="10"/>
      <c r="AH192" s="10"/>
      <c r="AI192" s="10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89"/>
      <c r="BX192" s="89"/>
      <c r="BY192" s="89"/>
      <c r="BZ192" s="89"/>
      <c r="CA192" s="89"/>
      <c r="CB192" s="1"/>
      <c r="CC192" s="1"/>
      <c r="CD192" s="1"/>
      <c r="CE192" s="1"/>
      <c r="CF192" s="1"/>
      <c r="CG192" s="1"/>
      <c r="CH192" s="1"/>
      <c r="CI192" s="1"/>
    </row>
    <row r="193" spans="2:85" x14ac:dyDescent="0.3">
      <c r="D193" s="1">
        <v>50000000</v>
      </c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  <c r="AA193" s="61"/>
      <c r="AB193" s="61"/>
      <c r="AC193" s="61"/>
      <c r="AD193" s="10"/>
      <c r="AE193" s="10"/>
      <c r="AF193" s="10"/>
      <c r="AG193" s="10"/>
      <c r="AH193" s="10"/>
      <c r="AI193" s="10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89"/>
      <c r="BX193" s="89"/>
      <c r="BY193" s="89"/>
      <c r="BZ193" s="89"/>
      <c r="CA193" s="89"/>
      <c r="CB193" s="1"/>
      <c r="CC193" s="1"/>
      <c r="CD193" s="1"/>
      <c r="CE193" s="1"/>
      <c r="CF193" s="1"/>
      <c r="CG193" s="1"/>
    </row>
    <row r="194" spans="2:85" x14ac:dyDescent="0.3">
      <c r="D194" s="57">
        <f>+D193/D196</f>
        <v>0.15105740181268881</v>
      </c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  <c r="AA194" s="61"/>
      <c r="AB194" s="61"/>
      <c r="AC194" s="61"/>
      <c r="AD194" s="10"/>
      <c r="AE194" s="10"/>
      <c r="AF194" s="10"/>
      <c r="AG194" s="547"/>
      <c r="AH194" s="10"/>
      <c r="AI194" s="10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89"/>
      <c r="BX194" s="89"/>
      <c r="BY194" s="89"/>
      <c r="BZ194" s="89"/>
      <c r="CA194" s="89"/>
      <c r="CB194" s="1"/>
      <c r="CC194" s="1"/>
      <c r="CD194" s="1"/>
      <c r="CE194" s="1"/>
      <c r="CF194" s="1"/>
      <c r="CG194" s="1"/>
    </row>
    <row r="195" spans="2:85" x14ac:dyDescent="0.3"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  <c r="AA195" s="61"/>
      <c r="AB195" s="61"/>
      <c r="AC195" s="61"/>
      <c r="AD195" s="10"/>
      <c r="AE195" s="10"/>
      <c r="AF195" s="554"/>
      <c r="AG195" s="573"/>
      <c r="AH195" s="554"/>
      <c r="AI195" s="554"/>
      <c r="AJ195" s="546"/>
      <c r="AK195" s="546"/>
      <c r="AL195" s="546"/>
      <c r="AM195" s="546"/>
      <c r="AN195" s="546"/>
      <c r="AO195" s="546"/>
      <c r="AP195" s="546"/>
      <c r="AQ195" s="546"/>
      <c r="AR195" s="546"/>
      <c r="AS195" s="546"/>
      <c r="AT195" s="546"/>
      <c r="AU195" s="546"/>
      <c r="AV195" s="546"/>
      <c r="AW195" s="546"/>
      <c r="AX195" s="546"/>
      <c r="AY195" s="546"/>
      <c r="AZ195" s="546"/>
      <c r="BA195" s="546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89"/>
      <c r="BX195" s="89"/>
      <c r="BY195" s="122"/>
      <c r="BZ195" s="89"/>
      <c r="CA195" s="89"/>
    </row>
    <row r="196" spans="2:85" x14ac:dyDescent="0.3">
      <c r="D196" s="1">
        <v>331000000</v>
      </c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  <c r="AA196" s="61"/>
      <c r="AB196" s="61"/>
      <c r="AC196" s="61"/>
      <c r="AD196" s="10"/>
      <c r="AE196" s="10"/>
      <c r="AF196" s="554"/>
      <c r="AG196" s="574"/>
      <c r="AH196" s="554"/>
      <c r="AI196" s="554"/>
      <c r="AJ196" s="571"/>
      <c r="AK196" s="571"/>
      <c r="AL196" s="572"/>
      <c r="AM196" s="572"/>
      <c r="AN196" s="572"/>
      <c r="AO196" s="572"/>
      <c r="AP196" s="572"/>
      <c r="AQ196" s="572"/>
      <c r="AR196" s="572"/>
      <c r="AS196" s="572"/>
      <c r="AT196" s="572"/>
      <c r="AU196" s="572"/>
      <c r="AV196" s="572"/>
      <c r="AW196" s="572"/>
      <c r="AX196" s="572"/>
      <c r="AY196" s="572"/>
      <c r="AZ196" s="572"/>
      <c r="BA196" s="572"/>
      <c r="BB196" s="90"/>
      <c r="BC196" s="90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89"/>
      <c r="BX196" s="89"/>
      <c r="BY196" s="89"/>
      <c r="BZ196" s="89"/>
      <c r="CA196" s="89"/>
    </row>
    <row r="197" spans="2:85" x14ac:dyDescent="0.3"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  <c r="AA197" s="61"/>
      <c r="AB197" s="61"/>
      <c r="AC197" s="61"/>
      <c r="AD197" s="10"/>
      <c r="AE197" s="10"/>
      <c r="AF197" s="554"/>
      <c r="AG197" s="573"/>
      <c r="AH197" s="554"/>
      <c r="AI197" s="554"/>
      <c r="AJ197" s="571"/>
      <c r="AK197" s="571"/>
      <c r="AL197" s="150"/>
      <c r="AM197" s="150"/>
      <c r="AN197" s="150"/>
      <c r="AO197" s="150"/>
      <c r="AP197" s="150"/>
      <c r="AQ197" s="150"/>
      <c r="AR197" s="150"/>
      <c r="AS197" s="90"/>
      <c r="AT197" s="90"/>
      <c r="AU197" s="90"/>
      <c r="AV197" s="110"/>
      <c r="AW197" s="110"/>
      <c r="AX197" s="110"/>
      <c r="AY197" s="110"/>
      <c r="AZ197" s="571"/>
      <c r="BA197" s="571"/>
      <c r="BB197" s="110"/>
      <c r="BC197" s="90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89"/>
      <c r="BX197" s="89"/>
      <c r="BY197" s="89"/>
      <c r="BZ197" s="89"/>
      <c r="CA197" s="89"/>
    </row>
    <row r="198" spans="2:85" x14ac:dyDescent="0.3">
      <c r="D198" s="468">
        <v>7.1999999999999995E-2</v>
      </c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  <c r="AA198" s="61"/>
      <c r="AB198" s="61"/>
      <c r="AC198" s="61"/>
      <c r="AD198" s="10"/>
      <c r="AE198" s="10"/>
      <c r="AF198" s="554"/>
      <c r="AG198" s="573">
        <v>44031</v>
      </c>
      <c r="AH198" s="554"/>
      <c r="AI198" s="554"/>
      <c r="AJ198" s="571"/>
      <c r="AK198" s="571"/>
      <c r="AL198" s="150"/>
      <c r="AM198" s="150"/>
      <c r="AN198" s="150"/>
      <c r="AO198" s="150"/>
      <c r="AP198" s="150"/>
      <c r="AQ198" s="150"/>
      <c r="AR198" s="150"/>
      <c r="AS198" s="150"/>
      <c r="AT198" s="110"/>
      <c r="AU198" s="90"/>
      <c r="AV198" s="110"/>
      <c r="AW198" s="110"/>
      <c r="AX198" s="110"/>
      <c r="AY198" s="110"/>
      <c r="AZ198" s="571"/>
      <c r="BA198" s="571"/>
      <c r="BB198" s="110"/>
      <c r="BC198" s="90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89"/>
      <c r="BX198" s="89"/>
      <c r="BY198" s="89"/>
      <c r="BZ198" s="89"/>
      <c r="CA198" s="89"/>
    </row>
    <row r="199" spans="2:85" x14ac:dyDescent="0.3"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  <c r="AA199" s="61"/>
      <c r="AB199" s="61"/>
      <c r="AC199" s="61"/>
      <c r="AD199" s="10"/>
      <c r="AE199" s="10"/>
      <c r="AF199" s="554"/>
      <c r="AG199" s="573">
        <v>44038</v>
      </c>
      <c r="AH199" s="554"/>
      <c r="AI199" s="554"/>
      <c r="AJ199" s="571"/>
      <c r="AK199" s="571"/>
      <c r="AL199" s="90"/>
      <c r="AM199" s="90"/>
      <c r="AN199" s="151"/>
      <c r="AO199" s="151"/>
      <c r="AP199" s="151"/>
      <c r="AQ199" s="151"/>
      <c r="AR199" s="151"/>
      <c r="AS199" s="90"/>
      <c r="AT199" s="90"/>
      <c r="AU199" s="90"/>
      <c r="AV199" s="110"/>
      <c r="AW199" s="110"/>
      <c r="AX199" s="110"/>
      <c r="AY199" s="110"/>
      <c r="AZ199" s="571"/>
      <c r="BA199" s="571"/>
      <c r="BB199" s="110"/>
      <c r="BC199" s="90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89"/>
      <c r="BX199" s="89"/>
      <c r="BY199" s="89"/>
      <c r="BZ199" s="89"/>
      <c r="CA199" s="89"/>
    </row>
    <row r="200" spans="2:85" x14ac:dyDescent="0.3">
      <c r="D200" s="277">
        <v>4.2000000000000003E-2</v>
      </c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  <c r="AA200" s="61"/>
      <c r="AB200" s="61"/>
      <c r="AC200" s="61"/>
      <c r="AD200" s="10"/>
      <c r="AE200" s="10"/>
      <c r="AF200" s="554"/>
      <c r="AG200" s="573">
        <v>44045</v>
      </c>
      <c r="AH200" s="554"/>
      <c r="AI200" s="554"/>
      <c r="AJ200" s="571"/>
      <c r="AK200" s="571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10"/>
      <c r="AW200" s="110"/>
      <c r="AX200" s="110"/>
      <c r="AY200" s="110"/>
      <c r="AZ200" s="571"/>
      <c r="BA200" s="571"/>
      <c r="BB200" s="110"/>
      <c r="BC200" s="90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</row>
    <row r="201" spans="2:85" x14ac:dyDescent="0.3">
      <c r="D201" s="1">
        <f>+D196*D198*D200</f>
        <v>1000944.0000000001</v>
      </c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  <c r="AA201" s="61"/>
      <c r="AB201" s="61"/>
      <c r="AC201" s="61"/>
      <c r="AD201" s="10"/>
      <c r="AE201" s="10"/>
      <c r="AF201" s="554"/>
      <c r="AG201" s="573">
        <v>44052</v>
      </c>
      <c r="AH201" s="554"/>
      <c r="AI201" s="554"/>
      <c r="AJ201" s="571"/>
      <c r="AK201" s="571"/>
      <c r="AL201" s="90"/>
      <c r="AM201" s="90"/>
      <c r="AN201" s="151"/>
      <c r="AO201" s="151"/>
      <c r="AP201" s="151"/>
      <c r="AQ201" s="151"/>
      <c r="AR201" s="151"/>
      <c r="AS201" s="151"/>
      <c r="AT201" s="151"/>
      <c r="AU201" s="90"/>
      <c r="AV201" s="110"/>
      <c r="AW201" s="110"/>
      <c r="AX201" s="110"/>
      <c r="AY201" s="110"/>
      <c r="AZ201" s="571"/>
      <c r="BA201" s="571"/>
      <c r="BB201" s="110"/>
      <c r="BC201" s="90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</row>
    <row r="202" spans="2:85" x14ac:dyDescent="0.3"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  <c r="AA202" s="61"/>
      <c r="AB202" s="61"/>
      <c r="AC202" s="61"/>
      <c r="AD202" s="10"/>
      <c r="AE202" s="10"/>
      <c r="AF202" s="554"/>
      <c r="AG202" s="573"/>
      <c r="AH202" s="554"/>
      <c r="AI202" s="554"/>
      <c r="AJ202" s="571"/>
      <c r="AK202" s="571"/>
      <c r="AL202" s="90"/>
      <c r="AM202" s="90"/>
      <c r="AN202" s="151"/>
      <c r="AO202" s="151"/>
      <c r="AP202" s="151"/>
      <c r="AQ202" s="151"/>
      <c r="AR202" s="151"/>
      <c r="AS202" s="151"/>
      <c r="AT202" s="151"/>
      <c r="AU202" s="90"/>
      <c r="AV202" s="110"/>
      <c r="AW202" s="110"/>
      <c r="AX202" s="110"/>
      <c r="AY202" s="110"/>
      <c r="AZ202" s="571"/>
      <c r="BA202" s="571"/>
      <c r="BB202" s="110"/>
      <c r="BC202" s="90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</row>
    <row r="203" spans="2:85" x14ac:dyDescent="0.3"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  <c r="AA203" s="61"/>
      <c r="AB203" s="61"/>
      <c r="AC203" s="61"/>
      <c r="AD203" s="10"/>
      <c r="AE203" s="10"/>
      <c r="AF203" s="554"/>
      <c r="AG203" s="573"/>
      <c r="AH203" s="554"/>
      <c r="AI203" s="554"/>
      <c r="AJ203" s="571"/>
      <c r="AK203" s="571"/>
      <c r="AL203" s="90"/>
      <c r="AM203" s="90"/>
      <c r="AN203" s="151"/>
      <c r="AO203" s="151"/>
      <c r="AP203" s="151"/>
      <c r="AQ203" s="151"/>
      <c r="AR203" s="151"/>
      <c r="AS203" s="151"/>
      <c r="AT203" s="151"/>
      <c r="AU203" s="90"/>
      <c r="AV203" s="110"/>
      <c r="AW203" s="110"/>
      <c r="AX203" s="110"/>
      <c r="AY203" s="110"/>
      <c r="AZ203" s="571"/>
      <c r="BA203" s="571"/>
      <c r="BB203" s="110"/>
      <c r="BC203" s="90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</row>
    <row r="204" spans="2:85" x14ac:dyDescent="0.3"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  <c r="AA204" s="61"/>
      <c r="AB204" s="61"/>
      <c r="AC204" s="61"/>
      <c r="AD204" s="10"/>
      <c r="AE204" s="10"/>
      <c r="AF204" s="554"/>
      <c r="AG204" s="575"/>
      <c r="AH204" s="554"/>
      <c r="AI204" s="554"/>
      <c r="AJ204" s="571"/>
      <c r="AK204" s="571"/>
      <c r="AL204" s="90"/>
      <c r="AM204" s="90"/>
      <c r="AN204" s="151"/>
      <c r="AO204" s="151"/>
      <c r="AP204" s="151"/>
      <c r="AQ204" s="151"/>
      <c r="AR204" s="151"/>
      <c r="AS204" s="151"/>
      <c r="AT204" s="151"/>
      <c r="AU204" s="90"/>
      <c r="AV204" s="110"/>
      <c r="AW204" s="110"/>
      <c r="AX204" s="110"/>
      <c r="AY204" s="110"/>
      <c r="AZ204" s="571"/>
      <c r="BA204" s="571"/>
      <c r="BB204" s="110"/>
      <c r="BC204" s="90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</row>
    <row r="205" spans="2:85" x14ac:dyDescent="0.3"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  <c r="AA205" s="61"/>
      <c r="AB205" s="61"/>
      <c r="AC205" s="61"/>
      <c r="AD205" s="10"/>
      <c r="AE205" s="10"/>
      <c r="AF205" s="554"/>
      <c r="AG205" s="554"/>
      <c r="AH205" s="554"/>
      <c r="AI205" s="554"/>
      <c r="AJ205" s="571"/>
      <c r="AK205" s="571"/>
      <c r="AL205" s="90"/>
      <c r="AM205" s="90"/>
      <c r="AN205" s="151"/>
      <c r="AO205" s="151"/>
      <c r="AP205" s="151"/>
      <c r="AQ205" s="151"/>
      <c r="AR205" s="151"/>
      <c r="AS205" s="151"/>
      <c r="AT205" s="151"/>
      <c r="AU205" s="90"/>
      <c r="AV205" s="110"/>
      <c r="AW205" s="110"/>
      <c r="AX205" s="110"/>
      <c r="AY205" s="110"/>
      <c r="AZ205" s="571"/>
      <c r="BA205" s="571"/>
      <c r="BB205" s="110"/>
      <c r="BC205" s="90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</row>
    <row r="206" spans="2:85" x14ac:dyDescent="0.3"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  <c r="AA206" s="61"/>
      <c r="AB206" s="61"/>
      <c r="AC206" s="61"/>
      <c r="AD206" s="10"/>
      <c r="AE206" s="10"/>
      <c r="AF206" s="554"/>
      <c r="AG206" s="554"/>
      <c r="AH206" s="554"/>
      <c r="AI206" s="554"/>
      <c r="AJ206" s="571"/>
      <c r="AK206" s="571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90"/>
      <c r="AW206" s="90"/>
      <c r="AX206" s="90"/>
      <c r="AY206" s="90"/>
      <c r="AZ206" s="571"/>
      <c r="BA206" s="577"/>
      <c r="BB206" s="110"/>
      <c r="BC206" s="90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</row>
    <row r="207" spans="2:85" x14ac:dyDescent="0.3">
      <c r="AD207" s="10"/>
      <c r="AE207" s="10"/>
      <c r="AF207" s="554"/>
      <c r="AG207" s="554"/>
      <c r="AH207" s="554"/>
      <c r="AI207" s="554"/>
      <c r="AJ207" s="571"/>
      <c r="AK207" s="571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90"/>
      <c r="AW207" s="90"/>
      <c r="AX207" s="90"/>
      <c r="AY207" s="90"/>
      <c r="AZ207" s="571"/>
      <c r="BA207" s="577"/>
      <c r="BB207" s="110"/>
      <c r="BC207" s="90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</row>
    <row r="208" spans="2:85" ht="15" thickBot="1" x14ac:dyDescent="0.35">
      <c r="B208" s="546"/>
      <c r="C208" s="546"/>
      <c r="D208" s="546"/>
      <c r="E208" s="546"/>
      <c r="F208" s="546"/>
      <c r="G208" s="546"/>
      <c r="H208" s="546"/>
      <c r="I208" s="546"/>
      <c r="J208" s="546"/>
      <c r="K208" s="546"/>
      <c r="L208" s="546"/>
      <c r="M208" s="546"/>
      <c r="N208" s="546"/>
      <c r="O208" s="546"/>
      <c r="P208" s="546"/>
      <c r="Q208" s="546"/>
      <c r="R208" s="546"/>
      <c r="S208" s="546"/>
      <c r="T208" s="546"/>
      <c r="U208" s="546"/>
      <c r="V208" s="546"/>
      <c r="AD208" s="10"/>
      <c r="AE208" s="10"/>
      <c r="AF208" s="554"/>
      <c r="AG208" s="554"/>
      <c r="AH208" s="554"/>
      <c r="AI208" s="554"/>
      <c r="AJ208" s="571"/>
      <c r="AK208" s="571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90"/>
      <c r="AW208" s="90"/>
      <c r="AX208" s="90"/>
      <c r="AY208" s="90"/>
      <c r="AZ208" s="571"/>
      <c r="BA208" s="577"/>
      <c r="BB208" s="110"/>
      <c r="BC208" s="90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</row>
    <row r="209" spans="2:79" x14ac:dyDescent="0.3">
      <c r="B209" s="546"/>
      <c r="C209" s="557"/>
      <c r="D209" s="400"/>
      <c r="E209" s="400"/>
      <c r="F209" s="400"/>
      <c r="G209" s="400"/>
      <c r="H209" s="400"/>
      <c r="I209" s="400"/>
      <c r="J209" s="400"/>
      <c r="K209" s="400"/>
      <c r="L209" s="400"/>
      <c r="M209" s="400"/>
      <c r="N209" s="400"/>
      <c r="O209" s="400"/>
      <c r="P209" s="558"/>
      <c r="V209" s="546"/>
      <c r="AD209" s="10"/>
      <c r="AE209" s="10"/>
      <c r="AF209" s="554"/>
      <c r="AG209" s="554"/>
      <c r="AH209" s="554"/>
      <c r="AI209" s="554"/>
      <c r="AJ209" s="571"/>
      <c r="AK209" s="571"/>
      <c r="AL209" s="150"/>
      <c r="AM209" s="150"/>
      <c r="AN209" s="150"/>
      <c r="AO209" s="150"/>
      <c r="AP209" s="150"/>
      <c r="AQ209" s="150"/>
      <c r="AR209" s="150"/>
      <c r="AS209" s="150"/>
      <c r="AT209" s="150"/>
      <c r="AU209" s="150"/>
      <c r="AV209" s="90"/>
      <c r="AW209" s="90"/>
      <c r="AX209" s="90"/>
      <c r="AY209" s="90"/>
      <c r="AZ209" s="571"/>
      <c r="BA209" s="577"/>
      <c r="BB209" s="110"/>
      <c r="BC209" s="90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</row>
    <row r="210" spans="2:79" x14ac:dyDescent="0.3">
      <c r="B210" s="546"/>
      <c r="C210" s="559"/>
      <c r="D210" s="548" t="s">
        <v>164</v>
      </c>
      <c r="E210" s="430"/>
      <c r="F210" s="430"/>
      <c r="G210" s="430"/>
      <c r="H210" s="578" t="s">
        <v>20</v>
      </c>
      <c r="I210" s="578"/>
      <c r="J210" s="578"/>
      <c r="K210" s="430"/>
      <c r="L210" s="430"/>
      <c r="M210" s="430"/>
      <c r="N210" s="430"/>
      <c r="O210" s="430"/>
      <c r="P210" s="560"/>
      <c r="V210" s="546"/>
      <c r="AD210" s="10"/>
      <c r="AE210" s="10"/>
      <c r="AF210" s="554"/>
      <c r="AG210" s="554"/>
      <c r="AH210" s="554"/>
      <c r="AI210" s="554"/>
      <c r="AJ210" s="571"/>
      <c r="AK210" s="571"/>
      <c r="AL210" s="150"/>
      <c r="AM210" s="150"/>
      <c r="AN210" s="150"/>
      <c r="AO210" s="150"/>
      <c r="AP210" s="150"/>
      <c r="AQ210" s="150"/>
      <c r="AR210" s="150"/>
      <c r="AS210" s="150"/>
      <c r="AT210" s="150"/>
      <c r="AU210" s="150"/>
      <c r="AV210" s="90"/>
      <c r="AW210" s="90"/>
      <c r="AX210" s="90"/>
      <c r="AY210" s="90"/>
      <c r="AZ210" s="571"/>
      <c r="BA210" s="577"/>
      <c r="BB210" s="110"/>
      <c r="BC210" s="90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</row>
    <row r="211" spans="2:79" x14ac:dyDescent="0.3">
      <c r="B211" s="546"/>
      <c r="C211" s="559"/>
      <c r="D211" s="561" t="s">
        <v>165</v>
      </c>
      <c r="E211" s="430"/>
      <c r="F211" s="430"/>
      <c r="G211" s="430"/>
      <c r="H211" s="562" t="s">
        <v>162</v>
      </c>
      <c r="I211" s="548"/>
      <c r="J211" s="563" t="s">
        <v>163</v>
      </c>
      <c r="K211" s="548"/>
      <c r="L211" s="548"/>
      <c r="M211" s="548"/>
      <c r="N211" s="548"/>
      <c r="O211" s="564" t="s">
        <v>3</v>
      </c>
      <c r="P211" s="560"/>
      <c r="V211" s="546"/>
      <c r="AD211" s="10"/>
      <c r="AE211" s="10"/>
      <c r="AF211" s="554"/>
      <c r="AG211" s="554"/>
      <c r="AH211" s="554"/>
      <c r="AI211" s="554"/>
      <c r="AJ211" s="571"/>
      <c r="AK211" s="571"/>
      <c r="AL211" s="576"/>
      <c r="AM211" s="576"/>
      <c r="AN211" s="576"/>
      <c r="AO211" s="576"/>
      <c r="AP211" s="576"/>
      <c r="AQ211" s="576"/>
      <c r="AR211" s="576"/>
      <c r="AS211" s="576"/>
      <c r="AT211" s="576"/>
      <c r="AU211" s="576"/>
      <c r="AV211" s="571"/>
      <c r="AW211" s="571"/>
      <c r="AX211" s="571"/>
      <c r="AY211" s="571"/>
      <c r="AZ211" s="571"/>
      <c r="BA211" s="577"/>
      <c r="BB211" s="110"/>
      <c r="BC211" s="90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</row>
    <row r="212" spans="2:79" x14ac:dyDescent="0.3">
      <c r="B212" s="546"/>
      <c r="C212" s="559"/>
      <c r="D212" s="549" t="s">
        <v>161</v>
      </c>
      <c r="E212" s="15"/>
      <c r="F212" s="15"/>
      <c r="G212" s="15"/>
      <c r="H212" s="565">
        <f>SUM(D133:D139)</f>
        <v>471981</v>
      </c>
      <c r="I212" s="15"/>
      <c r="J212" s="16">
        <f>+H212/7</f>
        <v>67425.857142857145</v>
      </c>
      <c r="K212" s="15"/>
      <c r="L212" s="15"/>
      <c r="M212" s="15"/>
      <c r="N212" s="15"/>
      <c r="O212" s="15"/>
      <c r="P212" s="560"/>
      <c r="V212" s="546"/>
      <c r="AD212" s="10"/>
      <c r="AE212" s="10"/>
      <c r="AF212" s="554"/>
      <c r="AG212" s="554"/>
      <c r="AH212" s="554"/>
      <c r="AI212" s="554"/>
      <c r="AJ212" s="571"/>
      <c r="AK212" s="571"/>
      <c r="AL212" s="576"/>
      <c r="AM212" s="576"/>
      <c r="AN212" s="576"/>
      <c r="AO212" s="576"/>
      <c r="AP212" s="576"/>
      <c r="AQ212" s="576"/>
      <c r="AR212" s="576"/>
      <c r="AS212" s="576"/>
      <c r="AT212" s="576"/>
      <c r="AU212" s="576"/>
      <c r="AV212" s="576"/>
      <c r="AW212" s="576"/>
      <c r="AX212" s="576"/>
      <c r="AY212" s="576"/>
      <c r="AZ212" s="571"/>
      <c r="BA212" s="571"/>
      <c r="BB212" s="110"/>
      <c r="BC212" s="90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</row>
    <row r="213" spans="2:79" x14ac:dyDescent="0.3">
      <c r="B213" s="546"/>
      <c r="C213" s="559"/>
      <c r="D213" s="549" t="s">
        <v>160</v>
      </c>
      <c r="E213" s="15"/>
      <c r="F213" s="15"/>
      <c r="G213" s="15"/>
      <c r="H213" s="16">
        <f>SUM(D140:D146)</f>
        <v>427527</v>
      </c>
      <c r="I213" s="15"/>
      <c r="J213" s="16">
        <f t="shared" ref="J213:J214" si="804">+H213/7</f>
        <v>61075.285714285717</v>
      </c>
      <c r="K213" s="15"/>
      <c r="L213" s="15"/>
      <c r="M213" s="15"/>
      <c r="N213" s="15"/>
      <c r="O213" s="15"/>
      <c r="P213" s="560"/>
      <c r="V213" s="546"/>
      <c r="AJ213" s="110"/>
      <c r="AK213" s="110"/>
      <c r="AL213" s="110"/>
      <c r="AM213" s="110"/>
      <c r="AN213" s="110"/>
      <c r="AO213" s="110"/>
      <c r="AP213" s="110"/>
      <c r="AQ213" s="110"/>
      <c r="AR213" s="110"/>
      <c r="AS213" s="110"/>
      <c r="AT213" s="90"/>
      <c r="AU213" s="110"/>
      <c r="AV213" s="152"/>
      <c r="AW213" s="152"/>
      <c r="AX213" s="152"/>
      <c r="AY213" s="152"/>
      <c r="AZ213" s="110"/>
      <c r="BA213" s="110"/>
      <c r="BB213" s="110"/>
      <c r="BC213" s="110"/>
    </row>
    <row r="214" spans="2:79" x14ac:dyDescent="0.3">
      <c r="B214" s="553"/>
      <c r="C214" s="559"/>
      <c r="D214" s="549" t="s">
        <v>159</v>
      </c>
      <c r="E214" s="15"/>
      <c r="F214" s="15"/>
      <c r="G214" s="15"/>
      <c r="H214" s="16">
        <f>SUM(D147:D153)</f>
        <v>383516</v>
      </c>
      <c r="I214" s="15"/>
      <c r="J214" s="16">
        <f t="shared" si="804"/>
        <v>54788</v>
      </c>
      <c r="K214" s="15"/>
      <c r="L214" s="15"/>
      <c r="M214" s="15"/>
      <c r="N214" s="15"/>
      <c r="O214" s="565">
        <f>+H212-H214</f>
        <v>88465</v>
      </c>
      <c r="P214" s="560"/>
      <c r="V214" s="546"/>
      <c r="AA214">
        <f>+O214/7</f>
        <v>12637.857142857143</v>
      </c>
      <c r="AJ214" s="110"/>
      <c r="AK214" s="110"/>
      <c r="AL214" s="110"/>
      <c r="AM214" s="110"/>
      <c r="AN214" s="110"/>
      <c r="AO214" s="110"/>
      <c r="AP214" s="110"/>
      <c r="AQ214" s="110"/>
      <c r="AR214" s="110"/>
      <c r="AS214" s="110"/>
      <c r="AT214" s="110"/>
      <c r="AU214" s="110"/>
      <c r="AV214" s="90"/>
      <c r="AW214" s="90"/>
      <c r="AX214" s="90"/>
      <c r="AY214" s="90"/>
      <c r="AZ214" s="110"/>
      <c r="BA214" s="153"/>
      <c r="BB214" s="110"/>
      <c r="BC214" s="110"/>
    </row>
    <row r="215" spans="2:79" x14ac:dyDescent="0.3">
      <c r="B215" s="554"/>
      <c r="C215" s="559"/>
      <c r="D215" s="566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60">
        <f>+O214/H212</f>
        <v>0.18743339244588236</v>
      </c>
      <c r="P215" s="560"/>
      <c r="V215" s="546"/>
      <c r="X215" s="61"/>
      <c r="Y215" s="61"/>
      <c r="Z215" s="110"/>
      <c r="AA215" s="110"/>
      <c r="AB215" s="110"/>
      <c r="AC215" s="110"/>
      <c r="AD215" s="110"/>
      <c r="AE215" s="110"/>
      <c r="AF215" s="110"/>
      <c r="AG215" s="110"/>
      <c r="AH215" s="110"/>
      <c r="AI215" s="110"/>
      <c r="AJ215" s="110"/>
      <c r="AK215" s="110"/>
      <c r="AL215" s="110"/>
      <c r="AM215" s="110"/>
      <c r="AN215" s="110"/>
      <c r="AO215" s="110"/>
      <c r="AP215" s="90">
        <v>480454</v>
      </c>
      <c r="AQ215" s="110"/>
      <c r="AR215" s="110"/>
      <c r="AS215" s="110"/>
      <c r="AT215" s="110"/>
      <c r="AU215" s="110"/>
      <c r="AV215" s="110"/>
      <c r="AW215" s="110"/>
      <c r="AX215" s="110"/>
      <c r="AY215" s="110"/>
      <c r="AZ215" s="110"/>
      <c r="BA215" s="110"/>
      <c r="BB215" s="110"/>
      <c r="BC215" s="110"/>
    </row>
    <row r="216" spans="2:79" ht="15" thickBot="1" x14ac:dyDescent="0.35">
      <c r="B216" s="554"/>
      <c r="C216" s="567"/>
      <c r="D216" s="568"/>
      <c r="E216" s="568"/>
      <c r="F216" s="568"/>
      <c r="G216" s="568"/>
      <c r="H216" s="568"/>
      <c r="I216" s="568"/>
      <c r="J216" s="569"/>
      <c r="K216" s="568"/>
      <c r="L216" s="568"/>
      <c r="M216" s="568"/>
      <c r="N216" s="568"/>
      <c r="O216" s="568"/>
      <c r="P216" s="570"/>
      <c r="V216" s="546"/>
      <c r="X216" s="61"/>
      <c r="Y216" s="61"/>
      <c r="Z216" s="110"/>
      <c r="AA216" s="110"/>
      <c r="AB216" s="110"/>
      <c r="AC216" s="110"/>
      <c r="AD216" s="110"/>
      <c r="AE216" s="110"/>
      <c r="AF216" s="110"/>
      <c r="AG216" s="110"/>
      <c r="AH216" s="110"/>
      <c r="AI216" s="110"/>
      <c r="AJ216" s="110"/>
      <c r="AK216" s="110"/>
      <c r="AL216" s="110"/>
      <c r="AM216" s="110"/>
      <c r="AN216" s="110"/>
      <c r="AO216" s="110"/>
      <c r="AP216" s="152">
        <f>+N159</f>
        <v>364994</v>
      </c>
      <c r="AQ216" s="110"/>
      <c r="AR216" s="110"/>
      <c r="AS216" s="110"/>
      <c r="AT216" s="110"/>
      <c r="AU216" s="110"/>
      <c r="AV216" s="110"/>
      <c r="AW216" s="110"/>
      <c r="AX216" s="110"/>
      <c r="AY216" s="110"/>
      <c r="AZ216" s="110"/>
      <c r="BA216" s="110"/>
      <c r="BB216" s="110"/>
      <c r="BC216" s="110"/>
    </row>
    <row r="217" spans="2:79" x14ac:dyDescent="0.3">
      <c r="B217" s="554"/>
      <c r="C217" s="546"/>
      <c r="D217" s="555"/>
      <c r="E217" s="546"/>
      <c r="F217" s="546"/>
      <c r="G217" s="546"/>
      <c r="H217" s="556"/>
      <c r="I217" s="546"/>
      <c r="J217" s="546"/>
      <c r="K217" s="546"/>
      <c r="L217" s="546"/>
      <c r="M217" s="546"/>
      <c r="N217" s="546"/>
      <c r="O217" s="546"/>
      <c r="P217" s="546"/>
      <c r="Q217" s="546"/>
      <c r="R217" s="546"/>
      <c r="S217" s="546"/>
      <c r="T217" s="546"/>
      <c r="U217" s="546"/>
      <c r="V217" s="546"/>
      <c r="X217" s="61"/>
      <c r="Y217" s="61"/>
      <c r="Z217" s="110"/>
      <c r="AA217" s="110"/>
      <c r="AB217" s="110"/>
      <c r="AC217" s="110"/>
      <c r="AD217" s="110"/>
      <c r="AE217" s="110"/>
      <c r="AF217" s="110"/>
      <c r="AG217" s="110"/>
      <c r="AH217" s="110"/>
      <c r="AI217" s="110"/>
      <c r="AJ217" s="110"/>
      <c r="AK217" s="110"/>
      <c r="AL217" s="110"/>
      <c r="AM217" s="110"/>
      <c r="AN217" s="110"/>
      <c r="AO217" s="110"/>
      <c r="AP217" s="152">
        <f>+AP215-AP216</f>
        <v>115460</v>
      </c>
      <c r="AQ217" s="110"/>
      <c r="AR217" s="110"/>
    </row>
    <row r="218" spans="2:79" x14ac:dyDescent="0.3">
      <c r="B218" s="1"/>
      <c r="D218" s="55"/>
      <c r="X218" s="61"/>
      <c r="Y218" s="61"/>
      <c r="Z218" s="110"/>
      <c r="AA218" s="110"/>
      <c r="AB218" s="110"/>
      <c r="AC218" s="110"/>
      <c r="AD218" s="110"/>
      <c r="AE218" s="110"/>
      <c r="AF218" s="110"/>
      <c r="AG218" s="110"/>
      <c r="AH218" s="110"/>
      <c r="AI218" s="110"/>
      <c r="AJ218" s="110"/>
      <c r="AK218" s="110"/>
      <c r="AL218" s="110"/>
      <c r="AM218" s="110"/>
      <c r="AN218" s="110"/>
      <c r="AO218" s="110"/>
      <c r="AP218" s="96">
        <f>+AP217/AP215</f>
        <v>0.24031436932567946</v>
      </c>
      <c r="AQ218" s="110"/>
      <c r="AR218" s="110"/>
    </row>
    <row r="219" spans="2:79" x14ac:dyDescent="0.3">
      <c r="B219" s="55"/>
      <c r="D219" s="55"/>
      <c r="J219" s="56">
        <f>+J212-J214</f>
        <v>12637.857142857145</v>
      </c>
      <c r="X219" s="61"/>
      <c r="Y219" s="61"/>
      <c r="Z219" s="110"/>
      <c r="AA219" s="110"/>
      <c r="AB219" s="110"/>
      <c r="AC219" s="110"/>
      <c r="AD219" s="110"/>
      <c r="AE219" s="110"/>
      <c r="AF219" s="110"/>
      <c r="AG219" s="110"/>
      <c r="AH219" s="110"/>
      <c r="AI219" s="110"/>
      <c r="AJ219" s="110"/>
      <c r="AK219" s="110"/>
      <c r="AL219" s="110"/>
      <c r="AM219" s="110"/>
      <c r="AN219" s="110"/>
      <c r="AO219" s="110"/>
      <c r="AP219" s="110"/>
      <c r="AQ219" s="110"/>
      <c r="AR219" s="110"/>
    </row>
    <row r="220" spans="2:79" x14ac:dyDescent="0.3">
      <c r="B220" s="57"/>
      <c r="D220" s="55"/>
      <c r="X220" s="61"/>
      <c r="Y220" s="61"/>
      <c r="Z220" s="110"/>
      <c r="AA220" s="110"/>
      <c r="AB220" s="110"/>
      <c r="AC220" s="110"/>
      <c r="AD220" s="110"/>
      <c r="AE220" s="110"/>
      <c r="AF220" s="110"/>
      <c r="AG220" s="110"/>
      <c r="AH220" s="110"/>
      <c r="AI220" s="110"/>
      <c r="AJ220" s="110"/>
      <c r="AK220" s="110"/>
      <c r="AL220" s="110"/>
      <c r="AM220" s="110"/>
      <c r="AN220" s="110"/>
      <c r="AO220" s="110"/>
      <c r="AP220" s="110"/>
      <c r="AQ220" s="110"/>
      <c r="AR220" s="110"/>
    </row>
    <row r="221" spans="2:79" x14ac:dyDescent="0.3">
      <c r="B221" s="1"/>
      <c r="D221" s="55"/>
      <c r="X221" s="61"/>
      <c r="Y221" s="61"/>
      <c r="Z221" s="110"/>
      <c r="AA221" s="110"/>
      <c r="AB221" s="110"/>
      <c r="AC221" s="110"/>
      <c r="AD221" s="110"/>
      <c r="AE221" s="110"/>
      <c r="AF221" s="110"/>
      <c r="AG221" s="110"/>
      <c r="AH221" s="110"/>
      <c r="AI221" s="110"/>
      <c r="AJ221" s="110"/>
      <c r="AK221" s="110"/>
      <c r="AL221" s="110"/>
      <c r="AM221" s="110"/>
      <c r="AN221" s="110"/>
      <c r="AO221" s="110"/>
      <c r="AP221" s="110"/>
      <c r="AQ221" s="110"/>
      <c r="AR221" s="110"/>
    </row>
    <row r="222" spans="2:79" x14ac:dyDescent="0.3">
      <c r="B222" s="1"/>
      <c r="D222" s="55"/>
      <c r="Z222" s="118"/>
      <c r="AA222" s="118"/>
      <c r="AB222" s="118"/>
      <c r="AC222" s="118"/>
      <c r="AD222" s="118"/>
      <c r="AE222" s="118"/>
      <c r="AF222" s="118"/>
      <c r="AG222" s="118"/>
      <c r="AH222" s="118"/>
      <c r="AI222" s="118"/>
      <c r="AJ222" s="118"/>
      <c r="AK222" s="118"/>
      <c r="AL222" s="118"/>
      <c r="AM222" s="118"/>
      <c r="AN222" s="118"/>
      <c r="AO222" s="118"/>
      <c r="AP222" s="118"/>
      <c r="AQ222" s="118"/>
      <c r="AR222" s="118"/>
    </row>
    <row r="223" spans="2:79" x14ac:dyDescent="0.3">
      <c r="B223" s="1"/>
      <c r="D223" s="55"/>
    </row>
    <row r="224" spans="2:79" x14ac:dyDescent="0.3">
      <c r="B224" s="1"/>
      <c r="D224" s="55"/>
    </row>
    <row r="225" spans="2:4" x14ac:dyDescent="0.3">
      <c r="B225" s="57" t="e">
        <f>+B224/B223</f>
        <v>#DIV/0!</v>
      </c>
      <c r="D225" s="55"/>
    </row>
    <row r="226" spans="2:4" x14ac:dyDescent="0.3">
      <c r="B226" s="1"/>
      <c r="D226" s="55"/>
    </row>
    <row r="227" spans="2:4" x14ac:dyDescent="0.3">
      <c r="B227" s="1"/>
      <c r="D227" s="55"/>
    </row>
    <row r="228" spans="2:4" x14ac:dyDescent="0.3">
      <c r="B228" s="1">
        <f>+B224*50</f>
        <v>0</v>
      </c>
      <c r="D228" s="55"/>
    </row>
    <row r="229" spans="2:4" x14ac:dyDescent="0.3">
      <c r="B229" s="1"/>
      <c r="D229" s="55"/>
    </row>
    <row r="230" spans="2:4" x14ac:dyDescent="0.3">
      <c r="B230" s="1"/>
      <c r="D230" s="55"/>
    </row>
    <row r="231" spans="2:4" x14ac:dyDescent="0.3">
      <c r="B231" s="1"/>
      <c r="D231" s="55"/>
    </row>
    <row r="232" spans="2:4" x14ac:dyDescent="0.3">
      <c r="B232" s="1"/>
      <c r="D232" s="55"/>
    </row>
    <row r="233" spans="2:4" x14ac:dyDescent="0.3">
      <c r="B233" s="1"/>
      <c r="D233" s="55"/>
    </row>
    <row r="234" spans="2:4" x14ac:dyDescent="0.3">
      <c r="B234" s="1"/>
      <c r="D234" s="55"/>
    </row>
    <row r="235" spans="2:4" x14ac:dyDescent="0.3">
      <c r="B235" s="1"/>
      <c r="D235" s="55"/>
    </row>
    <row r="236" spans="2:4" x14ac:dyDescent="0.3">
      <c r="B236" s="1"/>
      <c r="D236" s="55"/>
    </row>
    <row r="237" spans="2:4" x14ac:dyDescent="0.3">
      <c r="B237" s="1"/>
      <c r="D237" s="55"/>
    </row>
    <row r="238" spans="2:4" x14ac:dyDescent="0.3">
      <c r="B238" s="1"/>
    </row>
    <row r="239" spans="2:4" x14ac:dyDescent="0.3">
      <c r="B239" s="1"/>
    </row>
    <row r="240" spans="2:4" x14ac:dyDescent="0.3">
      <c r="B240" s="1"/>
    </row>
    <row r="241" spans="2:2" x14ac:dyDescent="0.3">
      <c r="B241" s="1"/>
    </row>
    <row r="242" spans="2:2" x14ac:dyDescent="0.3">
      <c r="B242" s="1"/>
    </row>
    <row r="243" spans="2:2" x14ac:dyDescent="0.3">
      <c r="B243" s="1"/>
    </row>
    <row r="244" spans="2:2" x14ac:dyDescent="0.3">
      <c r="B244" s="1"/>
    </row>
    <row r="245" spans="2:2" x14ac:dyDescent="0.3">
      <c r="B245" s="1"/>
    </row>
  </sheetData>
  <mergeCells count="28">
    <mergeCell ref="AK183:AN183"/>
    <mergeCell ref="AK184:AN184"/>
    <mergeCell ref="AK185:AN185"/>
    <mergeCell ref="B1:D1"/>
    <mergeCell ref="B2:D2"/>
    <mergeCell ref="J4:AC4"/>
    <mergeCell ref="D7:J7"/>
    <mergeCell ref="B3:C3"/>
    <mergeCell ref="F6:L6"/>
    <mergeCell ref="Y6:AJ6"/>
    <mergeCell ref="W7:AJ7"/>
    <mergeCell ref="Q6:U6"/>
    <mergeCell ref="H210:J210"/>
    <mergeCell ref="BA8:BC8"/>
    <mergeCell ref="AL4:BU4"/>
    <mergeCell ref="BE6:BU6"/>
    <mergeCell ref="BA7:BU7"/>
    <mergeCell ref="AL7:AY7"/>
    <mergeCell ref="AL6:AY6"/>
    <mergeCell ref="BA6:BC6"/>
    <mergeCell ref="BE8:BI8"/>
    <mergeCell ref="BN8:BP8"/>
    <mergeCell ref="BJ8:BM8"/>
    <mergeCell ref="AK187:AN187"/>
    <mergeCell ref="AK188:AM188"/>
    <mergeCell ref="AK181:AN181"/>
    <mergeCell ref="AK180:AV180"/>
    <mergeCell ref="AK182:AN182"/>
  </mergeCells>
  <printOptions horizontalCentered="1"/>
  <pageMargins left="0.45" right="0.45" top="0.5" bottom="0.5" header="0.3" footer="0.3"/>
  <pageSetup scale="25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O182"/>
  <sheetViews>
    <sheetView topLeftCell="A127" workbookViewId="0">
      <selection activeCell="AF30" sqref="AF30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5" max="5" width="10" bestFit="1" customWidth="1"/>
    <col min="6" max="6" width="1.33203125" customWidth="1"/>
    <col min="7" max="7" width="10" bestFit="1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1" customWidth="1"/>
    <col min="17" max="17" width="8.21875" customWidth="1"/>
    <col min="18" max="18" width="2.33203125" customWidth="1"/>
    <col min="20" max="20" width="2.44140625" customWidth="1"/>
    <col min="22" max="22" width="2.33203125" customWidth="1"/>
    <col min="23" max="23" width="5.6640625" customWidth="1"/>
    <col min="24" max="24" width="12.5546875" customWidth="1"/>
    <col min="26" max="26" width="1.88671875" customWidth="1"/>
    <col min="27" max="27" width="2.5546875" customWidth="1"/>
    <col min="28" max="28" width="7.6640625" customWidth="1"/>
    <col min="29" max="29" width="2.44140625" customWidth="1"/>
    <col min="30" max="30" width="12" customWidth="1"/>
    <col min="31" max="31" width="1.6640625" customWidth="1"/>
    <col min="32" max="32" width="10" customWidth="1"/>
    <col min="33" max="33" width="1.88671875" customWidth="1"/>
    <col min="35" max="35" width="1.5546875" customWidth="1"/>
    <col min="37" max="37" width="1.88671875" customWidth="1"/>
    <col min="38" max="38" width="8.88671875" customWidth="1"/>
    <col min="40" max="40" width="8.88671875" customWidth="1"/>
    <col min="41" max="41" width="14.6640625" customWidth="1"/>
  </cols>
  <sheetData>
    <row r="1" spans="3:40" ht="15.6" x14ac:dyDescent="0.3">
      <c r="C1" s="166" t="s">
        <v>5</v>
      </c>
      <c r="D1" s="166"/>
      <c r="E1" s="166"/>
    </row>
    <row r="2" spans="3:40" ht="15.6" x14ac:dyDescent="0.3">
      <c r="C2" s="166" t="s">
        <v>6</v>
      </c>
      <c r="D2" s="166"/>
      <c r="E2" s="166"/>
    </row>
    <row r="3" spans="3:40" x14ac:dyDescent="0.3">
      <c r="C3" s="167" t="s">
        <v>13</v>
      </c>
      <c r="D3" s="167"/>
    </row>
    <row r="4" spans="3:40" x14ac:dyDescent="0.3">
      <c r="D4" s="167"/>
      <c r="E4" s="167"/>
    </row>
    <row r="5" spans="3:40" x14ac:dyDescent="0.3">
      <c r="C5" s="123" t="s">
        <v>40</v>
      </c>
      <c r="D5" s="124"/>
      <c r="E5" s="124" t="s">
        <v>42</v>
      </c>
    </row>
    <row r="6" spans="3:40" ht="15" thickBot="1" x14ac:dyDescent="0.35"/>
    <row r="7" spans="3:40" x14ac:dyDescent="0.3">
      <c r="C7" s="58" t="s">
        <v>78</v>
      </c>
      <c r="E7" s="614" t="s">
        <v>7</v>
      </c>
      <c r="F7" s="615"/>
      <c r="G7" s="619">
        <v>0.7</v>
      </c>
      <c r="H7" s="619"/>
      <c r="I7" s="619"/>
      <c r="J7" s="619"/>
      <c r="K7" s="619"/>
      <c r="L7" s="619"/>
      <c r="M7" s="619"/>
      <c r="N7" s="619"/>
      <c r="O7" s="619"/>
      <c r="P7" s="619"/>
      <c r="Q7" s="619"/>
      <c r="R7" s="619"/>
      <c r="S7" s="619"/>
      <c r="T7" s="619"/>
      <c r="U7" s="620"/>
    </row>
    <row r="8" spans="3:40" x14ac:dyDescent="0.3">
      <c r="E8" s="616" t="s">
        <v>123</v>
      </c>
      <c r="F8" s="617"/>
      <c r="G8" s="617"/>
      <c r="H8" s="617"/>
      <c r="I8" s="617"/>
      <c r="J8" s="617"/>
      <c r="K8" s="617"/>
      <c r="L8" s="617"/>
      <c r="M8" s="617"/>
      <c r="N8" s="617"/>
      <c r="O8" s="617"/>
      <c r="P8" s="617"/>
      <c r="Q8" s="617"/>
      <c r="R8" s="617"/>
      <c r="S8" s="617"/>
      <c r="T8" s="617"/>
      <c r="U8" s="618"/>
    </row>
    <row r="9" spans="3:40" x14ac:dyDescent="0.3">
      <c r="E9" s="634" t="s">
        <v>37</v>
      </c>
      <c r="F9" s="635"/>
      <c r="G9" s="635"/>
      <c r="H9" s="635"/>
      <c r="I9" s="635"/>
      <c r="J9" s="635"/>
      <c r="K9" s="635"/>
      <c r="L9" s="635"/>
      <c r="M9" s="635"/>
      <c r="N9" s="635"/>
      <c r="O9" s="635"/>
      <c r="P9" s="636"/>
      <c r="Q9" s="632" t="s">
        <v>116</v>
      </c>
      <c r="R9" s="5"/>
      <c r="S9" s="629" t="s">
        <v>4</v>
      </c>
      <c r="T9" s="630"/>
      <c r="U9" s="631"/>
      <c r="W9" s="58" t="s">
        <v>18</v>
      </c>
    </row>
    <row r="10" spans="3:40" x14ac:dyDescent="0.3">
      <c r="E10" s="282" t="s">
        <v>8</v>
      </c>
      <c r="F10" s="5"/>
      <c r="G10" s="4" t="s">
        <v>51</v>
      </c>
      <c r="H10" s="5"/>
      <c r="I10" s="4" t="s">
        <v>52</v>
      </c>
      <c r="J10" s="5"/>
      <c r="K10" s="4" t="s">
        <v>9</v>
      </c>
      <c r="L10" s="5"/>
      <c r="M10" s="172" t="s">
        <v>79</v>
      </c>
      <c r="N10" s="119"/>
      <c r="O10" s="120" t="s">
        <v>15</v>
      </c>
      <c r="P10" s="371"/>
      <c r="Q10" s="633"/>
      <c r="R10" s="6"/>
      <c r="S10" s="4" t="s">
        <v>4</v>
      </c>
      <c r="T10" s="6"/>
      <c r="U10" s="283" t="s">
        <v>80</v>
      </c>
    </row>
    <row r="11" spans="3:40" x14ac:dyDescent="0.3">
      <c r="C11" s="170">
        <v>43910</v>
      </c>
      <c r="E11" s="284"/>
      <c r="F11" s="7"/>
      <c r="G11" s="7"/>
      <c r="H11" s="7"/>
      <c r="I11" s="7"/>
      <c r="J11" s="7"/>
      <c r="K11" s="7"/>
      <c r="L11" s="6"/>
      <c r="M11" s="28"/>
      <c r="N11" s="28"/>
      <c r="O11" s="28"/>
      <c r="P11" s="28"/>
      <c r="Q11" s="372"/>
      <c r="R11" s="6"/>
      <c r="S11" s="6"/>
      <c r="T11" s="6"/>
      <c r="U11" s="285"/>
      <c r="W11">
        <v>1</v>
      </c>
      <c r="AL11" s="110"/>
      <c r="AM11" s="110"/>
      <c r="AN11" s="110"/>
    </row>
    <row r="12" spans="3:40" ht="15" thickBot="1" x14ac:dyDescent="0.35">
      <c r="C12" s="170">
        <f>+C11+1</f>
        <v>43911</v>
      </c>
      <c r="E12" s="284"/>
      <c r="F12" s="7"/>
      <c r="G12" s="7"/>
      <c r="H12" s="7"/>
      <c r="I12" s="7"/>
      <c r="J12" s="7"/>
      <c r="K12" s="7"/>
      <c r="L12" s="6"/>
      <c r="M12" s="28"/>
      <c r="N12" s="28"/>
      <c r="O12" s="28"/>
      <c r="P12" s="28"/>
      <c r="Q12" s="372"/>
      <c r="R12" s="6"/>
      <c r="S12" s="6"/>
      <c r="T12" s="6"/>
      <c r="U12" s="285"/>
      <c r="W12">
        <f t="shared" ref="W12:W97" si="0">+W11+1</f>
        <v>2</v>
      </c>
      <c r="Z12" s="10"/>
      <c r="AA12" s="10"/>
      <c r="AB12" s="10"/>
      <c r="AC12" s="10"/>
      <c r="AD12" s="10"/>
      <c r="AE12" s="10"/>
      <c r="AF12" s="10"/>
      <c r="AG12" s="61"/>
      <c r="AH12" s="61"/>
      <c r="AI12" s="61"/>
      <c r="AJ12" s="61"/>
      <c r="AK12" s="61"/>
      <c r="AL12" s="110"/>
      <c r="AM12" s="110"/>
      <c r="AN12" s="110"/>
    </row>
    <row r="13" spans="3:40" ht="15" thickBot="1" x14ac:dyDescent="0.35">
      <c r="C13" s="170">
        <f>+C12+1</f>
        <v>43912</v>
      </c>
      <c r="E13" s="284"/>
      <c r="F13" s="7"/>
      <c r="G13" s="7"/>
      <c r="H13" s="7"/>
      <c r="I13" s="7"/>
      <c r="J13" s="7"/>
      <c r="K13" s="7"/>
      <c r="L13" s="6"/>
      <c r="M13" s="28"/>
      <c r="N13" s="28"/>
      <c r="O13" s="28"/>
      <c r="P13" s="28"/>
      <c r="Q13" s="372"/>
      <c r="R13" s="6"/>
      <c r="S13" s="6"/>
      <c r="T13" s="6"/>
      <c r="U13" s="285"/>
      <c r="W13">
        <f t="shared" si="0"/>
        <v>3</v>
      </c>
      <c r="Z13" s="1"/>
      <c r="AA13" s="1"/>
      <c r="AB13" s="1"/>
      <c r="AC13" s="202" t="s">
        <v>60</v>
      </c>
      <c r="AD13" s="203"/>
      <c r="AE13" s="203"/>
      <c r="AF13" s="203"/>
      <c r="AG13" s="203"/>
      <c r="AH13" s="203"/>
      <c r="AI13" s="203"/>
      <c r="AJ13" s="203"/>
      <c r="AK13" s="204"/>
      <c r="AL13" s="154"/>
      <c r="AM13" s="154"/>
      <c r="AN13" s="110"/>
    </row>
    <row r="14" spans="3:40" ht="15" thickBot="1" x14ac:dyDescent="0.35">
      <c r="C14" s="170">
        <f t="shared" ref="C14:C97" si="1">+C13+1</f>
        <v>43913</v>
      </c>
      <c r="E14" s="284"/>
      <c r="F14" s="7"/>
      <c r="G14" s="7"/>
      <c r="H14" s="7"/>
      <c r="I14" s="7"/>
      <c r="J14" s="7"/>
      <c r="K14" s="7"/>
      <c r="L14" s="6"/>
      <c r="M14" s="28"/>
      <c r="N14" s="28"/>
      <c r="O14" s="28"/>
      <c r="P14" s="28"/>
      <c r="Q14" s="372"/>
      <c r="R14" s="6"/>
      <c r="S14" s="6"/>
      <c r="T14" s="6"/>
      <c r="U14" s="285"/>
      <c r="W14">
        <f t="shared" si="0"/>
        <v>4</v>
      </c>
      <c r="Z14" s="1"/>
      <c r="AA14" s="1"/>
      <c r="AB14" s="1"/>
      <c r="AC14" s="205"/>
      <c r="AD14" s="626" t="s">
        <v>48</v>
      </c>
      <c r="AE14" s="627"/>
      <c r="AF14" s="628"/>
      <c r="AG14" s="206"/>
      <c r="AH14" s="624" t="s">
        <v>32</v>
      </c>
      <c r="AI14" s="207"/>
      <c r="AJ14" s="207"/>
      <c r="AK14" s="208"/>
      <c r="AL14" s="110"/>
      <c r="AM14" s="110"/>
      <c r="AN14" s="110"/>
    </row>
    <row r="15" spans="3:40" ht="15" thickBot="1" x14ac:dyDescent="0.35">
      <c r="C15" s="170">
        <f t="shared" si="1"/>
        <v>43914</v>
      </c>
      <c r="E15" s="284"/>
      <c r="F15" s="7"/>
      <c r="G15" s="7"/>
      <c r="H15" s="7"/>
      <c r="I15" s="7"/>
      <c r="J15" s="7"/>
      <c r="K15" s="7"/>
      <c r="L15" s="6"/>
      <c r="M15" s="28"/>
      <c r="N15" s="28"/>
      <c r="O15" s="28"/>
      <c r="P15" s="28"/>
      <c r="Q15" s="372"/>
      <c r="R15" s="6"/>
      <c r="S15" s="6"/>
      <c r="T15" s="6"/>
      <c r="U15" s="285"/>
      <c r="W15">
        <f t="shared" si="0"/>
        <v>5</v>
      </c>
      <c r="Z15" s="1"/>
      <c r="AA15" s="1"/>
      <c r="AB15" s="1"/>
      <c r="AC15" s="189"/>
      <c r="AD15" s="168"/>
      <c r="AE15" s="168"/>
      <c r="AF15" s="209" t="s">
        <v>20</v>
      </c>
      <c r="AG15" s="210"/>
      <c r="AH15" s="625"/>
      <c r="AI15" s="211"/>
      <c r="AJ15" s="212" t="s">
        <v>4</v>
      </c>
      <c r="AK15" s="213"/>
      <c r="AL15" s="110"/>
      <c r="AM15" s="110"/>
      <c r="AN15" s="110"/>
    </row>
    <row r="16" spans="3:40" x14ac:dyDescent="0.3">
      <c r="C16" s="170">
        <f t="shared" si="1"/>
        <v>43915</v>
      </c>
      <c r="E16" s="284"/>
      <c r="F16" s="7"/>
      <c r="G16" s="7"/>
      <c r="H16" s="7"/>
      <c r="I16" s="7"/>
      <c r="J16" s="7"/>
      <c r="K16" s="7"/>
      <c r="L16" s="6"/>
      <c r="M16" s="28"/>
      <c r="N16" s="28"/>
      <c r="O16" s="28"/>
      <c r="P16" s="28"/>
      <c r="Q16" s="372"/>
      <c r="R16" s="6"/>
      <c r="S16" s="6"/>
      <c r="T16" s="6"/>
      <c r="U16" s="285"/>
      <c r="W16">
        <f t="shared" si="0"/>
        <v>6</v>
      </c>
      <c r="Z16" s="1"/>
      <c r="AA16" s="1"/>
      <c r="AB16" s="1"/>
      <c r="AC16" s="189"/>
      <c r="AD16" s="201" t="s">
        <v>39</v>
      </c>
      <c r="AE16" s="168"/>
      <c r="AF16" s="201">
        <f>+K170</f>
        <v>665924</v>
      </c>
      <c r="AG16" s="200"/>
      <c r="AH16" s="214">
        <f>+AJ31</f>
        <v>2064.042764619855</v>
      </c>
      <c r="AI16" s="214"/>
      <c r="AJ16" s="215">
        <f>+S170</f>
        <v>346238</v>
      </c>
      <c r="AK16" s="216"/>
      <c r="AL16" s="110"/>
      <c r="AM16" s="110"/>
      <c r="AN16" s="110"/>
    </row>
    <row r="17" spans="3:41" x14ac:dyDescent="0.3">
      <c r="C17" s="170">
        <f t="shared" si="1"/>
        <v>43916</v>
      </c>
      <c r="E17" s="284"/>
      <c r="F17" s="7"/>
      <c r="G17" s="7"/>
      <c r="H17" s="7"/>
      <c r="I17" s="7"/>
      <c r="J17" s="7"/>
      <c r="K17" s="7"/>
      <c r="L17" s="6"/>
      <c r="M17" s="28"/>
      <c r="N17" s="28"/>
      <c r="O17" s="28"/>
      <c r="P17" s="28"/>
      <c r="Q17" s="372"/>
      <c r="R17" s="6"/>
      <c r="S17" s="6"/>
      <c r="T17" s="6"/>
      <c r="U17" s="285"/>
      <c r="W17">
        <f t="shared" si="0"/>
        <v>7</v>
      </c>
      <c r="Z17" s="61"/>
      <c r="AA17" s="61"/>
      <c r="AB17" s="10"/>
      <c r="AC17" s="189"/>
      <c r="AD17" s="217" t="s">
        <v>58</v>
      </c>
      <c r="AE17" s="168"/>
      <c r="AF17" s="161">
        <v>123841</v>
      </c>
      <c r="AG17" s="201"/>
      <c r="AH17" s="162">
        <v>1797</v>
      </c>
      <c r="AI17" s="214"/>
      <c r="AJ17" s="161">
        <v>8842</v>
      </c>
      <c r="AK17" s="218"/>
      <c r="AL17" s="110"/>
      <c r="AM17" s="90"/>
      <c r="AN17" s="90"/>
    </row>
    <row r="18" spans="3:41" x14ac:dyDescent="0.3">
      <c r="C18" s="170">
        <f t="shared" si="1"/>
        <v>43917</v>
      </c>
      <c r="E18" s="284">
        <v>44870</v>
      </c>
      <c r="F18" s="7"/>
      <c r="G18" s="7">
        <v>8825</v>
      </c>
      <c r="H18" s="7"/>
      <c r="I18" s="7"/>
      <c r="J18" s="7"/>
      <c r="K18" s="7">
        <f t="shared" ref="K18:K29" si="2">SUM(E18:G18)</f>
        <v>53695</v>
      </c>
      <c r="L18" s="6"/>
      <c r="M18" s="29"/>
      <c r="N18" s="29"/>
      <c r="O18" s="29"/>
      <c r="P18" s="29"/>
      <c r="Q18" s="373"/>
      <c r="R18" s="44"/>
      <c r="S18" s="6"/>
      <c r="T18" s="6"/>
      <c r="U18" s="286"/>
      <c r="W18">
        <f t="shared" si="0"/>
        <v>8</v>
      </c>
      <c r="Z18" s="1"/>
      <c r="AA18" s="1"/>
      <c r="AB18" s="1"/>
      <c r="AC18" s="189"/>
      <c r="AD18" s="201" t="s">
        <v>90</v>
      </c>
      <c r="AE18" s="168"/>
      <c r="AF18" s="161">
        <v>130247</v>
      </c>
      <c r="AG18" s="201"/>
      <c r="AH18" s="162">
        <v>1017</v>
      </c>
      <c r="AI18" s="214"/>
      <c r="AJ18" s="161">
        <v>7474</v>
      </c>
      <c r="AK18" s="218"/>
      <c r="AL18" s="110"/>
      <c r="AM18" s="90"/>
      <c r="AN18" s="90"/>
    </row>
    <row r="19" spans="3:41" ht="15" thickBot="1" x14ac:dyDescent="0.35">
      <c r="C19" s="170">
        <f t="shared" si="1"/>
        <v>43918</v>
      </c>
      <c r="E19" s="284">
        <v>52318</v>
      </c>
      <c r="F19" s="7"/>
      <c r="G19" s="7">
        <v>11124</v>
      </c>
      <c r="H19" s="7"/>
      <c r="I19" s="7"/>
      <c r="J19" s="7"/>
      <c r="K19" s="7">
        <f t="shared" si="2"/>
        <v>63442</v>
      </c>
      <c r="L19" s="6"/>
      <c r="M19" s="29">
        <f t="shared" ref="M19:M30" si="3">+(K19-K18)/K18</f>
        <v>0.1815252816835832</v>
      </c>
      <c r="N19" s="29"/>
      <c r="O19" s="29"/>
      <c r="P19" s="29"/>
      <c r="Q19" s="375">
        <f>+K19-K18</f>
        <v>9747</v>
      </c>
      <c r="R19" s="44"/>
      <c r="S19" s="7">
        <f>728+140</f>
        <v>868</v>
      </c>
      <c r="T19" s="6"/>
      <c r="U19" s="286">
        <f>+S19/K19</f>
        <v>1.3681788089908893E-2</v>
      </c>
      <c r="W19">
        <f t="shared" si="0"/>
        <v>9</v>
      </c>
      <c r="Z19" s="1"/>
      <c r="AA19" s="1"/>
      <c r="AB19" s="10"/>
      <c r="AC19" s="189"/>
      <c r="AD19" s="168"/>
      <c r="AE19" s="168"/>
      <c r="AF19" s="219">
        <f>SUM(AF16:AF18)</f>
        <v>920012</v>
      </c>
      <c r="AG19" s="201"/>
      <c r="AH19" s="201"/>
      <c r="AI19" s="201"/>
      <c r="AJ19" s="219">
        <f>SUM(AJ16:AJ18)</f>
        <v>362554</v>
      </c>
      <c r="AK19" s="218"/>
      <c r="AL19" s="110"/>
      <c r="AM19" s="90"/>
      <c r="AN19" s="90"/>
    </row>
    <row r="20" spans="3:41" ht="15" thickTop="1" x14ac:dyDescent="0.3">
      <c r="C20" s="170">
        <f t="shared" si="1"/>
        <v>43919</v>
      </c>
      <c r="E20" s="284">
        <v>59513</v>
      </c>
      <c r="F20" s="7"/>
      <c r="G20" s="7">
        <v>13386</v>
      </c>
      <c r="H20" s="7"/>
      <c r="I20" s="7"/>
      <c r="J20" s="7"/>
      <c r="K20" s="7">
        <f t="shared" si="2"/>
        <v>72899</v>
      </c>
      <c r="L20" s="6"/>
      <c r="M20" s="29">
        <f t="shared" si="3"/>
        <v>0.14906528797957189</v>
      </c>
      <c r="N20" s="29"/>
      <c r="O20" s="29"/>
      <c r="P20" s="29"/>
      <c r="Q20" s="375">
        <f t="shared" ref="Q20:Q61" si="4">+K20-K19</f>
        <v>9457</v>
      </c>
      <c r="R20" s="44"/>
      <c r="S20" s="7">
        <f>965+161</f>
        <v>1126</v>
      </c>
      <c r="T20" s="6"/>
      <c r="U20" s="286">
        <f t="shared" ref="U20:U52" si="5">+S20/K20</f>
        <v>1.5446028066228617E-2</v>
      </c>
      <c r="W20">
        <f t="shared" si="0"/>
        <v>10</v>
      </c>
      <c r="Z20" s="1"/>
      <c r="AA20" s="1"/>
      <c r="AB20" s="1"/>
      <c r="AC20" s="189"/>
      <c r="AD20" s="168"/>
      <c r="AE20" s="168"/>
      <c r="AF20" s="201"/>
      <c r="AG20" s="201"/>
      <c r="AH20" s="201"/>
      <c r="AI20" s="201"/>
      <c r="AJ20" s="201"/>
      <c r="AK20" s="218"/>
      <c r="AL20" s="110"/>
      <c r="AM20" s="90"/>
      <c r="AN20" s="90"/>
    </row>
    <row r="21" spans="3:41" ht="15" thickBot="1" x14ac:dyDescent="0.35">
      <c r="C21" s="170">
        <f t="shared" si="1"/>
        <v>43920</v>
      </c>
      <c r="E21" s="284">
        <v>66467</v>
      </c>
      <c r="F21" s="7"/>
      <c r="G21" s="7">
        <v>16636</v>
      </c>
      <c r="H21" s="7"/>
      <c r="I21" s="7"/>
      <c r="J21" s="7"/>
      <c r="K21" s="7">
        <f t="shared" si="2"/>
        <v>83103</v>
      </c>
      <c r="L21" s="6"/>
      <c r="M21" s="29">
        <f t="shared" si="3"/>
        <v>0.13997448524671122</v>
      </c>
      <c r="N21" s="29"/>
      <c r="O21" s="29"/>
      <c r="P21" s="29"/>
      <c r="Q21" s="375">
        <f t="shared" si="4"/>
        <v>10204</v>
      </c>
      <c r="R21" s="44"/>
      <c r="S21" s="7">
        <f>1218+198</f>
        <v>1416</v>
      </c>
      <c r="T21" s="6"/>
      <c r="U21" s="286">
        <f t="shared" si="5"/>
        <v>1.7039096061514023E-2</v>
      </c>
      <c r="W21">
        <f t="shared" si="0"/>
        <v>11</v>
      </c>
      <c r="Z21" s="1"/>
      <c r="AA21" s="1"/>
      <c r="AB21" s="1"/>
      <c r="AC21" s="189"/>
      <c r="AD21" s="220" t="s">
        <v>29</v>
      </c>
      <c r="AE21" s="168"/>
      <c r="AF21" s="221">
        <f>+AF19/'Main Table'!H167</f>
        <v>0.16291538232288452</v>
      </c>
      <c r="AG21" s="201"/>
      <c r="AH21" s="201"/>
      <c r="AI21" s="201"/>
      <c r="AJ21" s="221">
        <f>+AJ19/'Main Table'!AA167</f>
        <v>2.0716542766860755</v>
      </c>
      <c r="AK21" s="218"/>
      <c r="AL21" s="110"/>
      <c r="AM21" s="96"/>
      <c r="AN21" s="90"/>
    </row>
    <row r="22" spans="3:41" ht="15.6" thickTop="1" thickBot="1" x14ac:dyDescent="0.35">
      <c r="C22" s="170">
        <f t="shared" si="1"/>
        <v>43921</v>
      </c>
      <c r="E22" s="284">
        <v>75795</v>
      </c>
      <c r="F22" s="7"/>
      <c r="G22" s="7">
        <v>18696</v>
      </c>
      <c r="H22" s="7"/>
      <c r="I22" s="7"/>
      <c r="J22" s="7"/>
      <c r="K22" s="7">
        <f t="shared" si="2"/>
        <v>94491</v>
      </c>
      <c r="L22" s="6"/>
      <c r="M22" s="29">
        <f t="shared" si="3"/>
        <v>0.13703476408793908</v>
      </c>
      <c r="N22" s="29"/>
      <c r="O22" s="29"/>
      <c r="P22" s="29"/>
      <c r="Q22" s="375">
        <f t="shared" si="4"/>
        <v>11388</v>
      </c>
      <c r="R22" s="6"/>
      <c r="S22" s="7">
        <f>1550+267</f>
        <v>1817</v>
      </c>
      <c r="T22" s="6"/>
      <c r="U22" s="286">
        <f t="shared" si="5"/>
        <v>1.9229344593665005E-2</v>
      </c>
      <c r="W22">
        <f t="shared" si="0"/>
        <v>12</v>
      </c>
      <c r="Z22" s="1"/>
      <c r="AA22" s="1"/>
      <c r="AB22" s="1"/>
      <c r="AC22" s="194"/>
      <c r="AD22" s="222"/>
      <c r="AE22" s="195"/>
      <c r="AF22" s="223"/>
      <c r="AG22" s="224"/>
      <c r="AH22" s="224"/>
      <c r="AI22" s="224"/>
      <c r="AJ22" s="223"/>
      <c r="AK22" s="225"/>
      <c r="AL22" s="110"/>
      <c r="AM22" s="90"/>
      <c r="AN22" s="90"/>
    </row>
    <row r="23" spans="3:41" x14ac:dyDescent="0.3">
      <c r="C23" s="170">
        <f t="shared" si="1"/>
        <v>43922</v>
      </c>
      <c r="E23" s="284">
        <v>83712</v>
      </c>
      <c r="F23" s="7"/>
      <c r="G23" s="7">
        <v>22255</v>
      </c>
      <c r="H23" s="7"/>
      <c r="I23" s="7"/>
      <c r="J23" s="7"/>
      <c r="K23" s="7">
        <f t="shared" si="2"/>
        <v>105967</v>
      </c>
      <c r="L23" s="6"/>
      <c r="M23" s="29">
        <f t="shared" si="3"/>
        <v>0.12145072017440814</v>
      </c>
      <c r="N23" s="29"/>
      <c r="O23" s="29"/>
      <c r="P23" s="29"/>
      <c r="Q23" s="375">
        <f t="shared" si="4"/>
        <v>11476</v>
      </c>
      <c r="R23" s="6"/>
      <c r="S23" s="7">
        <f>1941+355</f>
        <v>2296</v>
      </c>
      <c r="T23" s="6"/>
      <c r="U23" s="286">
        <f t="shared" si="5"/>
        <v>2.1667122783508075E-2</v>
      </c>
      <c r="W23">
        <f t="shared" si="0"/>
        <v>13</v>
      </c>
      <c r="Z23" s="1"/>
      <c r="AA23" s="1"/>
      <c r="AB23" s="90"/>
      <c r="AC23" s="90"/>
      <c r="AD23" s="95"/>
      <c r="AE23" s="90"/>
      <c r="AF23" s="96"/>
      <c r="AG23" s="90"/>
      <c r="AH23" s="90"/>
      <c r="AI23" s="90"/>
      <c r="AJ23" s="90"/>
      <c r="AK23" s="90"/>
      <c r="AL23" s="96"/>
      <c r="AM23" s="90"/>
      <c r="AN23" s="90"/>
    </row>
    <row r="24" spans="3:41" ht="15" thickBot="1" x14ac:dyDescent="0.35">
      <c r="C24" s="170">
        <f t="shared" si="1"/>
        <v>43923</v>
      </c>
      <c r="E24" s="284">
        <v>92506</v>
      </c>
      <c r="F24" s="7"/>
      <c r="G24" s="7">
        <v>25590</v>
      </c>
      <c r="H24" s="7"/>
      <c r="I24" s="7"/>
      <c r="J24" s="7"/>
      <c r="K24" s="7">
        <f t="shared" si="2"/>
        <v>118096</v>
      </c>
      <c r="L24" s="6"/>
      <c r="M24" s="29">
        <f t="shared" si="3"/>
        <v>0.11446016212594487</v>
      </c>
      <c r="N24" s="29"/>
      <c r="O24" s="29"/>
      <c r="P24" s="29"/>
      <c r="Q24" s="375">
        <f t="shared" si="4"/>
        <v>12129</v>
      </c>
      <c r="R24" s="6"/>
      <c r="S24" s="7">
        <f>2373+537</f>
        <v>2910</v>
      </c>
      <c r="T24" s="6"/>
      <c r="U24" s="286">
        <f t="shared" si="5"/>
        <v>2.4640970058257688E-2</v>
      </c>
      <c r="W24">
        <f t="shared" si="0"/>
        <v>14</v>
      </c>
      <c r="Z24" s="1"/>
      <c r="AA24" s="1"/>
      <c r="AB24" s="90"/>
      <c r="AC24" s="90"/>
      <c r="AD24" s="95"/>
      <c r="AE24" s="90"/>
      <c r="AF24" s="90"/>
      <c r="AG24" s="90"/>
      <c r="AH24" s="90"/>
      <c r="AI24" s="90"/>
      <c r="AJ24" s="90"/>
      <c r="AK24" s="90"/>
      <c r="AL24" s="115"/>
      <c r="AN24" s="90"/>
      <c r="AO24" s="118"/>
    </row>
    <row r="25" spans="3:41" ht="15" thickBot="1" x14ac:dyDescent="0.35">
      <c r="C25" s="170">
        <f t="shared" si="1"/>
        <v>43924</v>
      </c>
      <c r="E25" s="284">
        <v>103060</v>
      </c>
      <c r="F25" s="7"/>
      <c r="G25" s="7">
        <v>29895</v>
      </c>
      <c r="H25" s="7"/>
      <c r="I25" s="7"/>
      <c r="J25" s="7"/>
      <c r="K25" s="7">
        <f t="shared" si="2"/>
        <v>132955</v>
      </c>
      <c r="L25" s="6"/>
      <c r="M25" s="29">
        <f t="shared" si="3"/>
        <v>0.12582136566860858</v>
      </c>
      <c r="N25" s="29"/>
      <c r="O25" s="29"/>
      <c r="P25" s="29"/>
      <c r="Q25" s="375">
        <f t="shared" si="4"/>
        <v>14859</v>
      </c>
      <c r="R25" s="6"/>
      <c r="S25" s="7">
        <f>2935+646</f>
        <v>3581</v>
      </c>
      <c r="T25" s="6"/>
      <c r="U25" s="286">
        <f t="shared" si="5"/>
        <v>2.6933925012222179E-2</v>
      </c>
      <c r="W25">
        <f t="shared" si="0"/>
        <v>15</v>
      </c>
      <c r="Z25" s="1"/>
      <c r="AA25" s="626" t="s">
        <v>133</v>
      </c>
      <c r="AB25" s="627"/>
      <c r="AC25" s="627"/>
      <c r="AD25" s="627"/>
      <c r="AE25" s="627"/>
      <c r="AF25" s="627"/>
      <c r="AG25" s="627"/>
      <c r="AH25" s="627"/>
      <c r="AI25" s="627"/>
      <c r="AJ25" s="627"/>
      <c r="AK25" s="628"/>
      <c r="AL25" s="154"/>
      <c r="AM25" s="154"/>
      <c r="AN25" s="90"/>
      <c r="AO25" s="118"/>
    </row>
    <row r="26" spans="3:41" x14ac:dyDescent="0.3">
      <c r="C26" s="170">
        <f t="shared" si="1"/>
        <v>43925</v>
      </c>
      <c r="E26" s="284">
        <v>113833</v>
      </c>
      <c r="F26" s="7"/>
      <c r="G26" s="7">
        <v>34124</v>
      </c>
      <c r="H26" s="7"/>
      <c r="I26" s="7"/>
      <c r="J26" s="7"/>
      <c r="K26" s="7">
        <f t="shared" si="2"/>
        <v>147957</v>
      </c>
      <c r="L26" s="6"/>
      <c r="M26" s="29">
        <f t="shared" si="3"/>
        <v>0.1128351697942913</v>
      </c>
      <c r="N26" s="29"/>
      <c r="O26" s="29"/>
      <c r="P26" s="29"/>
      <c r="Q26" s="375">
        <f t="shared" si="4"/>
        <v>15002</v>
      </c>
      <c r="R26" s="6"/>
      <c r="S26" s="7">
        <f>3565+846</f>
        <v>4411</v>
      </c>
      <c r="T26" s="6"/>
      <c r="U26" s="286">
        <f t="shared" si="5"/>
        <v>2.9812715856634021E-2</v>
      </c>
      <c r="W26">
        <f t="shared" si="0"/>
        <v>16</v>
      </c>
      <c r="Z26" s="1"/>
      <c r="AA26" s="185"/>
      <c r="AB26" s="186" t="s">
        <v>53</v>
      </c>
      <c r="AC26" s="187"/>
      <c r="AD26" s="186" t="s">
        <v>20</v>
      </c>
      <c r="AE26" s="187"/>
      <c r="AF26" s="186" t="s">
        <v>54</v>
      </c>
      <c r="AG26" s="187"/>
      <c r="AH26" s="186" t="s">
        <v>56</v>
      </c>
      <c r="AI26" s="187"/>
      <c r="AJ26" s="186" t="s">
        <v>55</v>
      </c>
      <c r="AK26" s="188"/>
      <c r="AL26" s="118"/>
      <c r="AM26" s="118"/>
      <c r="AN26" s="96"/>
      <c r="AO26" s="118"/>
    </row>
    <row r="27" spans="3:41" x14ac:dyDescent="0.3">
      <c r="C27" s="170">
        <f t="shared" si="1"/>
        <v>43926</v>
      </c>
      <c r="E27" s="284">
        <v>123160</v>
      </c>
      <c r="F27" s="7"/>
      <c r="G27" s="7">
        <v>37505</v>
      </c>
      <c r="H27" s="7"/>
      <c r="I27" s="7"/>
      <c r="J27" s="7"/>
      <c r="K27" s="7">
        <f t="shared" si="2"/>
        <v>160665</v>
      </c>
      <c r="L27" s="6"/>
      <c r="M27" s="29">
        <f t="shared" si="3"/>
        <v>8.5889819339402665E-2</v>
      </c>
      <c r="N27" s="29"/>
      <c r="O27" s="29"/>
      <c r="P27" s="29"/>
      <c r="Q27" s="375">
        <f t="shared" si="4"/>
        <v>12708</v>
      </c>
      <c r="R27" s="6"/>
      <c r="S27" s="7">
        <f>4150+914</f>
        <v>5064</v>
      </c>
      <c r="T27" s="6"/>
      <c r="U27" s="286">
        <f t="shared" si="5"/>
        <v>3.1518999159742322E-2</v>
      </c>
      <c r="W27">
        <f t="shared" si="0"/>
        <v>17</v>
      </c>
      <c r="Z27" s="1"/>
      <c r="AA27" s="189"/>
      <c r="AB27" s="168" t="s">
        <v>50</v>
      </c>
      <c r="AC27" s="168"/>
      <c r="AD27" s="168">
        <f>+E170</f>
        <v>426571</v>
      </c>
      <c r="AE27" s="168"/>
      <c r="AF27" s="199">
        <v>2193</v>
      </c>
      <c r="AG27" s="168"/>
      <c r="AH27" s="190">
        <f>+AD27/AD$31</f>
        <v>0.5401239609250853</v>
      </c>
      <c r="AI27" s="190"/>
      <c r="AJ27" s="168">
        <f>+AF27*AH27</f>
        <v>1184.491846308712</v>
      </c>
      <c r="AK27" s="191"/>
      <c r="AL27" s="118"/>
      <c r="AM27" s="90"/>
      <c r="AN27" s="90"/>
      <c r="AO27" s="118"/>
    </row>
    <row r="28" spans="3:41" x14ac:dyDescent="0.3">
      <c r="C28" s="170">
        <f t="shared" si="1"/>
        <v>43927</v>
      </c>
      <c r="E28" s="284">
        <v>131560</v>
      </c>
      <c r="F28" s="7"/>
      <c r="G28" s="7">
        <v>41090</v>
      </c>
      <c r="H28" s="7"/>
      <c r="I28" s="7"/>
      <c r="J28" s="7"/>
      <c r="K28" s="7">
        <f t="shared" si="2"/>
        <v>172650</v>
      </c>
      <c r="L28" s="6"/>
      <c r="M28" s="29">
        <f t="shared" si="3"/>
        <v>7.4596209504247973E-2</v>
      </c>
      <c r="N28" s="29"/>
      <c r="O28" s="29"/>
      <c r="P28" s="29"/>
      <c r="Q28" s="375">
        <f t="shared" si="4"/>
        <v>11985</v>
      </c>
      <c r="R28" s="6"/>
      <c r="S28" s="7">
        <f>4758+1003</f>
        <v>5761</v>
      </c>
      <c r="T28" s="6"/>
      <c r="U28" s="286">
        <f t="shared" si="5"/>
        <v>3.3368085722560094E-2</v>
      </c>
      <c r="W28">
        <f t="shared" si="0"/>
        <v>18</v>
      </c>
      <c r="Z28" s="1"/>
      <c r="AA28" s="189"/>
      <c r="AB28" s="168" t="s">
        <v>51</v>
      </c>
      <c r="AC28" s="168"/>
      <c r="AD28" s="168">
        <f>+G170</f>
        <v>188098</v>
      </c>
      <c r="AE28" s="168"/>
      <c r="AF28" s="199">
        <v>2118</v>
      </c>
      <c r="AG28" s="168"/>
      <c r="AH28" s="190">
        <f>+AD28/AD$31</f>
        <v>0.23816958209087513</v>
      </c>
      <c r="AI28" s="190"/>
      <c r="AJ28" s="168">
        <f>+AF28*AH28</f>
        <v>504.44317486847353</v>
      </c>
      <c r="AK28" s="191"/>
      <c r="AL28" s="118"/>
      <c r="AM28" s="90"/>
      <c r="AN28" s="90"/>
      <c r="AO28" s="118"/>
    </row>
    <row r="29" spans="3:41" x14ac:dyDescent="0.3">
      <c r="C29" s="170">
        <f t="shared" si="1"/>
        <v>43928</v>
      </c>
      <c r="E29" s="284">
        <v>139876</v>
      </c>
      <c r="F29" s="7"/>
      <c r="G29" s="7">
        <f>44416</f>
        <v>44416</v>
      </c>
      <c r="H29" s="7"/>
      <c r="I29" s="7"/>
      <c r="J29" s="287" t="s">
        <v>40</v>
      </c>
      <c r="K29" s="7">
        <f t="shared" si="2"/>
        <v>184292</v>
      </c>
      <c r="L29" s="6"/>
      <c r="M29" s="29">
        <f t="shared" si="3"/>
        <v>6.7431219229655379E-2</v>
      </c>
      <c r="N29" s="29"/>
      <c r="O29" s="29"/>
      <c r="P29" s="29"/>
      <c r="Q29" s="375">
        <f t="shared" si="4"/>
        <v>11642</v>
      </c>
      <c r="R29" s="6"/>
      <c r="S29" s="7">
        <f>5489+1232+277</f>
        <v>6998</v>
      </c>
      <c r="T29" s="6"/>
      <c r="U29" s="286">
        <f t="shared" si="5"/>
        <v>3.7972348229982855E-2</v>
      </c>
      <c r="W29">
        <f t="shared" si="0"/>
        <v>19</v>
      </c>
      <c r="Z29" s="1"/>
      <c r="AA29" s="189"/>
      <c r="AB29" s="168" t="s">
        <v>52</v>
      </c>
      <c r="AC29" s="168"/>
      <c r="AD29" s="168">
        <f>+I170</f>
        <v>51255</v>
      </c>
      <c r="AE29" s="168"/>
      <c r="AF29" s="199">
        <v>1438</v>
      </c>
      <c r="AG29" s="168"/>
      <c r="AH29" s="190">
        <f>+AD29/AD$31</f>
        <v>6.4899052249719855E-2</v>
      </c>
      <c r="AI29" s="190"/>
      <c r="AJ29" s="168">
        <f>+AF29*AH29</f>
        <v>93.324837135097155</v>
      </c>
      <c r="AK29" s="191"/>
      <c r="AL29" s="118"/>
      <c r="AM29" s="90"/>
      <c r="AN29" s="90"/>
      <c r="AO29" s="118"/>
    </row>
    <row r="30" spans="3:41" x14ac:dyDescent="0.3">
      <c r="C30" s="170">
        <f t="shared" si="1"/>
        <v>43929</v>
      </c>
      <c r="E30" s="284">
        <v>151069</v>
      </c>
      <c r="F30" s="7"/>
      <c r="G30" s="7">
        <f>47437</f>
        <v>47437</v>
      </c>
      <c r="H30" s="7"/>
      <c r="I30" s="7">
        <v>8781</v>
      </c>
      <c r="J30" s="287"/>
      <c r="K30" s="7">
        <f>SUM(E30:I30)</f>
        <v>207287</v>
      </c>
      <c r="L30" s="6"/>
      <c r="M30" s="29">
        <f t="shared" si="3"/>
        <v>0.12477481388231719</v>
      </c>
      <c r="N30" s="29"/>
      <c r="O30" s="29"/>
      <c r="P30" s="29"/>
      <c r="Q30" s="375">
        <f t="shared" si="4"/>
        <v>22995</v>
      </c>
      <c r="R30" s="6"/>
      <c r="S30" s="7">
        <f>6268+1504+335</f>
        <v>8107</v>
      </c>
      <c r="T30" s="6"/>
      <c r="U30" s="286">
        <f t="shared" si="5"/>
        <v>3.9110026195564605E-2</v>
      </c>
      <c r="W30">
        <f t="shared" si="0"/>
        <v>20</v>
      </c>
      <c r="Z30" s="1"/>
      <c r="AA30" s="185"/>
      <c r="AB30" s="168" t="s">
        <v>105</v>
      </c>
      <c r="AC30" s="280"/>
      <c r="AD30" s="168">
        <f>+AF17</f>
        <v>123841</v>
      </c>
      <c r="AE30" s="280"/>
      <c r="AF30" s="168">
        <f>+AH17</f>
        <v>1797</v>
      </c>
      <c r="AG30" s="280"/>
      <c r="AH30" s="190">
        <f>+AD30/AD$31</f>
        <v>0.1568074047343197</v>
      </c>
      <c r="AI30" s="280"/>
      <c r="AJ30" s="168">
        <f>+AF30*AH30</f>
        <v>281.78290630757249</v>
      </c>
      <c r="AK30" s="191"/>
      <c r="AL30" s="118"/>
      <c r="AM30" s="90"/>
      <c r="AN30" s="90"/>
      <c r="AO30" s="118"/>
    </row>
    <row r="31" spans="3:41" ht="15" thickBot="1" x14ac:dyDescent="0.35">
      <c r="C31" s="170">
        <f t="shared" si="1"/>
        <v>43930</v>
      </c>
      <c r="E31" s="284">
        <v>161790</v>
      </c>
      <c r="F31" s="7"/>
      <c r="G31" s="7">
        <f>51027</f>
        <v>51027</v>
      </c>
      <c r="H31" s="7"/>
      <c r="I31" s="7">
        <v>9784</v>
      </c>
      <c r="J31" s="287"/>
      <c r="K31" s="7">
        <f t="shared" ref="K31:K52" si="6">SUM(E31:I31)</f>
        <v>222601</v>
      </c>
      <c r="L31" s="6"/>
      <c r="M31" s="29">
        <f>+(K31-K30)/K30</f>
        <v>7.3878246103228851E-2</v>
      </c>
      <c r="N31" s="29"/>
      <c r="O31" s="29"/>
      <c r="P31" s="29"/>
      <c r="Q31" s="375">
        <f t="shared" si="4"/>
        <v>15314</v>
      </c>
      <c r="R31" s="6"/>
      <c r="S31" s="7">
        <f>7067+1209+380</f>
        <v>8656</v>
      </c>
      <c r="T31" s="6"/>
      <c r="U31" s="286">
        <f t="shared" si="5"/>
        <v>3.8885719291467696E-2</v>
      </c>
      <c r="W31">
        <f t="shared" si="0"/>
        <v>21</v>
      </c>
      <c r="Z31" s="1"/>
      <c r="AA31" s="189"/>
      <c r="AB31" s="168"/>
      <c r="AC31" s="168"/>
      <c r="AD31" s="192">
        <f>SUM(AD27:AD30)</f>
        <v>789765</v>
      </c>
      <c r="AE31" s="168"/>
      <c r="AF31" s="168"/>
      <c r="AG31" s="168"/>
      <c r="AH31" s="193">
        <f>SUM(AH27:AH30)</f>
        <v>1</v>
      </c>
      <c r="AI31" s="190"/>
      <c r="AJ31" s="192">
        <f>SUM(AJ27:AJ30)</f>
        <v>2064.042764619855</v>
      </c>
      <c r="AK31" s="191"/>
      <c r="AL31" s="118"/>
      <c r="AM31" s="90"/>
      <c r="AN31" s="90"/>
      <c r="AO31" s="118"/>
    </row>
    <row r="32" spans="3:41" ht="15.6" thickTop="1" thickBot="1" x14ac:dyDescent="0.35">
      <c r="C32" s="170">
        <f t="shared" si="1"/>
        <v>43931</v>
      </c>
      <c r="E32" s="284">
        <v>174481</v>
      </c>
      <c r="F32" s="7"/>
      <c r="G32" s="7">
        <f>54588</f>
        <v>54588</v>
      </c>
      <c r="H32" s="7"/>
      <c r="I32" s="7">
        <v>10538</v>
      </c>
      <c r="J32" s="287"/>
      <c r="K32" s="7">
        <f t="shared" si="6"/>
        <v>239607</v>
      </c>
      <c r="L32" s="6"/>
      <c r="M32" s="29">
        <f t="shared" ref="M32:M52" si="7">+(K32-K31)/K31</f>
        <v>7.6396781685616866E-2</v>
      </c>
      <c r="N32" s="29"/>
      <c r="O32" s="29"/>
      <c r="P32" s="29"/>
      <c r="Q32" s="375">
        <f t="shared" si="4"/>
        <v>17006</v>
      </c>
      <c r="R32" s="6"/>
      <c r="S32" s="7">
        <f>7884+1932+448</f>
        <v>10264</v>
      </c>
      <c r="T32" s="6"/>
      <c r="U32" s="286">
        <f t="shared" si="5"/>
        <v>4.2836811946228619E-2</v>
      </c>
      <c r="W32">
        <f t="shared" si="0"/>
        <v>22</v>
      </c>
      <c r="Z32" s="1"/>
      <c r="AA32" s="194"/>
      <c r="AB32" s="195"/>
      <c r="AC32" s="195"/>
      <c r="AD32" s="195"/>
      <c r="AE32" s="195"/>
      <c r="AF32" s="195"/>
      <c r="AG32" s="195"/>
      <c r="AH32" s="196"/>
      <c r="AI32" s="196"/>
      <c r="AJ32" s="197"/>
      <c r="AK32" s="198"/>
      <c r="AL32" s="118"/>
      <c r="AM32" s="90"/>
      <c r="AN32" s="90"/>
      <c r="AO32" s="118"/>
    </row>
    <row r="33" spans="3:40" x14ac:dyDescent="0.3">
      <c r="C33" s="170">
        <f t="shared" si="1"/>
        <v>43932</v>
      </c>
      <c r="E33" s="284">
        <v>181825</v>
      </c>
      <c r="F33" s="7"/>
      <c r="G33" s="7">
        <f>58151</f>
        <v>58151</v>
      </c>
      <c r="H33" s="7"/>
      <c r="I33" s="7">
        <v>11510</v>
      </c>
      <c r="J33" s="287"/>
      <c r="K33" s="7">
        <f t="shared" si="6"/>
        <v>251486</v>
      </c>
      <c r="L33" s="6"/>
      <c r="M33" s="29">
        <f t="shared" si="7"/>
        <v>4.9577015696536414E-2</v>
      </c>
      <c r="N33" s="29"/>
      <c r="O33" s="29"/>
      <c r="P33" s="29"/>
      <c r="Q33" s="375">
        <f t="shared" si="4"/>
        <v>11879</v>
      </c>
      <c r="R33" s="6"/>
      <c r="S33" s="7">
        <f>8650+2183+494</f>
        <v>11327</v>
      </c>
      <c r="T33" s="6"/>
      <c r="U33" s="286">
        <f t="shared" si="5"/>
        <v>4.5040280572278379E-2</v>
      </c>
      <c r="W33">
        <f t="shared" si="0"/>
        <v>23</v>
      </c>
    </row>
    <row r="34" spans="3:40" x14ac:dyDescent="0.3">
      <c r="C34" s="170">
        <f t="shared" si="1"/>
        <v>43933</v>
      </c>
      <c r="E34" s="284">
        <v>189033</v>
      </c>
      <c r="F34" s="7"/>
      <c r="G34" s="7">
        <f>61850</f>
        <v>61850</v>
      </c>
      <c r="H34" s="7"/>
      <c r="I34" s="7">
        <v>12035</v>
      </c>
      <c r="J34" s="287"/>
      <c r="K34" s="7">
        <f t="shared" si="6"/>
        <v>262918</v>
      </c>
      <c r="L34" s="6"/>
      <c r="M34" s="29">
        <f t="shared" si="7"/>
        <v>4.5457798843673208E-2</v>
      </c>
      <c r="N34" s="29"/>
      <c r="O34" s="29"/>
      <c r="P34" s="29"/>
      <c r="Q34" s="375">
        <f t="shared" si="4"/>
        <v>11432</v>
      </c>
      <c r="R34" s="6"/>
      <c r="S34" s="7">
        <f>9385+2350+554</f>
        <v>12289</v>
      </c>
      <c r="T34" s="6"/>
      <c r="U34" s="286">
        <f t="shared" si="5"/>
        <v>4.674080892141276E-2</v>
      </c>
      <c r="W34">
        <f t="shared" si="0"/>
        <v>24</v>
      </c>
    </row>
    <row r="35" spans="3:40" ht="15" thickBot="1" x14ac:dyDescent="0.35">
      <c r="C35" s="170">
        <f t="shared" si="1"/>
        <v>43934</v>
      </c>
      <c r="E35" s="284">
        <v>195749</v>
      </c>
      <c r="F35" s="7"/>
      <c r="G35" s="7">
        <f>64584</f>
        <v>64584</v>
      </c>
      <c r="H35" s="7"/>
      <c r="I35" s="7">
        <v>13381</v>
      </c>
      <c r="J35" s="287"/>
      <c r="K35" s="7">
        <f t="shared" si="6"/>
        <v>273714</v>
      </c>
      <c r="L35" s="6"/>
      <c r="M35" s="29">
        <f t="shared" si="7"/>
        <v>4.1062232330992932E-2</v>
      </c>
      <c r="N35" s="29"/>
      <c r="O35" s="29"/>
      <c r="P35" s="29"/>
      <c r="Q35" s="375">
        <f t="shared" si="4"/>
        <v>10796</v>
      </c>
      <c r="R35" s="6"/>
      <c r="S35" s="7">
        <f>10058+2443+602</f>
        <v>13103</v>
      </c>
      <c r="T35" s="6"/>
      <c r="U35" s="286">
        <f t="shared" si="5"/>
        <v>4.7871135564859668E-2</v>
      </c>
      <c r="W35">
        <f t="shared" si="0"/>
        <v>25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0"/>
      <c r="AK35" s="90"/>
      <c r="AL35" s="90"/>
      <c r="AM35" s="90"/>
      <c r="AN35" s="90"/>
    </row>
    <row r="36" spans="3:40" ht="15" thickBot="1" x14ac:dyDescent="0.35">
      <c r="C36" s="170">
        <f t="shared" si="1"/>
        <v>43935</v>
      </c>
      <c r="E36" s="284">
        <v>203020</v>
      </c>
      <c r="F36" s="7"/>
      <c r="G36" s="7">
        <f>68824</f>
        <v>68824</v>
      </c>
      <c r="H36" s="7"/>
      <c r="I36" s="7">
        <v>13989</v>
      </c>
      <c r="J36" s="287"/>
      <c r="K36" s="7">
        <f t="shared" si="6"/>
        <v>285833</v>
      </c>
      <c r="L36" s="6"/>
      <c r="M36" s="29">
        <f t="shared" si="7"/>
        <v>4.4276142250670406E-2</v>
      </c>
      <c r="N36" s="29"/>
      <c r="O36" s="29"/>
      <c r="P36" s="29"/>
      <c r="Q36" s="375">
        <f t="shared" si="4"/>
        <v>12119</v>
      </c>
      <c r="R36" s="6"/>
      <c r="S36" s="7">
        <f>10842+2805+671+3778</f>
        <v>18096</v>
      </c>
      <c r="T36" s="6"/>
      <c r="U36" s="286">
        <f t="shared" si="5"/>
        <v>6.3309694821801543E-2</v>
      </c>
      <c r="W36">
        <f t="shared" si="0"/>
        <v>26</v>
      </c>
      <c r="Z36" s="1"/>
      <c r="AA36" s="621" t="s">
        <v>31</v>
      </c>
      <c r="AB36" s="622"/>
      <c r="AC36" s="622"/>
      <c r="AD36" s="622"/>
      <c r="AE36" s="622"/>
      <c r="AF36" s="622"/>
      <c r="AG36" s="622"/>
      <c r="AH36" s="622"/>
      <c r="AI36" s="623"/>
      <c r="AJ36" s="154"/>
      <c r="AK36" s="154"/>
      <c r="AL36" s="154"/>
      <c r="AM36" s="95"/>
      <c r="AN36" s="95"/>
    </row>
    <row r="37" spans="3:40" x14ac:dyDescent="0.3">
      <c r="C37" s="170">
        <f t="shared" si="1"/>
        <v>43936</v>
      </c>
      <c r="E37" s="284">
        <v>214639</v>
      </c>
      <c r="F37" s="7"/>
      <c r="G37" s="7">
        <f>71030</f>
        <v>71030</v>
      </c>
      <c r="H37" s="7"/>
      <c r="I37" s="7">
        <v>14755</v>
      </c>
      <c r="J37" s="287"/>
      <c r="K37" s="7">
        <f t="shared" si="6"/>
        <v>300424</v>
      </c>
      <c r="L37" s="6"/>
      <c r="M37" s="29">
        <f t="shared" si="7"/>
        <v>5.1047289851066879E-2</v>
      </c>
      <c r="N37" s="29"/>
      <c r="O37" s="29"/>
      <c r="P37" s="29"/>
      <c r="Q37" s="375">
        <f t="shared" si="4"/>
        <v>14591</v>
      </c>
      <c r="R37" s="6"/>
      <c r="S37" s="7">
        <f>11620+3156+868-145</f>
        <v>15499</v>
      </c>
      <c r="T37" s="6"/>
      <c r="U37" s="286">
        <f t="shared" si="5"/>
        <v>5.1590418874657151E-2</v>
      </c>
      <c r="W37">
        <f t="shared" si="0"/>
        <v>27</v>
      </c>
      <c r="Z37" s="1"/>
      <c r="AA37" s="91"/>
      <c r="AB37" s="102"/>
      <c r="AC37" s="102"/>
      <c r="AD37" s="102"/>
      <c r="AE37" s="102"/>
      <c r="AF37" s="176" t="s">
        <v>30</v>
      </c>
      <c r="AG37" s="164"/>
      <c r="AH37" s="99" t="s">
        <v>34</v>
      </c>
      <c r="AI37" s="111"/>
      <c r="AJ37" s="109"/>
      <c r="AK37" s="109"/>
      <c r="AL37" s="110"/>
      <c r="AM37" s="107"/>
      <c r="AN37" s="107"/>
    </row>
    <row r="38" spans="3:40" x14ac:dyDescent="0.3">
      <c r="C38" s="170">
        <f t="shared" si="1"/>
        <v>43937</v>
      </c>
      <c r="E38" s="284">
        <v>223691</v>
      </c>
      <c r="F38" s="7"/>
      <c r="G38" s="7">
        <f>75317</f>
        <v>75317</v>
      </c>
      <c r="H38" s="7"/>
      <c r="I38" s="7">
        <v>15884</v>
      </c>
      <c r="J38" s="287"/>
      <c r="K38" s="7">
        <f t="shared" si="6"/>
        <v>314892</v>
      </c>
      <c r="L38" s="6"/>
      <c r="M38" s="29">
        <f t="shared" si="7"/>
        <v>4.8158602508454718E-2</v>
      </c>
      <c r="N38" s="29"/>
      <c r="O38" s="29"/>
      <c r="P38" s="29"/>
      <c r="Q38" s="375">
        <f t="shared" si="4"/>
        <v>14468</v>
      </c>
      <c r="R38" s="6"/>
      <c r="S38" s="7">
        <f>14832+3518+446</f>
        <v>18796</v>
      </c>
      <c r="T38" s="6"/>
      <c r="U38" s="286">
        <f t="shared" si="5"/>
        <v>5.9690306517790226E-2</v>
      </c>
      <c r="W38">
        <f t="shared" si="0"/>
        <v>28</v>
      </c>
      <c r="Z38" s="1"/>
      <c r="AA38" s="91"/>
      <c r="AB38" s="102" t="s">
        <v>38</v>
      </c>
      <c r="AC38" s="102"/>
      <c r="AD38" s="102"/>
      <c r="AE38" s="102"/>
      <c r="AF38" s="165">
        <v>20100000</v>
      </c>
      <c r="AG38" s="164"/>
      <c r="AH38" s="100">
        <f>+AF38/AF$43</f>
        <v>6.0909090909090906E-2</v>
      </c>
      <c r="AI38" s="111"/>
      <c r="AJ38" s="109"/>
      <c r="AK38" s="109"/>
      <c r="AL38" s="110"/>
      <c r="AM38" s="108"/>
      <c r="AN38" s="108"/>
    </row>
    <row r="39" spans="3:40" x14ac:dyDescent="0.3">
      <c r="C39" s="170">
        <f t="shared" si="1"/>
        <v>43938</v>
      </c>
      <c r="E39" s="284">
        <v>230597</v>
      </c>
      <c r="F39" s="7"/>
      <c r="G39" s="7">
        <f>78467</f>
        <v>78467</v>
      </c>
      <c r="H39" s="7"/>
      <c r="I39" s="7">
        <v>16809</v>
      </c>
      <c r="J39" s="287"/>
      <c r="K39" s="7">
        <f t="shared" si="6"/>
        <v>325873</v>
      </c>
      <c r="L39" s="6"/>
      <c r="M39" s="29">
        <f t="shared" si="7"/>
        <v>3.4872273668432353E-2</v>
      </c>
      <c r="N39" s="29"/>
      <c r="O39" s="29"/>
      <c r="P39" s="29"/>
      <c r="Q39" s="375">
        <f t="shared" si="4"/>
        <v>10981</v>
      </c>
      <c r="R39" s="6"/>
      <c r="S39" s="7">
        <f>17131+3840+1036</f>
        <v>22007</v>
      </c>
      <c r="T39" s="6"/>
      <c r="U39" s="286">
        <f t="shared" si="5"/>
        <v>6.7532443620674315E-2</v>
      </c>
      <c r="W39">
        <f t="shared" si="0"/>
        <v>29</v>
      </c>
      <c r="Z39" s="75"/>
      <c r="AA39" s="91"/>
      <c r="AB39" s="102" t="s">
        <v>58</v>
      </c>
      <c r="AC39" s="102"/>
      <c r="AD39" s="102"/>
      <c r="AE39" s="102"/>
      <c r="AF39" s="164">
        <v>4900000</v>
      </c>
      <c r="AG39" s="164"/>
      <c r="AH39" s="100">
        <f>+AF39/AF$43</f>
        <v>1.4848484848484849E-2</v>
      </c>
      <c r="AI39" s="177"/>
      <c r="AJ39" s="175"/>
      <c r="AK39" s="175"/>
      <c r="AL39" s="110"/>
      <c r="AM39" s="108"/>
      <c r="AN39" s="108"/>
    </row>
    <row r="40" spans="3:40" x14ac:dyDescent="0.3">
      <c r="C40" s="332">
        <f t="shared" si="1"/>
        <v>43939</v>
      </c>
      <c r="D40" s="110"/>
      <c r="E40" s="284">
        <v>238767</v>
      </c>
      <c r="F40" s="7"/>
      <c r="G40" s="7">
        <f>81420</f>
        <v>81420</v>
      </c>
      <c r="H40" s="7"/>
      <c r="I40" s="7">
        <v>17550</v>
      </c>
      <c r="J40" s="287"/>
      <c r="K40" s="7">
        <f t="shared" si="6"/>
        <v>337737</v>
      </c>
      <c r="L40" s="6"/>
      <c r="M40" s="29">
        <f t="shared" si="7"/>
        <v>3.6406821062192937E-2</v>
      </c>
      <c r="N40" s="29"/>
      <c r="O40" s="29"/>
      <c r="P40" s="29"/>
      <c r="Q40" s="375">
        <f t="shared" si="4"/>
        <v>11864</v>
      </c>
      <c r="R40" s="6"/>
      <c r="S40" s="7">
        <f>17671+4070+1086</f>
        <v>22827</v>
      </c>
      <c r="T40" s="6"/>
      <c r="U40" s="286">
        <f t="shared" si="5"/>
        <v>6.7588093694205847E-2</v>
      </c>
      <c r="V40" s="110"/>
      <c r="W40" s="110">
        <f t="shared" si="0"/>
        <v>30</v>
      </c>
      <c r="Z40" s="75"/>
      <c r="AA40" s="91"/>
      <c r="AB40" s="102" t="s">
        <v>91</v>
      </c>
      <c r="AC40" s="102"/>
      <c r="AD40" s="102"/>
      <c r="AE40" s="102"/>
      <c r="AF40" s="164">
        <v>6000000</v>
      </c>
      <c r="AG40" s="164"/>
      <c r="AH40" s="100">
        <f>+AF40/AF$43</f>
        <v>1.8181818181818181E-2</v>
      </c>
      <c r="AI40" s="111"/>
      <c r="AJ40" s="109"/>
      <c r="AK40" s="109"/>
      <c r="AL40" s="110"/>
      <c r="AM40" s="108"/>
      <c r="AN40" s="108"/>
    </row>
    <row r="41" spans="3:40" ht="15" thickBot="1" x14ac:dyDescent="0.35">
      <c r="C41" s="170">
        <f t="shared" si="1"/>
        <v>43940</v>
      </c>
      <c r="E41" s="284">
        <v>242570</v>
      </c>
      <c r="F41" s="7"/>
      <c r="G41" s="7">
        <f>85301</f>
        <v>85301</v>
      </c>
      <c r="H41" s="7"/>
      <c r="I41" s="7">
        <v>17550</v>
      </c>
      <c r="J41" s="287"/>
      <c r="K41" s="7">
        <f t="shared" si="6"/>
        <v>345421</v>
      </c>
      <c r="L41" s="6"/>
      <c r="M41" s="29">
        <f t="shared" si="7"/>
        <v>2.2751430847079236E-2</v>
      </c>
      <c r="N41" s="29"/>
      <c r="O41" s="29"/>
      <c r="P41" s="29"/>
      <c r="Q41" s="375">
        <f t="shared" si="4"/>
        <v>7684</v>
      </c>
      <c r="R41" s="6"/>
      <c r="S41" s="7">
        <f>17428+4362+1086</f>
        <v>22876</v>
      </c>
      <c r="T41" s="6"/>
      <c r="U41" s="286">
        <f t="shared" si="5"/>
        <v>6.6226430935003952E-2</v>
      </c>
      <c r="W41">
        <f t="shared" si="0"/>
        <v>31</v>
      </c>
      <c r="Z41" s="75"/>
      <c r="AA41" s="91"/>
      <c r="AB41" s="164" t="s">
        <v>33</v>
      </c>
      <c r="AC41" s="164"/>
      <c r="AD41" s="164"/>
      <c r="AE41" s="164"/>
      <c r="AF41" s="163">
        <f>SUM(AF38:AG40)</f>
        <v>31000000</v>
      </c>
      <c r="AG41" s="164"/>
      <c r="AH41" s="101">
        <f>+AF41/AF43</f>
        <v>9.3939393939393934E-2</v>
      </c>
      <c r="AI41" s="111"/>
      <c r="AJ41" s="109"/>
      <c r="AK41" s="109"/>
      <c r="AL41" s="110"/>
      <c r="AM41" s="108"/>
      <c r="AN41" s="108"/>
    </row>
    <row r="42" spans="3:40" ht="15" thickTop="1" x14ac:dyDescent="0.3">
      <c r="C42" s="170">
        <f t="shared" si="1"/>
        <v>43941</v>
      </c>
      <c r="E42" s="284">
        <v>253060</v>
      </c>
      <c r="F42" s="7"/>
      <c r="G42" s="7">
        <f>88722</f>
        <v>88722</v>
      </c>
      <c r="H42" s="7"/>
      <c r="I42" s="7">
        <v>19815</v>
      </c>
      <c r="J42" s="287"/>
      <c r="K42" s="7">
        <f t="shared" si="6"/>
        <v>361597</v>
      </c>
      <c r="L42" s="6"/>
      <c r="M42" s="29">
        <f t="shared" si="7"/>
        <v>4.6829810578974645E-2</v>
      </c>
      <c r="N42" s="29"/>
      <c r="O42" s="29"/>
      <c r="P42" s="29"/>
      <c r="Q42" s="375">
        <f t="shared" si="4"/>
        <v>16176</v>
      </c>
      <c r="R42" s="6"/>
      <c r="S42" s="7">
        <f>18611+4496+1331</f>
        <v>24438</v>
      </c>
      <c r="T42" s="6"/>
      <c r="U42" s="286">
        <f t="shared" si="5"/>
        <v>6.7583525305796227E-2</v>
      </c>
      <c r="W42">
        <f t="shared" si="0"/>
        <v>32</v>
      </c>
      <c r="Z42" s="1"/>
      <c r="AA42" s="91"/>
      <c r="AB42" s="102"/>
      <c r="AC42" s="102"/>
      <c r="AD42" s="102"/>
      <c r="AE42" s="102"/>
      <c r="AF42" s="102"/>
      <c r="AG42" s="102"/>
      <c r="AH42" s="102"/>
      <c r="AI42" s="111"/>
      <c r="AJ42" s="109"/>
      <c r="AK42" s="109"/>
      <c r="AL42" s="110"/>
      <c r="AM42" s="109"/>
      <c r="AN42" s="109"/>
    </row>
    <row r="43" spans="3:40" ht="15" thickBot="1" x14ac:dyDescent="0.35">
      <c r="C43" s="171">
        <f t="shared" si="1"/>
        <v>43942</v>
      </c>
      <c r="E43" s="284">
        <v>258361</v>
      </c>
      <c r="F43" s="7"/>
      <c r="G43" s="7">
        <f>92387</f>
        <v>92387</v>
      </c>
      <c r="H43" s="7"/>
      <c r="I43" s="7">
        <v>20360</v>
      </c>
      <c r="J43" s="287"/>
      <c r="K43" s="7">
        <f t="shared" si="6"/>
        <v>371108</v>
      </c>
      <c r="L43" s="6"/>
      <c r="M43" s="29">
        <f t="shared" si="7"/>
        <v>2.6302762467608969E-2</v>
      </c>
      <c r="N43" s="29"/>
      <c r="O43" s="29"/>
      <c r="P43" s="29"/>
      <c r="Q43" s="375">
        <f t="shared" si="4"/>
        <v>9511</v>
      </c>
      <c r="R43" s="6"/>
      <c r="S43" s="7">
        <f>18821+4520+1423</f>
        <v>24764</v>
      </c>
      <c r="T43" s="6"/>
      <c r="U43" s="286">
        <f t="shared" si="5"/>
        <v>6.672990072970672E-2</v>
      </c>
      <c r="W43">
        <f t="shared" si="0"/>
        <v>33</v>
      </c>
      <c r="Z43" s="1"/>
      <c r="AA43" s="91"/>
      <c r="AB43" s="102" t="s">
        <v>41</v>
      </c>
      <c r="AC43" s="102"/>
      <c r="AD43" s="102"/>
      <c r="AE43" s="102"/>
      <c r="AF43" s="163">
        <v>330000000</v>
      </c>
      <c r="AG43" s="164"/>
      <c r="AH43" s="173"/>
      <c r="AI43" s="111"/>
      <c r="AJ43" s="109"/>
      <c r="AK43" s="109"/>
      <c r="AL43" s="109"/>
      <c r="AM43" s="109"/>
      <c r="AN43" s="109"/>
    </row>
    <row r="44" spans="3:40" ht="15.6" thickTop="1" thickBot="1" x14ac:dyDescent="0.35">
      <c r="C44" s="171">
        <f t="shared" si="1"/>
        <v>43943</v>
      </c>
      <c r="E44" s="284">
        <v>263292</v>
      </c>
      <c r="F44" s="7"/>
      <c r="G44" s="7">
        <f>95418</f>
        <v>95418</v>
      </c>
      <c r="H44" s="7"/>
      <c r="I44" s="7">
        <v>22469</v>
      </c>
      <c r="J44" s="287"/>
      <c r="K44" s="7">
        <f t="shared" si="6"/>
        <v>381179</v>
      </c>
      <c r="L44" s="6"/>
      <c r="M44" s="29">
        <f t="shared" si="7"/>
        <v>2.7137652650980306E-2</v>
      </c>
      <c r="N44" s="29"/>
      <c r="O44" s="29"/>
      <c r="P44" s="29"/>
      <c r="Q44" s="375">
        <f t="shared" si="4"/>
        <v>10071</v>
      </c>
      <c r="R44" s="6"/>
      <c r="S44" s="7">
        <f>19413+5129+1544</f>
        <v>26086</v>
      </c>
      <c r="T44" s="6"/>
      <c r="U44" s="286">
        <f t="shared" si="5"/>
        <v>6.8435039705755041E-2</v>
      </c>
      <c r="W44">
        <f t="shared" si="0"/>
        <v>34</v>
      </c>
      <c r="Z44" s="1"/>
      <c r="AA44" s="92"/>
      <c r="AB44" s="103"/>
      <c r="AC44" s="103"/>
      <c r="AD44" s="103"/>
      <c r="AE44" s="103"/>
      <c r="AF44" s="103"/>
      <c r="AG44" s="103"/>
      <c r="AH44" s="178"/>
      <c r="AI44" s="112"/>
      <c r="AJ44" s="109"/>
      <c r="AK44" s="109"/>
      <c r="AL44" s="109"/>
      <c r="AM44" s="109"/>
      <c r="AN44" s="109"/>
    </row>
    <row r="45" spans="3:40" x14ac:dyDescent="0.3">
      <c r="C45" s="171">
        <f t="shared" si="1"/>
        <v>43944</v>
      </c>
      <c r="E45" s="284">
        <v>271145</v>
      </c>
      <c r="F45" s="7"/>
      <c r="G45" s="7">
        <f>99989</f>
        <v>99989</v>
      </c>
      <c r="H45" s="7"/>
      <c r="I45" s="7">
        <v>23128</v>
      </c>
      <c r="J45" s="287"/>
      <c r="K45" s="7">
        <f t="shared" si="6"/>
        <v>394262</v>
      </c>
      <c r="L45" s="6"/>
      <c r="M45" s="29">
        <f t="shared" si="7"/>
        <v>3.4322457428137436E-2</v>
      </c>
      <c r="N45" s="29"/>
      <c r="O45" s="29"/>
      <c r="P45" s="29"/>
      <c r="Q45" s="375">
        <f t="shared" si="4"/>
        <v>13083</v>
      </c>
      <c r="R45" s="6"/>
      <c r="S45" s="7">
        <f>20971+5426+1637</f>
        <v>28034</v>
      </c>
      <c r="T45" s="6"/>
      <c r="U45" s="286">
        <f t="shared" si="5"/>
        <v>7.110500124282837E-2</v>
      </c>
      <c r="W45">
        <f t="shared" si="0"/>
        <v>35</v>
      </c>
      <c r="AG45" s="118"/>
      <c r="AJ45" s="110"/>
      <c r="AK45" s="110"/>
      <c r="AL45" s="110"/>
      <c r="AM45" s="110"/>
      <c r="AN45" s="110"/>
    </row>
    <row r="46" spans="3:40" x14ac:dyDescent="0.3">
      <c r="C46" s="171">
        <f t="shared" si="1"/>
        <v>43945</v>
      </c>
      <c r="E46" s="284">
        <v>271590</v>
      </c>
      <c r="F46" s="7"/>
      <c r="G46" s="7">
        <f>100025</f>
        <v>100025</v>
      </c>
      <c r="H46" s="7"/>
      <c r="I46" s="7">
        <v>23936</v>
      </c>
      <c r="J46" s="287"/>
      <c r="K46" s="7">
        <f t="shared" si="6"/>
        <v>395551</v>
      </c>
      <c r="L46" s="6"/>
      <c r="M46" s="474">
        <f t="shared" si="7"/>
        <v>3.2693995363489254E-3</v>
      </c>
      <c r="N46" s="29"/>
      <c r="O46" s="29"/>
      <c r="P46" s="29"/>
      <c r="Q46" s="375">
        <f t="shared" si="4"/>
        <v>1289</v>
      </c>
      <c r="R46" s="6"/>
      <c r="S46" s="7">
        <f>21349+5426+1767</f>
        <v>28542</v>
      </c>
      <c r="T46" s="6"/>
      <c r="U46" s="286">
        <f t="shared" si="5"/>
        <v>7.2157572601257491E-2</v>
      </c>
      <c r="W46">
        <f t="shared" si="0"/>
        <v>36</v>
      </c>
      <c r="AJ46" s="110"/>
      <c r="AK46" s="110"/>
      <c r="AL46" s="110"/>
      <c r="AM46" s="110"/>
      <c r="AN46" s="110"/>
    </row>
    <row r="47" spans="3:40" x14ac:dyDescent="0.3">
      <c r="C47" s="171">
        <f t="shared" si="1"/>
        <v>43946</v>
      </c>
      <c r="E47" s="284">
        <v>282143</v>
      </c>
      <c r="F47" s="7"/>
      <c r="G47" s="7">
        <f>105498</f>
        <v>105498</v>
      </c>
      <c r="H47" s="7"/>
      <c r="I47" s="7">
        <v>24583</v>
      </c>
      <c r="J47" s="287"/>
      <c r="K47" s="7">
        <f t="shared" si="6"/>
        <v>412224</v>
      </c>
      <c r="L47" s="6"/>
      <c r="M47" s="29">
        <f t="shared" si="7"/>
        <v>4.2151328147318548E-2</v>
      </c>
      <c r="N47" s="29"/>
      <c r="O47" s="29"/>
      <c r="P47" s="29"/>
      <c r="Q47" s="375">
        <f t="shared" si="4"/>
        <v>16673</v>
      </c>
      <c r="R47" s="6"/>
      <c r="S47" s="7">
        <f>22009+5914+1865</f>
        <v>29788</v>
      </c>
      <c r="T47" s="6"/>
      <c r="U47" s="286">
        <f t="shared" si="5"/>
        <v>7.2261682968483149E-2</v>
      </c>
      <c r="W47">
        <f t="shared" si="0"/>
        <v>37</v>
      </c>
    </row>
    <row r="48" spans="3:40" x14ac:dyDescent="0.3">
      <c r="C48" s="171">
        <f t="shared" si="1"/>
        <v>43947</v>
      </c>
      <c r="E48" s="284">
        <v>288045</v>
      </c>
      <c r="F48" s="7"/>
      <c r="G48" s="7">
        <f>109038</f>
        <v>109038</v>
      </c>
      <c r="H48" s="7"/>
      <c r="I48" s="7">
        <v>25269</v>
      </c>
      <c r="J48" s="287"/>
      <c r="K48" s="7">
        <f t="shared" si="6"/>
        <v>422352</v>
      </c>
      <c r="L48" s="6"/>
      <c r="M48" s="29">
        <f t="shared" si="7"/>
        <v>2.456916627852818E-2</v>
      </c>
      <c r="N48" s="29"/>
      <c r="O48" s="29"/>
      <c r="P48" s="29"/>
      <c r="Q48" s="375">
        <f t="shared" si="4"/>
        <v>10128</v>
      </c>
      <c r="R48" s="6"/>
      <c r="S48" s="7">
        <f>22269+5938+1924</f>
        <v>30131</v>
      </c>
      <c r="T48" s="6"/>
      <c r="U48" s="286">
        <f t="shared" si="5"/>
        <v>7.134096677652764E-2</v>
      </c>
      <c r="W48">
        <f t="shared" si="0"/>
        <v>38</v>
      </c>
      <c r="AF48" s="56"/>
    </row>
    <row r="49" spans="3:36" x14ac:dyDescent="0.3">
      <c r="C49" s="171">
        <f t="shared" si="1"/>
        <v>43948</v>
      </c>
      <c r="E49" s="284">
        <v>291996</v>
      </c>
      <c r="F49" s="7"/>
      <c r="G49" s="7">
        <f>111188</f>
        <v>111188</v>
      </c>
      <c r="H49" s="7"/>
      <c r="I49" s="7">
        <v>25269</v>
      </c>
      <c r="J49" s="287"/>
      <c r="K49" s="7">
        <f t="shared" si="6"/>
        <v>428453</v>
      </c>
      <c r="L49" s="6"/>
      <c r="M49" s="29">
        <f t="shared" si="7"/>
        <v>1.4445296814031897E-2</v>
      </c>
      <c r="N49" s="29"/>
      <c r="O49" s="29"/>
      <c r="P49" s="29"/>
      <c r="Q49" s="375">
        <f t="shared" si="4"/>
        <v>6101</v>
      </c>
      <c r="R49" s="6"/>
      <c r="S49" s="7">
        <f>22668+6044+1924</f>
        <v>30636</v>
      </c>
      <c r="T49" s="6"/>
      <c r="U49" s="286">
        <f t="shared" si="5"/>
        <v>7.1503758872034973E-2</v>
      </c>
      <c r="W49">
        <f t="shared" si="0"/>
        <v>39</v>
      </c>
      <c r="AD49" s="1">
        <f>+'Main Table'!AA167</f>
        <v>175007</v>
      </c>
      <c r="AJ49" s="56">
        <f>+AJ19</f>
        <v>362554</v>
      </c>
    </row>
    <row r="50" spans="3:36" x14ac:dyDescent="0.3">
      <c r="C50" s="171">
        <f t="shared" si="1"/>
        <v>43949</v>
      </c>
      <c r="E50" s="284">
        <v>295106</v>
      </c>
      <c r="F50" s="7"/>
      <c r="G50" s="7">
        <f>113856</f>
        <v>113856</v>
      </c>
      <c r="H50" s="7"/>
      <c r="I50" s="7">
        <v>26312</v>
      </c>
      <c r="J50" s="287"/>
      <c r="K50" s="7">
        <f t="shared" si="6"/>
        <v>435274</v>
      </c>
      <c r="L50" s="6"/>
      <c r="M50" s="29">
        <f t="shared" si="7"/>
        <v>1.5920065911546891E-2</v>
      </c>
      <c r="N50" s="29"/>
      <c r="O50" s="29"/>
      <c r="P50" s="29"/>
      <c r="Q50" s="375">
        <f t="shared" si="4"/>
        <v>6821</v>
      </c>
      <c r="R50" s="6"/>
      <c r="S50" s="7">
        <f>22912+6442+2087</f>
        <v>31441</v>
      </c>
      <c r="T50" s="6"/>
      <c r="U50" s="286">
        <f t="shared" si="5"/>
        <v>7.223266264467898E-2</v>
      </c>
      <c r="W50">
        <f t="shared" si="0"/>
        <v>40</v>
      </c>
      <c r="AD50" s="56">
        <f>+AJ19</f>
        <v>362554</v>
      </c>
      <c r="AF50" s="273"/>
    </row>
    <row r="51" spans="3:36" x14ac:dyDescent="0.3">
      <c r="C51" s="170">
        <f t="shared" si="1"/>
        <v>43950</v>
      </c>
      <c r="E51" s="284">
        <v>299691</v>
      </c>
      <c r="F51" s="7"/>
      <c r="G51" s="7">
        <f>116365</f>
        <v>116365</v>
      </c>
      <c r="H51" s="7"/>
      <c r="I51" s="7">
        <v>26751</v>
      </c>
      <c r="J51" s="287"/>
      <c r="K51" s="7">
        <f t="shared" si="6"/>
        <v>442807</v>
      </c>
      <c r="L51" s="6"/>
      <c r="M51" s="29">
        <f t="shared" si="7"/>
        <v>1.7306340374109181E-2</v>
      </c>
      <c r="N51" s="29"/>
      <c r="O51" s="29"/>
      <c r="P51" s="29"/>
      <c r="Q51" s="375">
        <f t="shared" si="4"/>
        <v>7533</v>
      </c>
      <c r="R51" s="6"/>
      <c r="S51" s="7">
        <f>23477+6711+2169</f>
        <v>32357</v>
      </c>
      <c r="T51" s="6"/>
      <c r="U51" s="286">
        <f t="shared" si="5"/>
        <v>7.3072467237419461E-2</v>
      </c>
      <c r="W51">
        <f t="shared" si="0"/>
        <v>41</v>
      </c>
      <c r="AD51" s="56">
        <f>+AD49-AD50</f>
        <v>-187547</v>
      </c>
    </row>
    <row r="52" spans="3:36" x14ac:dyDescent="0.3">
      <c r="C52" s="170">
        <f t="shared" si="1"/>
        <v>43951</v>
      </c>
      <c r="E52" s="284">
        <v>304372</v>
      </c>
      <c r="F52" s="7"/>
      <c r="G52" s="7">
        <v>118652</v>
      </c>
      <c r="H52" s="7"/>
      <c r="I52" s="7">
        <v>27700</v>
      </c>
      <c r="J52" s="287"/>
      <c r="K52" s="7">
        <f t="shared" si="6"/>
        <v>450724</v>
      </c>
      <c r="L52" s="6"/>
      <c r="M52" s="29">
        <f t="shared" si="7"/>
        <v>1.7879121152104643E-2</v>
      </c>
      <c r="N52" s="29"/>
      <c r="O52" s="29"/>
      <c r="P52" s="29"/>
      <c r="Q52" s="375">
        <f t="shared" si="4"/>
        <v>7917</v>
      </c>
      <c r="R52" s="6"/>
      <c r="S52" s="7">
        <f>23545+7228+2257</f>
        <v>33030</v>
      </c>
      <c r="T52" s="6"/>
      <c r="U52" s="286">
        <f t="shared" si="5"/>
        <v>7.3282097247983249E-2</v>
      </c>
      <c r="W52">
        <f t="shared" si="0"/>
        <v>42</v>
      </c>
      <c r="AD52">
        <v>0.42</v>
      </c>
    </row>
    <row r="53" spans="3:36" x14ac:dyDescent="0.3">
      <c r="C53" s="170">
        <f t="shared" si="1"/>
        <v>43952</v>
      </c>
      <c r="E53" s="284">
        <v>308314</v>
      </c>
      <c r="F53" s="7"/>
      <c r="G53" s="7">
        <v>121190</v>
      </c>
      <c r="H53" s="7"/>
      <c r="I53" s="7">
        <v>28855</v>
      </c>
      <c r="J53" s="287"/>
      <c r="K53" s="7">
        <f t="shared" ref="K53:K65" si="8">SUM(E53:I53)</f>
        <v>458359</v>
      </c>
      <c r="L53" s="6"/>
      <c r="M53" s="29">
        <f t="shared" ref="M53:M65" si="9">+(K53-K52)/K52</f>
        <v>1.6939413033253164E-2</v>
      </c>
      <c r="N53" s="29"/>
      <c r="O53" s="29"/>
      <c r="P53" s="29"/>
      <c r="Q53" s="375">
        <f t="shared" si="4"/>
        <v>7635</v>
      </c>
      <c r="R53" s="6"/>
      <c r="S53" s="7">
        <f>23981+7538+2341</f>
        <v>33860</v>
      </c>
      <c r="T53" s="6"/>
      <c r="U53" s="286">
        <f t="shared" ref="U53:U65" si="10">+S53/K53</f>
        <v>7.3872226791663304E-2</v>
      </c>
      <c r="W53">
        <f t="shared" si="0"/>
        <v>43</v>
      </c>
      <c r="AD53" s="1">
        <f>+AD51*AD52</f>
        <v>-78769.739999999991</v>
      </c>
    </row>
    <row r="54" spans="3:36" x14ac:dyDescent="0.3">
      <c r="C54" s="170">
        <f t="shared" si="1"/>
        <v>43953</v>
      </c>
      <c r="E54" s="284">
        <v>312977</v>
      </c>
      <c r="F54" s="7"/>
      <c r="G54" s="7">
        <v>123717</v>
      </c>
      <c r="H54" s="7"/>
      <c r="I54" s="7">
        <v>29346</v>
      </c>
      <c r="J54" s="287"/>
      <c r="K54" s="7">
        <f t="shared" si="8"/>
        <v>466040</v>
      </c>
      <c r="L54" s="6"/>
      <c r="M54" s="29">
        <f t="shared" si="9"/>
        <v>1.6757607028551856E-2</v>
      </c>
      <c r="N54" s="29"/>
      <c r="O54" s="29"/>
      <c r="P54" s="29"/>
      <c r="Q54" s="375">
        <f t="shared" si="4"/>
        <v>7681</v>
      </c>
      <c r="R54" s="6"/>
      <c r="S54" s="7">
        <f>24198+7742+2437</f>
        <v>34377</v>
      </c>
      <c r="T54" s="6"/>
      <c r="U54" s="286">
        <f t="shared" si="10"/>
        <v>7.3764054587589042E-2</v>
      </c>
      <c r="W54">
        <f t="shared" si="0"/>
        <v>44</v>
      </c>
    </row>
    <row r="55" spans="3:36" x14ac:dyDescent="0.3">
      <c r="C55" s="170">
        <f t="shared" si="1"/>
        <v>43954</v>
      </c>
      <c r="E55" s="284">
        <v>316415</v>
      </c>
      <c r="F55" s="7"/>
      <c r="G55" s="7">
        <v>126744</v>
      </c>
      <c r="H55" s="7"/>
      <c r="I55" s="7">
        <v>29087</v>
      </c>
      <c r="J55" s="287"/>
      <c r="K55" s="7">
        <f t="shared" si="8"/>
        <v>472246</v>
      </c>
      <c r="L55" s="6"/>
      <c r="M55" s="29">
        <f t="shared" si="9"/>
        <v>1.3316453523302721E-2</v>
      </c>
      <c r="N55" s="29"/>
      <c r="O55" s="29"/>
      <c r="P55" s="29"/>
      <c r="Q55" s="375">
        <f t="shared" si="4"/>
        <v>6206</v>
      </c>
      <c r="R55" s="6"/>
      <c r="S55" s="7">
        <f>24708+7871+2436</f>
        <v>35015</v>
      </c>
      <c r="T55" s="6"/>
      <c r="U55" s="286">
        <f t="shared" si="10"/>
        <v>7.4145678311727359E-2</v>
      </c>
      <c r="W55">
        <f t="shared" si="0"/>
        <v>45</v>
      </c>
      <c r="AD55" s="56">
        <f>+AD51-AD53</f>
        <v>-108777.26000000001</v>
      </c>
    </row>
    <row r="56" spans="3:36" x14ac:dyDescent="0.3">
      <c r="C56" s="171">
        <f t="shared" si="1"/>
        <v>43955</v>
      </c>
      <c r="E56" s="284">
        <v>318953</v>
      </c>
      <c r="F56" s="7"/>
      <c r="G56" s="7">
        <v>128269</v>
      </c>
      <c r="H56" s="7"/>
      <c r="I56" s="7">
        <v>29973</v>
      </c>
      <c r="J56" s="287"/>
      <c r="K56" s="7">
        <f t="shared" si="8"/>
        <v>477195</v>
      </c>
      <c r="L56" s="6"/>
      <c r="M56" s="29">
        <f t="shared" si="9"/>
        <v>1.0479707610016813E-2</v>
      </c>
      <c r="N56" s="29"/>
      <c r="O56" s="29"/>
      <c r="P56" s="29"/>
      <c r="Q56" s="375">
        <f t="shared" si="4"/>
        <v>4949</v>
      </c>
      <c r="R56" s="6"/>
      <c r="S56" s="7">
        <f>24999+7910+2556</f>
        <v>35465</v>
      </c>
      <c r="T56" s="6"/>
      <c r="U56" s="286">
        <f t="shared" si="10"/>
        <v>7.4319722545290706E-2</v>
      </c>
      <c r="W56">
        <f t="shared" si="0"/>
        <v>46</v>
      </c>
    </row>
    <row r="57" spans="3:36" x14ac:dyDescent="0.3">
      <c r="C57" s="171">
        <f t="shared" si="1"/>
        <v>43956</v>
      </c>
      <c r="E57" s="284">
        <v>321192</v>
      </c>
      <c r="F57" s="7"/>
      <c r="G57" s="7">
        <v>130593</v>
      </c>
      <c r="H57" s="7"/>
      <c r="I57" s="7">
        <v>30621</v>
      </c>
      <c r="J57" s="287"/>
      <c r="K57" s="7">
        <f t="shared" si="8"/>
        <v>482406</v>
      </c>
      <c r="L57" s="6"/>
      <c r="M57" s="29">
        <f t="shared" si="9"/>
        <v>1.0920064124728884E-2</v>
      </c>
      <c r="N57" s="29"/>
      <c r="O57" s="29"/>
      <c r="P57" s="29"/>
      <c r="Q57" s="375">
        <f t="shared" si="4"/>
        <v>5211</v>
      </c>
      <c r="R57" s="6"/>
      <c r="S57" s="7">
        <f>25124+8244+2633</f>
        <v>36001</v>
      </c>
      <c r="T57" s="6"/>
      <c r="U57" s="286">
        <f t="shared" si="10"/>
        <v>7.4628010431047706E-2</v>
      </c>
      <c r="W57">
        <f t="shared" si="0"/>
        <v>47</v>
      </c>
      <c r="AD57" s="273">
        <f>+AD55/AD49</f>
        <v>-0.62155948047792375</v>
      </c>
    </row>
    <row r="58" spans="3:36" x14ac:dyDescent="0.3">
      <c r="C58" s="171">
        <f t="shared" si="1"/>
        <v>43957</v>
      </c>
      <c r="E58" s="284">
        <v>323978</v>
      </c>
      <c r="F58" s="7"/>
      <c r="G58" s="7">
        <v>131890</v>
      </c>
      <c r="H58" s="7"/>
      <c r="I58" s="7">
        <v>30995</v>
      </c>
      <c r="J58" s="287"/>
      <c r="K58" s="7">
        <f t="shared" si="8"/>
        <v>486863</v>
      </c>
      <c r="L58" s="6"/>
      <c r="M58" s="29">
        <f t="shared" si="9"/>
        <v>9.2391056495980568E-3</v>
      </c>
      <c r="N58" s="29"/>
      <c r="O58" s="29"/>
      <c r="P58" s="29"/>
      <c r="Q58" s="375">
        <f t="shared" si="4"/>
        <v>4457</v>
      </c>
      <c r="R58" s="6"/>
      <c r="S58" s="7">
        <f>25346+8549+2718</f>
        <v>36613</v>
      </c>
      <c r="T58" s="6"/>
      <c r="U58" s="286">
        <f t="shared" si="10"/>
        <v>7.5201853498828214E-2</v>
      </c>
      <c r="W58">
        <f t="shared" si="0"/>
        <v>48</v>
      </c>
    </row>
    <row r="59" spans="3:36" x14ac:dyDescent="0.3">
      <c r="C59" s="171">
        <f t="shared" si="1"/>
        <v>43958</v>
      </c>
      <c r="E59" s="284">
        <v>327469</v>
      </c>
      <c r="F59" s="7"/>
      <c r="G59" s="7">
        <v>133991</v>
      </c>
      <c r="H59" s="7"/>
      <c r="I59" s="7">
        <v>31784</v>
      </c>
      <c r="J59" s="287"/>
      <c r="K59" s="7">
        <f t="shared" si="8"/>
        <v>493244</v>
      </c>
      <c r="L59" s="6"/>
      <c r="M59" s="29">
        <f t="shared" si="9"/>
        <v>1.310635640827091E-2</v>
      </c>
      <c r="N59" s="29"/>
      <c r="O59" s="29"/>
      <c r="P59" s="29"/>
      <c r="Q59" s="375">
        <f t="shared" si="4"/>
        <v>6381</v>
      </c>
      <c r="R59" s="6"/>
      <c r="S59" s="7">
        <f>26144+8807+2797</f>
        <v>37748</v>
      </c>
      <c r="T59" s="6"/>
      <c r="U59" s="286">
        <f t="shared" si="10"/>
        <v>7.6530074364817416E-2</v>
      </c>
      <c r="W59">
        <f t="shared" si="0"/>
        <v>49</v>
      </c>
    </row>
    <row r="60" spans="3:36" x14ac:dyDescent="0.3">
      <c r="C60" s="171">
        <f t="shared" si="1"/>
        <v>43959</v>
      </c>
      <c r="E60" s="284">
        <v>330407</v>
      </c>
      <c r="F60" s="7"/>
      <c r="G60" s="7">
        <v>135840</v>
      </c>
      <c r="H60" s="7"/>
      <c r="I60" s="7">
        <v>32411</v>
      </c>
      <c r="J60" s="287"/>
      <c r="K60" s="7">
        <f t="shared" si="8"/>
        <v>498658</v>
      </c>
      <c r="L60" s="6"/>
      <c r="M60" s="29">
        <f t="shared" si="9"/>
        <v>1.0976311926754304E-2</v>
      </c>
      <c r="N60" s="29"/>
      <c r="O60" s="29"/>
      <c r="P60" s="29"/>
      <c r="Q60" s="375">
        <f t="shared" si="4"/>
        <v>5414</v>
      </c>
      <c r="R60" s="6"/>
      <c r="S60" s="7">
        <f>26243+8960+2874</f>
        <v>38077</v>
      </c>
      <c r="T60" s="6"/>
      <c r="U60" s="286">
        <f t="shared" si="10"/>
        <v>7.6358947414861489E-2</v>
      </c>
      <c r="W60">
        <f t="shared" si="0"/>
        <v>50</v>
      </c>
    </row>
    <row r="61" spans="3:36" x14ac:dyDescent="0.3">
      <c r="C61" s="171">
        <f t="shared" si="1"/>
        <v>43960</v>
      </c>
      <c r="E61" s="284">
        <v>333122</v>
      </c>
      <c r="F61" s="7"/>
      <c r="G61" s="7">
        <v>137397</v>
      </c>
      <c r="H61" s="7"/>
      <c r="I61" s="7">
        <v>32984</v>
      </c>
      <c r="J61" s="287"/>
      <c r="K61" s="7">
        <f t="shared" si="8"/>
        <v>503503</v>
      </c>
      <c r="L61" s="6"/>
      <c r="M61" s="29">
        <f t="shared" si="9"/>
        <v>9.7160779532264596E-3</v>
      </c>
      <c r="N61" s="29"/>
      <c r="O61" s="29"/>
      <c r="P61" s="29"/>
      <c r="Q61" s="375">
        <f t="shared" si="4"/>
        <v>4845</v>
      </c>
      <c r="R61" s="6"/>
      <c r="S61" s="7">
        <f>26563+9116+2932</f>
        <v>38611</v>
      </c>
      <c r="T61" s="6"/>
      <c r="U61" s="286">
        <f t="shared" si="10"/>
        <v>7.6684746664865952E-2</v>
      </c>
      <c r="W61">
        <f t="shared" si="0"/>
        <v>51</v>
      </c>
    </row>
    <row r="62" spans="3:36" x14ac:dyDescent="0.3">
      <c r="C62" s="171">
        <f t="shared" si="1"/>
        <v>43961</v>
      </c>
      <c r="E62" s="284">
        <v>335395</v>
      </c>
      <c r="F62" s="7"/>
      <c r="G62" s="7">
        <v>138754</v>
      </c>
      <c r="H62" s="7"/>
      <c r="I62" s="7">
        <v>33554</v>
      </c>
      <c r="J62" s="287"/>
      <c r="K62" s="7">
        <f t="shared" si="8"/>
        <v>507703</v>
      </c>
      <c r="L62" s="6"/>
      <c r="M62" s="29">
        <f t="shared" si="9"/>
        <v>8.3415590373840873E-3</v>
      </c>
      <c r="N62" s="29"/>
      <c r="O62" s="29"/>
      <c r="P62" s="29"/>
      <c r="Q62" s="375">
        <f t="shared" ref="Q62:Q97" si="11">+K62-K61</f>
        <v>4200</v>
      </c>
      <c r="R62" s="6"/>
      <c r="S62" s="7">
        <f>26641+9256+2967</f>
        <v>38864</v>
      </c>
      <c r="T62" s="6"/>
      <c r="U62" s="286">
        <f t="shared" si="10"/>
        <v>7.6548690868480193E-2</v>
      </c>
      <c r="W62">
        <f t="shared" si="0"/>
        <v>52</v>
      </c>
    </row>
    <row r="63" spans="3:36" x14ac:dyDescent="0.3">
      <c r="C63" s="171">
        <f t="shared" si="1"/>
        <v>43962</v>
      </c>
      <c r="E63" s="284">
        <v>337055</v>
      </c>
      <c r="F63" s="7"/>
      <c r="G63" s="7">
        <v>140206</v>
      </c>
      <c r="H63" s="7"/>
      <c r="I63" s="7">
        <v>33765</v>
      </c>
      <c r="J63" s="287"/>
      <c r="K63" s="7">
        <f t="shared" si="8"/>
        <v>511026</v>
      </c>
      <c r="L63" s="6"/>
      <c r="M63" s="29">
        <f t="shared" si="9"/>
        <v>6.5451651851574644E-3</v>
      </c>
      <c r="N63" s="29"/>
      <c r="O63" s="29"/>
      <c r="P63" s="29"/>
      <c r="Q63" s="375">
        <f t="shared" si="11"/>
        <v>3323</v>
      </c>
      <c r="R63" s="6"/>
      <c r="S63" s="7">
        <f>26721+9340+3008</f>
        <v>39069</v>
      </c>
      <c r="T63" s="6"/>
      <c r="U63" s="286">
        <f t="shared" si="10"/>
        <v>7.6452078759202069E-2</v>
      </c>
      <c r="W63">
        <f t="shared" si="0"/>
        <v>53</v>
      </c>
    </row>
    <row r="64" spans="3:36" x14ac:dyDescent="0.3">
      <c r="C64" s="170">
        <f t="shared" si="1"/>
        <v>43963</v>
      </c>
      <c r="E64" s="284">
        <v>338485</v>
      </c>
      <c r="F64" s="7"/>
      <c r="G64" s="7">
        <v>140917</v>
      </c>
      <c r="H64" s="7"/>
      <c r="I64" s="7">
        <v>34333</v>
      </c>
      <c r="J64" s="287"/>
      <c r="K64" s="7">
        <f t="shared" si="8"/>
        <v>513735</v>
      </c>
      <c r="L64" s="6"/>
      <c r="M64" s="29">
        <f t="shared" si="9"/>
        <v>5.3011001397189183E-3</v>
      </c>
      <c r="N64" s="29"/>
      <c r="O64" s="29"/>
      <c r="P64" s="29"/>
      <c r="Q64" s="375">
        <f t="shared" si="11"/>
        <v>2709</v>
      </c>
      <c r="R64" s="6"/>
      <c r="S64" s="7">
        <f>27284+9531+3041</f>
        <v>39856</v>
      </c>
      <c r="T64" s="6"/>
      <c r="U64" s="286">
        <f t="shared" si="10"/>
        <v>7.7580853942207553E-2</v>
      </c>
      <c r="W64">
        <f t="shared" si="0"/>
        <v>54</v>
      </c>
    </row>
    <row r="65" spans="3:23" x14ac:dyDescent="0.3">
      <c r="C65" s="170">
        <f t="shared" si="1"/>
        <v>43964</v>
      </c>
      <c r="E65" s="284">
        <v>340661</v>
      </c>
      <c r="F65" s="7"/>
      <c r="G65" s="7">
        <v>141560</v>
      </c>
      <c r="H65" s="7"/>
      <c r="I65" s="7">
        <v>34895</v>
      </c>
      <c r="J65" s="287"/>
      <c r="K65" s="7">
        <f t="shared" si="8"/>
        <v>517116</v>
      </c>
      <c r="L65" s="6"/>
      <c r="M65" s="29">
        <f t="shared" si="9"/>
        <v>6.5812140500452572E-3</v>
      </c>
      <c r="N65" s="29"/>
      <c r="O65" s="29"/>
      <c r="P65" s="29"/>
      <c r="Q65" s="375">
        <f t="shared" si="11"/>
        <v>3381</v>
      </c>
      <c r="R65" s="6"/>
      <c r="S65" s="7">
        <f>27477+9714+3125</f>
        <v>40316</v>
      </c>
      <c r="T65" s="6"/>
      <c r="U65" s="286">
        <f t="shared" si="10"/>
        <v>7.7963164937847607E-2</v>
      </c>
      <c r="W65">
        <f t="shared" si="0"/>
        <v>55</v>
      </c>
    </row>
    <row r="66" spans="3:23" x14ac:dyDescent="0.3">
      <c r="C66" s="170">
        <f t="shared" si="1"/>
        <v>43965</v>
      </c>
      <c r="E66" s="284">
        <v>343051</v>
      </c>
      <c r="F66" s="7"/>
      <c r="G66" s="7">
        <v>142704</v>
      </c>
      <c r="H66" s="7"/>
      <c r="I66" s="7">
        <v>35464</v>
      </c>
      <c r="J66" s="287"/>
      <c r="K66" s="7">
        <f t="shared" ref="K66:K97" si="12">SUM(E66:I66)</f>
        <v>521219</v>
      </c>
      <c r="L66" s="6"/>
      <c r="M66" s="29">
        <f t="shared" ref="M66:M97" si="13">+(K66-K65)/K65</f>
        <v>7.9343899627936487E-3</v>
      </c>
      <c r="N66" s="29"/>
      <c r="O66" s="29"/>
      <c r="P66" s="29"/>
      <c r="Q66" s="375">
        <f t="shared" si="11"/>
        <v>4103</v>
      </c>
      <c r="R66" s="6"/>
      <c r="S66" s="7">
        <f>27607+9946+3219</f>
        <v>40772</v>
      </c>
      <c r="T66" s="6"/>
      <c r="U66" s="286">
        <f t="shared" ref="U66:U97" si="14">+S66/K66</f>
        <v>7.8224316458149076E-2</v>
      </c>
      <c r="W66">
        <f t="shared" si="0"/>
        <v>56</v>
      </c>
    </row>
    <row r="67" spans="3:23" x14ac:dyDescent="0.3">
      <c r="C67" s="170">
        <f t="shared" si="1"/>
        <v>43966</v>
      </c>
      <c r="E67" s="284">
        <v>345813</v>
      </c>
      <c r="F67" s="7"/>
      <c r="G67" s="7">
        <v>143984</v>
      </c>
      <c r="H67" s="7"/>
      <c r="I67" s="7">
        <v>36805</v>
      </c>
      <c r="J67" s="287"/>
      <c r="K67" s="7">
        <f t="shared" si="12"/>
        <v>526602</v>
      </c>
      <c r="L67" s="6"/>
      <c r="M67" s="29">
        <f t="shared" si="13"/>
        <v>1.032771253542177E-2</v>
      </c>
      <c r="N67" s="29"/>
      <c r="O67" s="29"/>
      <c r="P67" s="29"/>
      <c r="Q67" s="375">
        <f t="shared" si="11"/>
        <v>5383</v>
      </c>
      <c r="R67" s="6"/>
      <c r="S67" s="7">
        <f>27607+9946+3219</f>
        <v>40772</v>
      </c>
      <c r="T67" s="6"/>
      <c r="U67" s="286">
        <f t="shared" si="14"/>
        <v>7.7424696450070454E-2</v>
      </c>
      <c r="W67">
        <f t="shared" si="0"/>
        <v>57</v>
      </c>
    </row>
    <row r="68" spans="3:23" x14ac:dyDescent="0.3">
      <c r="C68" s="170">
        <f t="shared" si="1"/>
        <v>43967</v>
      </c>
      <c r="E68" s="284">
        <v>348232</v>
      </c>
      <c r="F68" s="7"/>
      <c r="G68" s="7">
        <v>145089</v>
      </c>
      <c r="H68" s="7"/>
      <c r="I68" s="7">
        <v>36703</v>
      </c>
      <c r="J68" s="287"/>
      <c r="K68" s="7">
        <f t="shared" si="12"/>
        <v>530024</v>
      </c>
      <c r="L68" s="6"/>
      <c r="M68" s="29">
        <f t="shared" si="13"/>
        <v>6.4982662428171561E-3</v>
      </c>
      <c r="N68" s="29"/>
      <c r="O68" s="29"/>
      <c r="P68" s="29"/>
      <c r="Q68" s="375">
        <f t="shared" si="11"/>
        <v>3422</v>
      </c>
      <c r="R68" s="6"/>
      <c r="S68" s="7">
        <f>28049+10261+3339</f>
        <v>41649</v>
      </c>
      <c r="T68" s="6"/>
      <c r="U68" s="286">
        <f t="shared" si="14"/>
        <v>7.8579460552729685E-2</v>
      </c>
      <c r="W68">
        <f t="shared" si="0"/>
        <v>58</v>
      </c>
    </row>
    <row r="69" spans="3:23" x14ac:dyDescent="0.3">
      <c r="C69" s="170">
        <f t="shared" si="1"/>
        <v>43968</v>
      </c>
      <c r="E69" s="284">
        <v>350121</v>
      </c>
      <c r="F69" s="7"/>
      <c r="G69" s="7">
        <v>146504</v>
      </c>
      <c r="H69" s="7"/>
      <c r="I69" s="7">
        <v>37419</v>
      </c>
      <c r="J69" s="287"/>
      <c r="K69" s="7">
        <f t="shared" si="12"/>
        <v>534044</v>
      </c>
      <c r="L69" s="6"/>
      <c r="M69" s="29">
        <f t="shared" si="13"/>
        <v>7.5845622085037659E-3</v>
      </c>
      <c r="N69" s="29"/>
      <c r="O69" s="29"/>
      <c r="P69" s="29"/>
      <c r="Q69" s="375">
        <f t="shared" si="11"/>
        <v>4020</v>
      </c>
      <c r="R69" s="6"/>
      <c r="S69" s="7">
        <f>28232+10363+3408</f>
        <v>42003</v>
      </c>
      <c r="T69" s="6"/>
      <c r="U69" s="286">
        <f t="shared" si="14"/>
        <v>7.8650822778647447E-2</v>
      </c>
      <c r="W69">
        <f t="shared" si="0"/>
        <v>59</v>
      </c>
    </row>
    <row r="70" spans="3:23" x14ac:dyDescent="0.3">
      <c r="C70" s="170">
        <f t="shared" si="1"/>
        <v>43969</v>
      </c>
      <c r="E70" s="284">
        <v>351371</v>
      </c>
      <c r="F70" s="7"/>
      <c r="G70" s="7">
        <v>148240</v>
      </c>
      <c r="H70" s="7"/>
      <c r="I70" s="7">
        <v>38116</v>
      </c>
      <c r="J70" s="287"/>
      <c r="K70" s="7">
        <f t="shared" si="12"/>
        <v>537727</v>
      </c>
      <c r="L70" s="6"/>
      <c r="M70" s="29">
        <f t="shared" si="13"/>
        <v>6.8964354996966541E-3</v>
      </c>
      <c r="N70" s="29"/>
      <c r="O70" s="29"/>
      <c r="P70" s="29"/>
      <c r="Q70" s="375">
        <f t="shared" si="11"/>
        <v>3683</v>
      </c>
      <c r="R70" s="6"/>
      <c r="S70" s="7">
        <f>28339+10439+5862</f>
        <v>44640</v>
      </c>
      <c r="T70" s="6"/>
      <c r="U70" s="286">
        <f t="shared" si="14"/>
        <v>8.3016102966747066E-2</v>
      </c>
      <c r="W70">
        <f t="shared" si="0"/>
        <v>60</v>
      </c>
    </row>
    <row r="71" spans="3:23" x14ac:dyDescent="0.3">
      <c r="C71" s="170">
        <f t="shared" si="1"/>
        <v>43970</v>
      </c>
      <c r="E71" s="284">
        <v>352845</v>
      </c>
      <c r="F71" s="7"/>
      <c r="G71" s="7">
        <v>149356</v>
      </c>
      <c r="H71" s="7"/>
      <c r="I71" s="7">
        <v>38430</v>
      </c>
      <c r="J71" s="287"/>
      <c r="K71" s="7">
        <f t="shared" si="12"/>
        <v>540631</v>
      </c>
      <c r="L71" s="6"/>
      <c r="M71" s="29">
        <f t="shared" si="13"/>
        <v>5.4005099241808572E-3</v>
      </c>
      <c r="N71" s="29"/>
      <c r="O71" s="29"/>
      <c r="P71" s="29"/>
      <c r="Q71" s="375">
        <f t="shared" si="11"/>
        <v>2904</v>
      </c>
      <c r="R71" s="6"/>
      <c r="S71" s="7">
        <f>28558+10587+3472</f>
        <v>42617</v>
      </c>
      <c r="T71" s="6"/>
      <c r="U71" s="286">
        <f t="shared" si="14"/>
        <v>7.8828258091008463E-2</v>
      </c>
      <c r="W71">
        <f t="shared" si="0"/>
        <v>61</v>
      </c>
    </row>
    <row r="72" spans="3:23" x14ac:dyDescent="0.3">
      <c r="C72" s="170">
        <f t="shared" si="1"/>
        <v>43971</v>
      </c>
      <c r="E72" s="284">
        <v>354370</v>
      </c>
      <c r="F72" s="7"/>
      <c r="G72" s="7">
        <v>150776</v>
      </c>
      <c r="H72" s="7"/>
      <c r="I72" s="7">
        <v>39017</v>
      </c>
      <c r="J72" s="287"/>
      <c r="K72" s="7">
        <f t="shared" si="12"/>
        <v>544163</v>
      </c>
      <c r="L72" s="6"/>
      <c r="M72" s="29">
        <f t="shared" si="13"/>
        <v>6.5331066845963331E-3</v>
      </c>
      <c r="N72" s="29"/>
      <c r="O72" s="29"/>
      <c r="P72" s="29"/>
      <c r="Q72" s="375">
        <f t="shared" si="11"/>
        <v>3532</v>
      </c>
      <c r="R72" s="6"/>
      <c r="S72" s="7">
        <f>28636+10749+3529</f>
        <v>42914</v>
      </c>
      <c r="T72" s="6"/>
      <c r="U72" s="286">
        <f t="shared" si="14"/>
        <v>7.8862399685388385E-2</v>
      </c>
      <c r="W72">
        <f t="shared" si="0"/>
        <v>62</v>
      </c>
    </row>
    <row r="73" spans="3:23" x14ac:dyDescent="0.3">
      <c r="C73" s="170">
        <f t="shared" si="1"/>
        <v>43972</v>
      </c>
      <c r="E73" s="284">
        <v>356458</v>
      </c>
      <c r="F73" s="7"/>
      <c r="G73" s="7">
        <v>151586</v>
      </c>
      <c r="H73" s="7"/>
      <c r="I73" s="7">
        <v>39208</v>
      </c>
      <c r="J73" s="287"/>
      <c r="K73" s="7">
        <f t="shared" si="12"/>
        <v>547252</v>
      </c>
      <c r="L73" s="6"/>
      <c r="M73" s="29">
        <f t="shared" si="13"/>
        <v>5.6766079281391785E-3</v>
      </c>
      <c r="N73" s="29"/>
      <c r="O73" s="29"/>
      <c r="P73" s="29"/>
      <c r="Q73" s="375">
        <f t="shared" si="11"/>
        <v>3089</v>
      </c>
      <c r="R73" s="6"/>
      <c r="S73" s="7">
        <f>28743+10846+3583</f>
        <v>43172</v>
      </c>
      <c r="T73" s="6"/>
      <c r="U73" s="286">
        <f t="shared" si="14"/>
        <v>7.888870209702295E-2</v>
      </c>
      <c r="W73">
        <f t="shared" si="0"/>
        <v>63</v>
      </c>
    </row>
    <row r="74" spans="3:23" x14ac:dyDescent="0.3">
      <c r="C74" s="170">
        <f t="shared" si="1"/>
        <v>43973</v>
      </c>
      <c r="E74" s="284">
        <v>358154</v>
      </c>
      <c r="F74" s="7"/>
      <c r="G74" s="7">
        <v>152579</v>
      </c>
      <c r="H74" s="7"/>
      <c r="I74" s="7">
        <v>39640</v>
      </c>
      <c r="J74" s="287"/>
      <c r="K74" s="7">
        <f t="shared" si="12"/>
        <v>550373</v>
      </c>
      <c r="L74" s="6"/>
      <c r="M74" s="29">
        <f t="shared" si="13"/>
        <v>5.7030399157974752E-3</v>
      </c>
      <c r="N74" s="29"/>
      <c r="O74" s="29"/>
      <c r="P74" s="29"/>
      <c r="Q74" s="375">
        <f t="shared" si="11"/>
        <v>3121</v>
      </c>
      <c r="R74" s="6"/>
      <c r="S74" s="7">
        <f>28853+10985+3637</f>
        <v>43475</v>
      </c>
      <c r="T74" s="6"/>
      <c r="U74" s="286">
        <f t="shared" si="14"/>
        <v>7.899188368615466E-2</v>
      </c>
      <c r="W74">
        <f t="shared" si="0"/>
        <v>64</v>
      </c>
    </row>
    <row r="75" spans="3:23" x14ac:dyDescent="0.3">
      <c r="C75" s="170">
        <f t="shared" si="1"/>
        <v>43974</v>
      </c>
      <c r="E75" s="284">
        <v>359926</v>
      </c>
      <c r="F75" s="7"/>
      <c r="G75" s="7">
        <v>153140</v>
      </c>
      <c r="H75" s="7"/>
      <c r="I75" s="7">
        <v>39640</v>
      </c>
      <c r="J75" s="287"/>
      <c r="K75" s="7">
        <f t="shared" si="12"/>
        <v>552706</v>
      </c>
      <c r="L75" s="6"/>
      <c r="M75" s="29">
        <f t="shared" si="13"/>
        <v>4.2389434074709331E-3</v>
      </c>
      <c r="N75" s="29"/>
      <c r="O75" s="29"/>
      <c r="P75" s="29"/>
      <c r="Q75" s="375">
        <f t="shared" si="11"/>
        <v>2333</v>
      </c>
      <c r="R75" s="6"/>
      <c r="S75" s="7">
        <f>28926+11082+3637</f>
        <v>43645</v>
      </c>
      <c r="T75" s="6"/>
      <c r="U75" s="286">
        <f t="shared" si="14"/>
        <v>7.896603257427999E-2</v>
      </c>
      <c r="W75">
        <f t="shared" si="0"/>
        <v>65</v>
      </c>
    </row>
    <row r="76" spans="3:23" x14ac:dyDescent="0.3">
      <c r="C76" s="170">
        <f t="shared" si="1"/>
        <v>43975</v>
      </c>
      <c r="E76" s="284">
        <v>361515</v>
      </c>
      <c r="F76" s="7"/>
      <c r="G76" s="7">
        <v>154154</v>
      </c>
      <c r="H76" s="7"/>
      <c r="I76" s="7">
        <v>40468</v>
      </c>
      <c r="J76" s="287"/>
      <c r="K76" s="7">
        <f t="shared" si="12"/>
        <v>556137</v>
      </c>
      <c r="L76" s="6"/>
      <c r="M76" s="29">
        <f t="shared" si="13"/>
        <v>6.2076402282587846E-3</v>
      </c>
      <c r="N76" s="29"/>
      <c r="O76" s="29"/>
      <c r="P76" s="29"/>
      <c r="Q76" s="375">
        <f t="shared" si="11"/>
        <v>3431</v>
      </c>
      <c r="R76" s="6"/>
      <c r="S76" s="7">
        <f>29141+11138+3696</f>
        <v>43975</v>
      </c>
      <c r="T76" s="6"/>
      <c r="U76" s="286">
        <f t="shared" si="14"/>
        <v>7.9072242990486152E-2</v>
      </c>
      <c r="W76">
        <f t="shared" si="0"/>
        <v>66</v>
      </c>
    </row>
    <row r="77" spans="3:23" x14ac:dyDescent="0.3">
      <c r="C77" s="170">
        <f t="shared" si="1"/>
        <v>43976</v>
      </c>
      <c r="E77" s="284">
        <v>362764</v>
      </c>
      <c r="F77" s="7"/>
      <c r="G77" s="7">
        <v>155092</v>
      </c>
      <c r="H77" s="7"/>
      <c r="I77" s="7">
        <v>40873</v>
      </c>
      <c r="J77" s="287"/>
      <c r="K77" s="7">
        <f t="shared" si="12"/>
        <v>558729</v>
      </c>
      <c r="L77" s="6"/>
      <c r="M77" s="29">
        <f t="shared" si="13"/>
        <v>4.6607220882624242E-3</v>
      </c>
      <c r="N77" s="29"/>
      <c r="O77" s="29"/>
      <c r="P77" s="29"/>
      <c r="Q77" s="375">
        <f t="shared" si="11"/>
        <v>2592</v>
      </c>
      <c r="R77" s="6"/>
      <c r="S77" s="7">
        <f>29229+11147+3742</f>
        <v>44118</v>
      </c>
      <c r="T77" s="6"/>
      <c r="U77" s="286">
        <f t="shared" si="14"/>
        <v>7.8961356936905008E-2</v>
      </c>
      <c r="W77">
        <f t="shared" si="0"/>
        <v>67</v>
      </c>
    </row>
    <row r="78" spans="3:23" x14ac:dyDescent="0.3">
      <c r="C78" s="170">
        <f t="shared" si="1"/>
        <v>43977</v>
      </c>
      <c r="E78" s="284">
        <v>363836</v>
      </c>
      <c r="F78" s="7"/>
      <c r="G78" s="7">
        <v>155764</v>
      </c>
      <c r="H78" s="7"/>
      <c r="I78" s="7">
        <v>41303</v>
      </c>
      <c r="J78" s="287"/>
      <c r="K78" s="7">
        <f t="shared" si="12"/>
        <v>560903</v>
      </c>
      <c r="L78" s="6"/>
      <c r="M78" s="29">
        <f t="shared" si="13"/>
        <v>3.8909739784403529E-3</v>
      </c>
      <c r="N78" s="29"/>
      <c r="O78" s="29"/>
      <c r="P78" s="29"/>
      <c r="Q78" s="375">
        <f t="shared" si="11"/>
        <v>2174</v>
      </c>
      <c r="R78" s="6"/>
      <c r="S78" s="7">
        <f>29302+11194+3769</f>
        <v>44265</v>
      </c>
      <c r="T78" s="6"/>
      <c r="U78" s="286">
        <f t="shared" si="14"/>
        <v>7.8917388568076827E-2</v>
      </c>
      <c r="W78">
        <f t="shared" si="0"/>
        <v>68</v>
      </c>
    </row>
    <row r="79" spans="3:23" x14ac:dyDescent="0.3">
      <c r="C79" s="170">
        <f t="shared" si="1"/>
        <v>43978</v>
      </c>
      <c r="E79" s="284">
        <v>364965</v>
      </c>
      <c r="F79" s="7"/>
      <c r="G79" s="7">
        <v>156628</v>
      </c>
      <c r="H79" s="7"/>
      <c r="I79" s="7">
        <v>41288</v>
      </c>
      <c r="J79" s="287"/>
      <c r="K79" s="7">
        <f t="shared" si="12"/>
        <v>562881</v>
      </c>
      <c r="L79" s="6"/>
      <c r="M79" s="29">
        <f t="shared" si="13"/>
        <v>3.5264564461234831E-3</v>
      </c>
      <c r="N79" s="29"/>
      <c r="O79" s="29"/>
      <c r="P79" s="29"/>
      <c r="Q79" s="375">
        <f t="shared" si="11"/>
        <v>1978</v>
      </c>
      <c r="R79" s="6"/>
      <c r="S79" s="7">
        <f>29484+11339+3803</f>
        <v>44626</v>
      </c>
      <c r="T79" s="6"/>
      <c r="U79" s="286">
        <f t="shared" si="14"/>
        <v>7.9281411168612897E-2</v>
      </c>
      <c r="W79">
        <f t="shared" si="0"/>
        <v>69</v>
      </c>
    </row>
    <row r="80" spans="3:23" x14ac:dyDescent="0.3">
      <c r="C80" s="170">
        <f t="shared" si="1"/>
        <v>43979</v>
      </c>
      <c r="E80" s="284">
        <v>366733</v>
      </c>
      <c r="F80" s="7"/>
      <c r="G80" s="7">
        <v>157185</v>
      </c>
      <c r="H80" s="7"/>
      <c r="I80" s="7">
        <v>41559</v>
      </c>
      <c r="J80" s="287"/>
      <c r="K80" s="7">
        <f t="shared" si="12"/>
        <v>565477</v>
      </c>
      <c r="L80" s="6"/>
      <c r="M80" s="29">
        <f t="shared" si="13"/>
        <v>4.6119872584080828E-3</v>
      </c>
      <c r="N80" s="29"/>
      <c r="O80" s="29"/>
      <c r="P80" s="29"/>
      <c r="Q80" s="375">
        <f t="shared" si="11"/>
        <v>2596</v>
      </c>
      <c r="R80" s="6"/>
      <c r="S80" s="7">
        <f>29484+11339+3803</f>
        <v>44626</v>
      </c>
      <c r="T80" s="6"/>
      <c r="U80" s="286">
        <f t="shared" si="14"/>
        <v>7.8917444918184115E-2</v>
      </c>
      <c r="W80">
        <f t="shared" si="0"/>
        <v>70</v>
      </c>
    </row>
    <row r="81" spans="3:25" x14ac:dyDescent="0.3">
      <c r="C81" s="170">
        <f t="shared" si="1"/>
        <v>43980</v>
      </c>
      <c r="E81" s="284">
        <v>368284</v>
      </c>
      <c r="F81" s="7"/>
      <c r="G81" s="7">
        <v>158844</v>
      </c>
      <c r="H81" s="7"/>
      <c r="I81" s="7">
        <v>41762</v>
      </c>
      <c r="J81" s="287"/>
      <c r="K81" s="7">
        <f t="shared" si="12"/>
        <v>568890</v>
      </c>
      <c r="L81" s="6"/>
      <c r="M81" s="29">
        <f t="shared" si="13"/>
        <v>6.035612412175915E-3</v>
      </c>
      <c r="N81" s="29"/>
      <c r="O81" s="29"/>
      <c r="P81" s="29"/>
      <c r="Q81" s="375">
        <f t="shared" si="11"/>
        <v>3413</v>
      </c>
      <c r="R81" s="6"/>
      <c r="S81" s="7">
        <f>29646+11531+3868</f>
        <v>45045</v>
      </c>
      <c r="T81" s="6"/>
      <c r="U81" s="286">
        <f t="shared" si="14"/>
        <v>7.9180509413067549E-2</v>
      </c>
      <c r="W81">
        <f t="shared" si="0"/>
        <v>71</v>
      </c>
    </row>
    <row r="82" spans="3:25" x14ac:dyDescent="0.3">
      <c r="C82" s="170">
        <f t="shared" si="1"/>
        <v>43981</v>
      </c>
      <c r="E82" s="284">
        <v>369660</v>
      </c>
      <c r="F82" s="7"/>
      <c r="G82" s="7">
        <v>159608</v>
      </c>
      <c r="H82" s="7"/>
      <c r="I82" s="7">
        <v>42022</v>
      </c>
      <c r="J82" s="287"/>
      <c r="K82" s="7">
        <f t="shared" si="12"/>
        <v>571290</v>
      </c>
      <c r="L82" s="6"/>
      <c r="M82" s="29">
        <f t="shared" si="13"/>
        <v>4.2187417602699995E-3</v>
      </c>
      <c r="N82" s="29"/>
      <c r="O82" s="29"/>
      <c r="P82" s="29"/>
      <c r="Q82" s="375">
        <f t="shared" si="11"/>
        <v>2400</v>
      </c>
      <c r="R82" s="6"/>
      <c r="S82" s="7">
        <f>29646+11531+3868</f>
        <v>45045</v>
      </c>
      <c r="T82" s="6"/>
      <c r="U82" s="286">
        <f t="shared" si="14"/>
        <v>7.8847870608622597E-2</v>
      </c>
      <c r="W82">
        <f t="shared" si="0"/>
        <v>72</v>
      </c>
    </row>
    <row r="83" spans="3:25" x14ac:dyDescent="0.3">
      <c r="C83" s="170">
        <f t="shared" si="1"/>
        <v>43982</v>
      </c>
      <c r="E83" s="284">
        <v>370770</v>
      </c>
      <c r="F83" s="7"/>
      <c r="G83" s="7">
        <v>160445</v>
      </c>
      <c r="H83" s="7"/>
      <c r="I83" s="7">
        <v>42201</v>
      </c>
      <c r="J83" s="287"/>
      <c r="K83" s="7">
        <f t="shared" si="12"/>
        <v>573416</v>
      </c>
      <c r="L83" s="6"/>
      <c r="M83" s="29">
        <f t="shared" si="13"/>
        <v>3.7214024400917221E-3</v>
      </c>
      <c r="N83" s="29"/>
      <c r="O83" s="29"/>
      <c r="P83" s="29"/>
      <c r="Q83" s="375">
        <f t="shared" si="11"/>
        <v>2126</v>
      </c>
      <c r="R83" s="6"/>
      <c r="S83" s="7">
        <f>29784+11698+3944</f>
        <v>45426</v>
      </c>
      <c r="T83" s="6"/>
      <c r="U83" s="286">
        <f t="shared" si="14"/>
        <v>7.9219972934135074E-2</v>
      </c>
      <c r="W83">
        <f t="shared" si="0"/>
        <v>73</v>
      </c>
    </row>
    <row r="84" spans="3:25" x14ac:dyDescent="0.3">
      <c r="C84" s="170">
        <f t="shared" si="1"/>
        <v>43983</v>
      </c>
      <c r="E84" s="284">
        <v>371711</v>
      </c>
      <c r="F84" s="7"/>
      <c r="G84" s="7">
        <v>160918</v>
      </c>
      <c r="H84" s="7"/>
      <c r="I84" s="7">
        <v>42201</v>
      </c>
      <c r="J84" s="287"/>
      <c r="K84" s="7">
        <f t="shared" si="12"/>
        <v>574830</v>
      </c>
      <c r="L84" s="6"/>
      <c r="M84" s="29">
        <f t="shared" si="13"/>
        <v>2.4659235180043808E-3</v>
      </c>
      <c r="N84" s="29"/>
      <c r="O84" s="29"/>
      <c r="P84" s="29"/>
      <c r="Q84" s="375">
        <f t="shared" si="11"/>
        <v>1414</v>
      </c>
      <c r="R84" s="6"/>
      <c r="S84" s="7">
        <f>29833+11723+3971</f>
        <v>45527</v>
      </c>
      <c r="T84" s="6"/>
      <c r="U84" s="286">
        <f t="shared" si="14"/>
        <v>7.9200807195170753E-2</v>
      </c>
      <c r="W84">
        <f t="shared" si="0"/>
        <v>74</v>
      </c>
    </row>
    <row r="85" spans="3:25" x14ac:dyDescent="0.3">
      <c r="C85" s="170">
        <f t="shared" si="1"/>
        <v>43984</v>
      </c>
      <c r="E85" s="284">
        <v>373040</v>
      </c>
      <c r="F85" s="7"/>
      <c r="G85" s="7">
        <v>161545</v>
      </c>
      <c r="H85" s="7"/>
      <c r="I85" s="7">
        <v>42979</v>
      </c>
      <c r="J85" s="287"/>
      <c r="K85" s="7">
        <f t="shared" si="12"/>
        <v>577564</v>
      </c>
      <c r="L85" s="6"/>
      <c r="M85" s="29">
        <f t="shared" si="13"/>
        <v>4.7561887862498479E-3</v>
      </c>
      <c r="N85" s="29"/>
      <c r="O85" s="29"/>
      <c r="P85" s="29"/>
      <c r="Q85" s="375">
        <f t="shared" si="11"/>
        <v>2734</v>
      </c>
      <c r="R85" s="6"/>
      <c r="S85" s="7">
        <f>29968+11771+3972</f>
        <v>45711</v>
      </c>
      <c r="T85" s="6"/>
      <c r="U85" s="286">
        <f t="shared" si="14"/>
        <v>7.9144475763724881E-2</v>
      </c>
      <c r="W85">
        <f t="shared" si="0"/>
        <v>75</v>
      </c>
    </row>
    <row r="86" spans="3:25" x14ac:dyDescent="0.3">
      <c r="C86" s="170">
        <f t="shared" si="1"/>
        <v>43985</v>
      </c>
      <c r="E86" s="284">
        <v>374085</v>
      </c>
      <c r="F86" s="7"/>
      <c r="G86" s="7">
        <v>162068</v>
      </c>
      <c r="H86" s="7"/>
      <c r="I86" s="7">
        <v>43091</v>
      </c>
      <c r="J86" s="287"/>
      <c r="K86" s="7">
        <f t="shared" si="12"/>
        <v>579244</v>
      </c>
      <c r="L86" s="6"/>
      <c r="M86" s="29">
        <f t="shared" si="13"/>
        <v>2.9087685520565688E-3</v>
      </c>
      <c r="N86" s="29"/>
      <c r="O86" s="29"/>
      <c r="P86" s="29"/>
      <c r="Q86" s="375">
        <f t="shared" si="11"/>
        <v>1680</v>
      </c>
      <c r="R86" s="6"/>
      <c r="S86" s="7">
        <f>30019+11880+3989</f>
        <v>45888</v>
      </c>
      <c r="T86" s="6"/>
      <c r="U86" s="286">
        <f t="shared" si="14"/>
        <v>7.9220501205018959E-2</v>
      </c>
      <c r="W86">
        <f t="shared" si="0"/>
        <v>76</v>
      </c>
    </row>
    <row r="87" spans="3:25" x14ac:dyDescent="0.3">
      <c r="C87" s="170">
        <f t="shared" si="1"/>
        <v>43986</v>
      </c>
      <c r="E87" s="284">
        <v>375133</v>
      </c>
      <c r="F87" s="7"/>
      <c r="G87" s="7">
        <v>162530</v>
      </c>
      <c r="H87" s="7"/>
      <c r="I87" s="7">
        <v>43239</v>
      </c>
      <c r="J87" s="287"/>
      <c r="K87" s="7">
        <f t="shared" si="12"/>
        <v>580902</v>
      </c>
      <c r="L87" s="6"/>
      <c r="M87" s="29">
        <f t="shared" si="13"/>
        <v>2.8623516169351774E-3</v>
      </c>
      <c r="N87" s="29"/>
      <c r="O87" s="29"/>
      <c r="P87" s="29"/>
      <c r="Q87" s="375">
        <f t="shared" si="11"/>
        <v>1658</v>
      </c>
      <c r="R87" s="6"/>
      <c r="S87" s="7">
        <f>30090+11970+4007</f>
        <v>46067</v>
      </c>
      <c r="T87" s="6"/>
      <c r="U87" s="286">
        <f t="shared" si="14"/>
        <v>7.9302532957366306E-2</v>
      </c>
      <c r="W87">
        <f t="shared" si="0"/>
        <v>77</v>
      </c>
    </row>
    <row r="88" spans="3:25" x14ac:dyDescent="0.3">
      <c r="C88" s="170">
        <f t="shared" si="1"/>
        <v>43987</v>
      </c>
      <c r="E88" s="284">
        <v>376208</v>
      </c>
      <c r="F88" s="7"/>
      <c r="G88" s="7">
        <v>163336</v>
      </c>
      <c r="H88" s="7"/>
      <c r="I88" s="7">
        <v>43460</v>
      </c>
      <c r="J88" s="287"/>
      <c r="K88" s="7">
        <f t="shared" si="12"/>
        <v>583004</v>
      </c>
      <c r="L88" s="6"/>
      <c r="M88" s="29">
        <f t="shared" si="13"/>
        <v>3.6185105232896426E-3</v>
      </c>
      <c r="N88" s="29"/>
      <c r="O88" s="29"/>
      <c r="P88" s="29"/>
      <c r="Q88" s="375">
        <f t="shared" si="11"/>
        <v>2102</v>
      </c>
      <c r="R88" s="6"/>
      <c r="S88" s="7">
        <f>30236+12049+4038</f>
        <v>46323</v>
      </c>
      <c r="T88" s="6"/>
      <c r="U88" s="286">
        <f t="shared" si="14"/>
        <v>7.9455715569704502E-2</v>
      </c>
      <c r="W88">
        <f t="shared" si="0"/>
        <v>78</v>
      </c>
    </row>
    <row r="89" spans="3:25" x14ac:dyDescent="0.3">
      <c r="C89" s="170">
        <f t="shared" si="1"/>
        <v>43988</v>
      </c>
      <c r="E89" s="284">
        <v>377316</v>
      </c>
      <c r="F89" s="7"/>
      <c r="G89" s="7">
        <v>163893</v>
      </c>
      <c r="H89" s="7"/>
      <c r="I89" s="7">
        <v>43818</v>
      </c>
      <c r="J89" s="287"/>
      <c r="K89" s="7">
        <f t="shared" si="12"/>
        <v>585027</v>
      </c>
      <c r="L89" s="6"/>
      <c r="M89" s="29">
        <f t="shared" si="13"/>
        <v>3.4699590397321458E-3</v>
      </c>
      <c r="N89" s="29"/>
      <c r="O89" s="29"/>
      <c r="P89" s="29"/>
      <c r="Q89" s="375">
        <f t="shared" si="11"/>
        <v>2023</v>
      </c>
      <c r="R89" s="6"/>
      <c r="S89" s="7">
        <f>30280+12106+4055</f>
        <v>46441</v>
      </c>
      <c r="T89" s="6"/>
      <c r="U89" s="286">
        <f t="shared" si="14"/>
        <v>7.9382660971203042E-2</v>
      </c>
      <c r="W89">
        <f t="shared" si="0"/>
        <v>79</v>
      </c>
      <c r="X89" s="56"/>
    </row>
    <row r="90" spans="3:25" x14ac:dyDescent="0.3">
      <c r="C90" s="170">
        <f t="shared" si="1"/>
        <v>43989</v>
      </c>
      <c r="E90" s="284">
        <v>378097</v>
      </c>
      <c r="F90" s="7"/>
      <c r="G90" s="7">
        <v>164164</v>
      </c>
      <c r="H90" s="7"/>
      <c r="I90" s="7">
        <v>43968</v>
      </c>
      <c r="J90" s="287"/>
      <c r="K90" s="7">
        <f t="shared" si="12"/>
        <v>586229</v>
      </c>
      <c r="L90" s="6"/>
      <c r="M90" s="29">
        <f t="shared" si="13"/>
        <v>2.0546060267303901E-3</v>
      </c>
      <c r="N90" s="29"/>
      <c r="O90" s="29"/>
      <c r="P90" s="29"/>
      <c r="Q90" s="375">
        <f t="shared" si="11"/>
        <v>1202</v>
      </c>
      <c r="R90" s="6"/>
      <c r="S90" s="7">
        <f>30374+12176+4071</f>
        <v>46621</v>
      </c>
      <c r="T90" s="6"/>
      <c r="U90" s="286">
        <f t="shared" si="14"/>
        <v>7.9526942542931175E-2</v>
      </c>
      <c r="W90">
        <f t="shared" si="0"/>
        <v>80</v>
      </c>
    </row>
    <row r="91" spans="3:25" x14ac:dyDescent="0.3">
      <c r="C91" s="170">
        <f t="shared" si="1"/>
        <v>43990</v>
      </c>
      <c r="E91" s="284">
        <v>378799</v>
      </c>
      <c r="F91" s="7"/>
      <c r="G91" s="7">
        <v>164497</v>
      </c>
      <c r="H91" s="7"/>
      <c r="I91" s="7">
        <v>44093</v>
      </c>
      <c r="J91" s="287"/>
      <c r="K91" s="7">
        <f t="shared" si="12"/>
        <v>587389</v>
      </c>
      <c r="L91" s="6"/>
      <c r="M91" s="29">
        <f t="shared" si="13"/>
        <v>1.978748918937821E-3</v>
      </c>
      <c r="N91" s="29"/>
      <c r="O91" s="29"/>
      <c r="P91" s="29"/>
      <c r="Q91" s="375">
        <f t="shared" si="11"/>
        <v>1160</v>
      </c>
      <c r="R91" s="6"/>
      <c r="S91" s="7">
        <f>30417+12214+4084</f>
        <v>46715</v>
      </c>
      <c r="T91" s="6"/>
      <c r="U91" s="286">
        <f t="shared" si="14"/>
        <v>7.952991969546587E-2</v>
      </c>
      <c r="W91">
        <f t="shared" si="0"/>
        <v>81</v>
      </c>
    </row>
    <row r="92" spans="3:25" x14ac:dyDescent="0.3">
      <c r="C92" s="170">
        <f t="shared" si="1"/>
        <v>43991</v>
      </c>
      <c r="E92" s="284">
        <v>379482</v>
      </c>
      <c r="F92" s="7"/>
      <c r="G92" s="7">
        <v>164796</v>
      </c>
      <c r="H92" s="7"/>
      <c r="I92" s="7">
        <v>44179</v>
      </c>
      <c r="J92" s="287"/>
      <c r="K92" s="7">
        <f t="shared" si="12"/>
        <v>588457</v>
      </c>
      <c r="L92" s="6"/>
      <c r="M92" s="474">
        <f t="shared" si="13"/>
        <v>1.8182158671680947E-3</v>
      </c>
      <c r="N92" s="29"/>
      <c r="O92" s="29"/>
      <c r="P92" s="29"/>
      <c r="Q92" s="375">
        <f t="shared" si="11"/>
        <v>1068</v>
      </c>
      <c r="R92" s="6"/>
      <c r="S92" s="7">
        <f>30458+12303+4097</f>
        <v>46858</v>
      </c>
      <c r="T92" s="6"/>
      <c r="U92" s="286">
        <f t="shared" si="14"/>
        <v>7.9628587985188376E-2</v>
      </c>
      <c r="W92">
        <f t="shared" si="0"/>
        <v>82</v>
      </c>
    </row>
    <row r="93" spans="3:25" x14ac:dyDescent="0.3">
      <c r="C93" s="170">
        <f t="shared" si="1"/>
        <v>43992</v>
      </c>
      <c r="E93" s="284">
        <v>380156</v>
      </c>
      <c r="F93" s="7"/>
      <c r="G93" s="7">
        <v>165346</v>
      </c>
      <c r="H93" s="7"/>
      <c r="I93" s="7">
        <v>44347</v>
      </c>
      <c r="J93" s="287"/>
      <c r="K93" s="7">
        <f t="shared" si="12"/>
        <v>589849</v>
      </c>
      <c r="L93" s="6"/>
      <c r="M93" s="474">
        <f t="shared" si="13"/>
        <v>2.3655084398690133E-3</v>
      </c>
      <c r="N93" s="29"/>
      <c r="O93" s="29"/>
      <c r="P93" s="29"/>
      <c r="Q93" s="375">
        <f t="shared" si="11"/>
        <v>1392</v>
      </c>
      <c r="R93" s="6"/>
      <c r="S93" s="7">
        <f>30458+12303+4097</f>
        <v>46858</v>
      </c>
      <c r="T93" s="6"/>
      <c r="U93" s="286">
        <f t="shared" si="14"/>
        <v>7.9440670408867348E-2</v>
      </c>
      <c r="W93">
        <f t="shared" si="0"/>
        <v>83</v>
      </c>
    </row>
    <row r="94" spans="3:25" x14ac:dyDescent="0.3">
      <c r="C94" s="170">
        <f t="shared" si="1"/>
        <v>43993</v>
      </c>
      <c r="E94" s="284">
        <v>380892</v>
      </c>
      <c r="F94" s="7"/>
      <c r="G94" s="7">
        <v>165816</v>
      </c>
      <c r="H94" s="7"/>
      <c r="I94" s="7">
        <v>44461</v>
      </c>
      <c r="J94" s="287"/>
      <c r="K94" s="7">
        <f t="shared" si="12"/>
        <v>591169</v>
      </c>
      <c r="L94" s="6"/>
      <c r="M94" s="474">
        <f t="shared" si="13"/>
        <v>2.237860876258161E-3</v>
      </c>
      <c r="N94" s="29"/>
      <c r="O94" s="29"/>
      <c r="P94" s="29"/>
      <c r="Q94" s="375">
        <f t="shared" si="11"/>
        <v>1320</v>
      </c>
      <c r="R94" s="6"/>
      <c r="S94" s="7">
        <f>30575+12443+4148</f>
        <v>47166</v>
      </c>
      <c r="T94" s="6"/>
      <c r="U94" s="286">
        <f t="shared" si="14"/>
        <v>7.9784291801498389E-2</v>
      </c>
      <c r="W94">
        <f t="shared" si="0"/>
        <v>84</v>
      </c>
    </row>
    <row r="95" spans="3:25" x14ac:dyDescent="0.3">
      <c r="C95" s="170">
        <f t="shared" si="1"/>
        <v>43994</v>
      </c>
      <c r="E95" s="284">
        <v>381714</v>
      </c>
      <c r="F95" s="7"/>
      <c r="G95" s="7">
        <v>166164</v>
      </c>
      <c r="H95" s="7"/>
      <c r="I95" s="7">
        <v>44689</v>
      </c>
      <c r="J95" s="287"/>
      <c r="K95" s="7">
        <f t="shared" si="12"/>
        <v>592567</v>
      </c>
      <c r="L95" s="6"/>
      <c r="M95" s="474">
        <f t="shared" si="13"/>
        <v>2.3648060030211325E-3</v>
      </c>
      <c r="N95" s="29"/>
      <c r="O95" s="29"/>
      <c r="P95" s="29"/>
      <c r="Q95" s="375">
        <f t="shared" si="11"/>
        <v>1398</v>
      </c>
      <c r="R95" s="6"/>
      <c r="S95" s="7">
        <f>30758+12489+4159</f>
        <v>47406</v>
      </c>
      <c r="T95" s="6"/>
      <c r="U95" s="286">
        <f t="shared" si="14"/>
        <v>8.000108004664451E-2</v>
      </c>
      <c r="W95">
        <f t="shared" si="0"/>
        <v>85</v>
      </c>
    </row>
    <row r="96" spans="3:25" x14ac:dyDescent="0.3">
      <c r="C96" s="170">
        <f t="shared" si="1"/>
        <v>43995</v>
      </c>
      <c r="E96" s="284">
        <v>382630</v>
      </c>
      <c r="F96" s="7"/>
      <c r="G96" s="7">
        <v>166605</v>
      </c>
      <c r="H96" s="7"/>
      <c r="I96" s="7">
        <v>44994</v>
      </c>
      <c r="J96" s="287"/>
      <c r="K96" s="7">
        <f t="shared" si="12"/>
        <v>594229</v>
      </c>
      <c r="L96" s="6"/>
      <c r="M96" s="474">
        <f t="shared" si="13"/>
        <v>2.804746129973488E-3</v>
      </c>
      <c r="N96" s="29"/>
      <c r="O96" s="29"/>
      <c r="P96" s="29"/>
      <c r="Q96" s="375">
        <f t="shared" si="11"/>
        <v>1662</v>
      </c>
      <c r="R96" s="6"/>
      <c r="S96" s="7">
        <f>30795+12621+4186</f>
        <v>47602</v>
      </c>
      <c r="T96" s="6"/>
      <c r="U96" s="286">
        <f t="shared" si="14"/>
        <v>8.010716407310986E-2</v>
      </c>
      <c r="W96">
        <f t="shared" si="0"/>
        <v>86</v>
      </c>
      <c r="Y96" s="56"/>
    </row>
    <row r="97" spans="3:25" x14ac:dyDescent="0.3">
      <c r="C97" s="170">
        <f t="shared" si="1"/>
        <v>43996</v>
      </c>
      <c r="E97" s="284">
        <v>383324</v>
      </c>
      <c r="F97" s="7"/>
      <c r="G97" s="7">
        <v>166881</v>
      </c>
      <c r="H97" s="7"/>
      <c r="I97" s="7">
        <v>45088</v>
      </c>
      <c r="J97" s="287"/>
      <c r="K97" s="7">
        <f t="shared" si="12"/>
        <v>595293</v>
      </c>
      <c r="L97" s="6"/>
      <c r="M97" s="474">
        <f t="shared" si="13"/>
        <v>1.7905554929160308E-3</v>
      </c>
      <c r="N97" s="29"/>
      <c r="O97" s="29"/>
      <c r="P97" s="29"/>
      <c r="Q97" s="375">
        <f t="shared" si="11"/>
        <v>1064</v>
      </c>
      <c r="R97" s="6"/>
      <c r="S97" s="7">
        <f>30825+12659+4201</f>
        <v>47685</v>
      </c>
      <c r="T97" s="6"/>
      <c r="U97" s="286">
        <f t="shared" si="14"/>
        <v>8.010341126134525E-2</v>
      </c>
      <c r="W97">
        <f t="shared" si="0"/>
        <v>87</v>
      </c>
      <c r="Y97" s="56"/>
    </row>
    <row r="98" spans="3:25" x14ac:dyDescent="0.3">
      <c r="C98" s="170">
        <f t="shared" ref="C98:C168" si="15">+C97+1</f>
        <v>43997</v>
      </c>
      <c r="E98" s="284">
        <v>383944</v>
      </c>
      <c r="F98" s="7"/>
      <c r="G98" s="7">
        <v>167106</v>
      </c>
      <c r="H98" s="7"/>
      <c r="I98" s="7">
        <v>45235</v>
      </c>
      <c r="J98" s="287"/>
      <c r="K98" s="7">
        <f t="shared" ref="K98:K109" si="16">SUM(E98:I98)</f>
        <v>596285</v>
      </c>
      <c r="L98" s="6"/>
      <c r="M98" s="474">
        <f t="shared" ref="M98:M109" si="17">+(K98-K97)/K97</f>
        <v>1.6664062906837473E-3</v>
      </c>
      <c r="N98" s="29"/>
      <c r="O98" s="29"/>
      <c r="P98" s="29"/>
      <c r="Q98" s="375">
        <f t="shared" ref="Q98:Q109" si="18">+K98-K97</f>
        <v>992</v>
      </c>
      <c r="R98" s="6"/>
      <c r="S98" s="7">
        <f>30856+12708+4204</f>
        <v>47768</v>
      </c>
      <c r="T98" s="6"/>
      <c r="U98" s="286">
        <f t="shared" ref="U98:U109" si="19">+S98/K98</f>
        <v>8.0109343686324497E-2</v>
      </c>
      <c r="W98">
        <f t="shared" ref="W98:W168" si="20">+W97+1</f>
        <v>88</v>
      </c>
      <c r="Y98" s="56"/>
    </row>
    <row r="99" spans="3:25" x14ac:dyDescent="0.3">
      <c r="C99" s="170">
        <f t="shared" si="15"/>
        <v>43998</v>
      </c>
      <c r="E99" s="284">
        <v>384475</v>
      </c>
      <c r="F99" s="7"/>
      <c r="G99" s="7">
        <v>167426</v>
      </c>
      <c r="H99" s="7"/>
      <c r="I99" s="7">
        <v>45349</v>
      </c>
      <c r="J99" s="287"/>
      <c r="K99" s="7">
        <f t="shared" si="16"/>
        <v>597250</v>
      </c>
      <c r="L99" s="6"/>
      <c r="M99" s="474">
        <f t="shared" si="17"/>
        <v>1.6183536396186388E-3</v>
      </c>
      <c r="N99" s="29"/>
      <c r="O99" s="29"/>
      <c r="P99" s="29"/>
      <c r="Q99" s="375">
        <f t="shared" si="18"/>
        <v>965</v>
      </c>
      <c r="R99" s="6"/>
      <c r="S99" s="7">
        <f>30882+12792+4210</f>
        <v>47884</v>
      </c>
      <c r="T99" s="6"/>
      <c r="U99" s="286">
        <f t="shared" si="19"/>
        <v>8.017413143574717E-2</v>
      </c>
      <c r="W99">
        <f t="shared" si="20"/>
        <v>89</v>
      </c>
      <c r="Y99" s="56"/>
    </row>
    <row r="100" spans="3:25" x14ac:dyDescent="0.3">
      <c r="C100" s="170">
        <f t="shared" si="15"/>
        <v>43999</v>
      </c>
      <c r="E100" s="284">
        <v>385042</v>
      </c>
      <c r="F100" s="7"/>
      <c r="G100" s="7">
        <v>167703</v>
      </c>
      <c r="H100" s="7"/>
      <c r="I100" s="7">
        <v>45429</v>
      </c>
      <c r="J100" s="287"/>
      <c r="K100" s="7">
        <f t="shared" si="16"/>
        <v>598174</v>
      </c>
      <c r="L100" s="6"/>
      <c r="M100" s="474">
        <f t="shared" si="17"/>
        <v>1.5470908329845124E-3</v>
      </c>
      <c r="N100" s="29"/>
      <c r="O100" s="29"/>
      <c r="P100" s="29"/>
      <c r="Q100" s="375">
        <f t="shared" si="18"/>
        <v>924</v>
      </c>
      <c r="R100" s="6"/>
      <c r="S100" s="7">
        <f>30939+12835+4219</f>
        <v>47993</v>
      </c>
      <c r="T100" s="6"/>
      <c r="U100" s="286">
        <f t="shared" si="19"/>
        <v>8.0232507598123629E-2</v>
      </c>
      <c r="W100">
        <f t="shared" si="20"/>
        <v>90</v>
      </c>
      <c r="Y100" s="56"/>
    </row>
    <row r="101" spans="3:25" x14ac:dyDescent="0.3">
      <c r="C101" s="170">
        <f t="shared" si="15"/>
        <v>44000</v>
      </c>
      <c r="E101" s="284">
        <v>385560</v>
      </c>
      <c r="F101" s="7"/>
      <c r="G101" s="7">
        <v>168067</v>
      </c>
      <c r="H101" s="7"/>
      <c r="I101" s="7">
        <v>45440</v>
      </c>
      <c r="J101" s="287"/>
      <c r="K101" s="7">
        <f t="shared" si="16"/>
        <v>599067</v>
      </c>
      <c r="L101" s="6"/>
      <c r="M101" s="474">
        <f t="shared" si="17"/>
        <v>1.4928766546188901E-3</v>
      </c>
      <c r="N101" s="29"/>
      <c r="O101" s="29"/>
      <c r="P101" s="29"/>
      <c r="Q101" s="375">
        <f t="shared" si="18"/>
        <v>893</v>
      </c>
      <c r="R101" s="6"/>
      <c r="S101" s="7">
        <f>30974+12869+4226</f>
        <v>48069</v>
      </c>
      <c r="T101" s="6"/>
      <c r="U101" s="286">
        <f t="shared" si="19"/>
        <v>8.0239772846776733E-2</v>
      </c>
      <c r="W101">
        <f t="shared" si="20"/>
        <v>91</v>
      </c>
      <c r="Y101" s="56"/>
    </row>
    <row r="102" spans="3:25" x14ac:dyDescent="0.3">
      <c r="C102" s="170">
        <f t="shared" si="15"/>
        <v>44001</v>
      </c>
      <c r="E102" s="284">
        <v>386556</v>
      </c>
      <c r="F102" s="7"/>
      <c r="G102" s="7">
        <v>168496</v>
      </c>
      <c r="H102" s="7"/>
      <c r="I102" s="7">
        <v>45557</v>
      </c>
      <c r="J102" s="287"/>
      <c r="K102" s="7">
        <f t="shared" si="16"/>
        <v>600609</v>
      </c>
      <c r="L102" s="6"/>
      <c r="M102" s="474">
        <f t="shared" si="17"/>
        <v>2.5740025740025739E-3</v>
      </c>
      <c r="N102" s="29"/>
      <c r="O102" s="29"/>
      <c r="P102" s="29"/>
      <c r="Q102" s="375">
        <f t="shared" si="18"/>
        <v>1542</v>
      </c>
      <c r="R102" s="6"/>
      <c r="S102" s="7">
        <f>31015+12902+4238</f>
        <v>48155</v>
      </c>
      <c r="T102" s="6"/>
      <c r="U102" s="286">
        <f t="shared" si="19"/>
        <v>8.0176953725302147E-2</v>
      </c>
      <c r="W102">
        <f t="shared" si="20"/>
        <v>92</v>
      </c>
      <c r="Y102" s="56"/>
    </row>
    <row r="103" spans="3:25" x14ac:dyDescent="0.3">
      <c r="C103" s="170">
        <f t="shared" si="15"/>
        <v>44002</v>
      </c>
      <c r="E103" s="284">
        <v>387272</v>
      </c>
      <c r="F103" s="7"/>
      <c r="G103" s="7">
        <v>168834</v>
      </c>
      <c r="H103" s="7"/>
      <c r="I103" s="7">
        <v>45715</v>
      </c>
      <c r="J103" s="287"/>
      <c r="K103" s="7">
        <f t="shared" si="16"/>
        <v>601821</v>
      </c>
      <c r="L103" s="6"/>
      <c r="M103" s="474">
        <f t="shared" si="17"/>
        <v>2.0179517789443713E-3</v>
      </c>
      <c r="N103" s="29"/>
      <c r="O103" s="29"/>
      <c r="P103" s="29"/>
      <c r="Q103" s="375">
        <f t="shared" si="18"/>
        <v>1212</v>
      </c>
      <c r="R103" s="6"/>
      <c r="S103" s="7">
        <f>31083+12924+4251</f>
        <v>48258</v>
      </c>
      <c r="T103" s="6"/>
      <c r="U103" s="286">
        <f t="shared" si="19"/>
        <v>8.0186633567123786E-2</v>
      </c>
      <c r="W103">
        <f t="shared" si="20"/>
        <v>93</v>
      </c>
      <c r="Y103" s="56"/>
    </row>
    <row r="104" spans="3:25" x14ac:dyDescent="0.3">
      <c r="C104" s="170">
        <f t="shared" si="15"/>
        <v>44003</v>
      </c>
      <c r="E104" s="284">
        <v>387936</v>
      </c>
      <c r="F104" s="7"/>
      <c r="G104" s="7">
        <v>169142</v>
      </c>
      <c r="H104" s="7"/>
      <c r="I104" s="7">
        <v>45755</v>
      </c>
      <c r="J104" s="287"/>
      <c r="K104" s="7">
        <f t="shared" si="16"/>
        <v>602833</v>
      </c>
      <c r="L104" s="6"/>
      <c r="M104" s="474">
        <f t="shared" si="17"/>
        <v>1.6815631225896072E-3</v>
      </c>
      <c r="N104" s="29"/>
      <c r="O104" s="29"/>
      <c r="P104" s="29"/>
      <c r="Q104" s="375">
        <f t="shared" si="18"/>
        <v>1012</v>
      </c>
      <c r="R104" s="6"/>
      <c r="S104" s="7">
        <f>31083+12924+4251</f>
        <v>48258</v>
      </c>
      <c r="T104" s="6"/>
      <c r="U104" s="286">
        <f t="shared" si="19"/>
        <v>8.0052021040653051E-2</v>
      </c>
      <c r="W104">
        <f t="shared" si="20"/>
        <v>94</v>
      </c>
      <c r="Y104" s="56"/>
    </row>
    <row r="105" spans="3:25" x14ac:dyDescent="0.3">
      <c r="C105" s="170">
        <f t="shared" si="15"/>
        <v>44004</v>
      </c>
      <c r="E105" s="284">
        <v>388488</v>
      </c>
      <c r="F105" s="7"/>
      <c r="G105" s="7">
        <v>169415</v>
      </c>
      <c r="H105" s="7"/>
      <c r="I105" s="7">
        <v>45782</v>
      </c>
      <c r="J105" s="287"/>
      <c r="K105" s="7">
        <f t="shared" si="16"/>
        <v>603685</v>
      </c>
      <c r="L105" s="6"/>
      <c r="M105" s="474">
        <f t="shared" si="17"/>
        <v>1.4133267422320941E-3</v>
      </c>
      <c r="N105" s="29"/>
      <c r="O105" s="29"/>
      <c r="P105" s="29"/>
      <c r="Q105" s="375">
        <f t="shared" si="18"/>
        <v>852</v>
      </c>
      <c r="R105" s="6"/>
      <c r="S105" s="7">
        <f>31125+12939+4260</f>
        <v>48324</v>
      </c>
      <c r="T105" s="6"/>
      <c r="U105" s="286">
        <f t="shared" si="19"/>
        <v>8.0048369596726773E-2</v>
      </c>
      <c r="W105">
        <f t="shared" si="20"/>
        <v>95</v>
      </c>
      <c r="Y105" s="56"/>
    </row>
    <row r="106" spans="3:25" x14ac:dyDescent="0.3">
      <c r="C106" s="170">
        <f t="shared" si="15"/>
        <v>44005</v>
      </c>
      <c r="E106" s="284">
        <v>389085</v>
      </c>
      <c r="F106" s="7"/>
      <c r="G106" s="7">
        <v>169734</v>
      </c>
      <c r="H106" s="7"/>
      <c r="I106" s="7">
        <v>45899</v>
      </c>
      <c r="J106" s="287"/>
      <c r="K106" s="7">
        <f t="shared" si="16"/>
        <v>604718</v>
      </c>
      <c r="L106" s="6"/>
      <c r="M106" s="474">
        <f t="shared" si="17"/>
        <v>1.7111573088614096E-3</v>
      </c>
      <c r="N106" s="29"/>
      <c r="O106" s="29"/>
      <c r="P106" s="29"/>
      <c r="Q106" s="375">
        <f t="shared" si="18"/>
        <v>1033</v>
      </c>
      <c r="R106" s="6"/>
      <c r="S106" s="7">
        <f>31232+13025+4277</f>
        <v>48534</v>
      </c>
      <c r="T106" s="6"/>
      <c r="U106" s="286">
        <f t="shared" si="19"/>
        <v>8.025889753571086E-2</v>
      </c>
      <c r="W106">
        <f t="shared" si="20"/>
        <v>96</v>
      </c>
      <c r="Y106" s="56"/>
    </row>
    <row r="107" spans="3:25" x14ac:dyDescent="0.3">
      <c r="C107" s="170">
        <f t="shared" si="15"/>
        <v>44006</v>
      </c>
      <c r="E107" s="284">
        <v>389666</v>
      </c>
      <c r="F107" s="7"/>
      <c r="G107" s="7">
        <v>169892</v>
      </c>
      <c r="H107" s="7"/>
      <c r="I107" s="7">
        <v>45913</v>
      </c>
      <c r="J107" s="287"/>
      <c r="K107" s="7">
        <f t="shared" si="16"/>
        <v>605471</v>
      </c>
      <c r="L107" s="6"/>
      <c r="M107" s="474">
        <f t="shared" si="17"/>
        <v>1.2452085104131183E-3</v>
      </c>
      <c r="N107" s="29"/>
      <c r="O107" s="29"/>
      <c r="P107" s="29"/>
      <c r="Q107" s="375">
        <f t="shared" si="18"/>
        <v>753</v>
      </c>
      <c r="R107" s="6"/>
      <c r="S107" s="7">
        <f>31257+13076+4287</f>
        <v>48620</v>
      </c>
      <c r="T107" s="6"/>
      <c r="U107" s="286">
        <f t="shared" si="19"/>
        <v>8.0301120945511839E-2</v>
      </c>
      <c r="W107">
        <f t="shared" si="20"/>
        <v>97</v>
      </c>
      <c r="Y107" s="56"/>
    </row>
    <row r="108" spans="3:25" x14ac:dyDescent="0.3">
      <c r="C108" s="170">
        <f t="shared" si="15"/>
        <v>44007</v>
      </c>
      <c r="E108" s="284">
        <v>390415</v>
      </c>
      <c r="F108" s="7"/>
      <c r="G108" s="7">
        <v>170186</v>
      </c>
      <c r="H108" s="7"/>
      <c r="I108" s="7">
        <v>45994</v>
      </c>
      <c r="J108" s="287"/>
      <c r="K108" s="7">
        <f t="shared" si="16"/>
        <v>606595</v>
      </c>
      <c r="L108" s="6"/>
      <c r="M108" s="474">
        <f t="shared" si="17"/>
        <v>1.8564060045815573E-3</v>
      </c>
      <c r="N108" s="29"/>
      <c r="O108" s="29"/>
      <c r="P108" s="29"/>
      <c r="Q108" s="375">
        <f t="shared" si="18"/>
        <v>1124</v>
      </c>
      <c r="R108" s="6"/>
      <c r="S108" s="7">
        <f>31301+14872+4208</f>
        <v>50381</v>
      </c>
      <c r="T108" s="6"/>
      <c r="U108" s="286">
        <f t="shared" si="19"/>
        <v>8.30554158870416E-2</v>
      </c>
      <c r="W108">
        <f t="shared" si="20"/>
        <v>98</v>
      </c>
      <c r="Y108" s="56"/>
    </row>
    <row r="109" spans="3:25" x14ac:dyDescent="0.3">
      <c r="C109" s="170">
        <f t="shared" si="15"/>
        <v>44008</v>
      </c>
      <c r="E109" s="284">
        <v>391220</v>
      </c>
      <c r="F109" s="7"/>
      <c r="G109" s="7">
        <v>170584</v>
      </c>
      <c r="H109" s="7"/>
      <c r="I109" s="7">
        <v>46059</v>
      </c>
      <c r="J109" s="287"/>
      <c r="K109" s="7">
        <f t="shared" si="16"/>
        <v>607863</v>
      </c>
      <c r="L109" s="6"/>
      <c r="M109" s="474">
        <f t="shared" si="17"/>
        <v>2.0903568278670282E-3</v>
      </c>
      <c r="N109" s="29"/>
      <c r="O109" s="29"/>
      <c r="P109" s="29"/>
      <c r="Q109" s="375">
        <f t="shared" si="18"/>
        <v>1268</v>
      </c>
      <c r="R109" s="6"/>
      <c r="S109" s="7">
        <f>31342+14915+4307</f>
        <v>50564</v>
      </c>
      <c r="T109" s="6"/>
      <c r="U109" s="286">
        <f t="shared" si="19"/>
        <v>8.3183217270996923E-2</v>
      </c>
      <c r="W109">
        <f t="shared" si="20"/>
        <v>99</v>
      </c>
      <c r="Y109" s="56"/>
    </row>
    <row r="110" spans="3:25" x14ac:dyDescent="0.3">
      <c r="C110" s="170">
        <f t="shared" si="15"/>
        <v>44009</v>
      </c>
      <c r="E110" s="284">
        <v>391323</v>
      </c>
      <c r="F110" s="7"/>
      <c r="G110" s="7">
        <v>170873</v>
      </c>
      <c r="H110" s="7"/>
      <c r="I110" s="7">
        <v>46206</v>
      </c>
      <c r="J110" s="287"/>
      <c r="K110" s="7">
        <f t="shared" ref="K110:K127" si="21">SUM(E110:I110)</f>
        <v>608402</v>
      </c>
      <c r="L110" s="6"/>
      <c r="M110" s="474">
        <f t="shared" ref="M110:M127" si="22">+(K110-K109)/K109</f>
        <v>8.8671295999262988E-4</v>
      </c>
      <c r="N110" s="29"/>
      <c r="O110" s="29"/>
      <c r="P110" s="29"/>
      <c r="Q110" s="375">
        <f t="shared" ref="Q110:Q127" si="23">+K110-K109</f>
        <v>539</v>
      </c>
      <c r="R110" s="6"/>
      <c r="S110" s="7">
        <f>31368+14984+4311</f>
        <v>50663</v>
      </c>
      <c r="T110" s="6"/>
      <c r="U110" s="286">
        <f t="shared" ref="U110:U127" si="24">+S110/K110</f>
        <v>8.3272244338447279E-2</v>
      </c>
      <c r="W110">
        <f t="shared" si="20"/>
        <v>100</v>
      </c>
      <c r="Y110" s="56"/>
    </row>
    <row r="111" spans="3:25" x14ac:dyDescent="0.3">
      <c r="C111" s="170">
        <f t="shared" si="15"/>
        <v>44010</v>
      </c>
      <c r="E111" s="284">
        <v>392539</v>
      </c>
      <c r="F111" s="7"/>
      <c r="G111" s="7">
        <v>171182</v>
      </c>
      <c r="H111" s="7"/>
      <c r="I111" s="7">
        <v>46303</v>
      </c>
      <c r="J111" s="287"/>
      <c r="K111" s="7">
        <f t="shared" si="21"/>
        <v>610024</v>
      </c>
      <c r="L111" s="6"/>
      <c r="M111" s="481">
        <f t="shared" si="22"/>
        <v>2.6660004404982234E-3</v>
      </c>
      <c r="N111" s="29"/>
      <c r="O111" s="29"/>
      <c r="P111" s="29"/>
      <c r="Q111" s="375">
        <f t="shared" si="23"/>
        <v>1622</v>
      </c>
      <c r="R111" s="6"/>
      <c r="S111" s="7">
        <f>31397+14975+4316</f>
        <v>50688</v>
      </c>
      <c r="T111" s="6"/>
      <c r="U111" s="286">
        <f t="shared" si="24"/>
        <v>8.3091812781136476E-2</v>
      </c>
      <c r="W111">
        <f t="shared" si="20"/>
        <v>101</v>
      </c>
      <c r="Y111" s="56"/>
    </row>
    <row r="112" spans="3:25" x14ac:dyDescent="0.3">
      <c r="C112" s="170">
        <f t="shared" si="15"/>
        <v>44011</v>
      </c>
      <c r="E112" s="284">
        <v>393069</v>
      </c>
      <c r="F112" s="7"/>
      <c r="G112" s="7">
        <v>171272</v>
      </c>
      <c r="H112" s="7"/>
      <c r="I112" s="7">
        <v>46362</v>
      </c>
      <c r="J112" s="287"/>
      <c r="K112" s="7">
        <f t="shared" si="21"/>
        <v>610703</v>
      </c>
      <c r="L112" s="6"/>
      <c r="M112" s="481">
        <f t="shared" si="22"/>
        <v>1.1130709611425124E-3</v>
      </c>
      <c r="N112" s="29"/>
      <c r="O112" s="29"/>
      <c r="P112" s="29"/>
      <c r="Q112" s="375">
        <f t="shared" si="23"/>
        <v>679</v>
      </c>
      <c r="R112" s="6"/>
      <c r="S112" s="7">
        <f>31403+14992+4320</f>
        <v>50715</v>
      </c>
      <c r="T112" s="6"/>
      <c r="U112" s="286">
        <f t="shared" si="24"/>
        <v>8.3043639870771888E-2</v>
      </c>
      <c r="W112">
        <f t="shared" si="20"/>
        <v>102</v>
      </c>
      <c r="Y112" s="56"/>
    </row>
    <row r="113" spans="3:25" x14ac:dyDescent="0.3">
      <c r="C113" s="170">
        <f t="shared" si="15"/>
        <v>44012</v>
      </c>
      <c r="E113" s="284">
        <v>393254</v>
      </c>
      <c r="F113" s="7"/>
      <c r="G113" s="7">
        <v>171617</v>
      </c>
      <c r="H113" s="7"/>
      <c r="I113" s="7">
        <v>46474</v>
      </c>
      <c r="J113" s="287"/>
      <c r="K113" s="7">
        <f t="shared" si="21"/>
        <v>611345</v>
      </c>
      <c r="L113" s="6"/>
      <c r="M113" s="481">
        <f t="shared" si="22"/>
        <v>1.0512474967373667E-3</v>
      </c>
      <c r="N113" s="29"/>
      <c r="O113" s="29"/>
      <c r="P113" s="29"/>
      <c r="Q113" s="375">
        <f t="shared" si="23"/>
        <v>642</v>
      </c>
      <c r="R113" s="6"/>
      <c r="S113" s="7">
        <f>32032+15035+4322</f>
        <v>51389</v>
      </c>
      <c r="T113" s="6"/>
      <c r="U113" s="286">
        <f t="shared" si="24"/>
        <v>8.4058919268170995E-2</v>
      </c>
      <c r="W113">
        <f t="shared" si="20"/>
        <v>103</v>
      </c>
      <c r="Y113" s="56"/>
    </row>
    <row r="114" spans="3:25" x14ac:dyDescent="0.3">
      <c r="C114" s="170">
        <f t="shared" si="15"/>
        <v>44013</v>
      </c>
      <c r="E114" s="284">
        <v>394079</v>
      </c>
      <c r="F114" s="7"/>
      <c r="G114" s="7">
        <v>171928</v>
      </c>
      <c r="H114" s="7"/>
      <c r="I114" s="7">
        <v>46572</v>
      </c>
      <c r="J114" s="287"/>
      <c r="K114" s="7">
        <f t="shared" si="21"/>
        <v>612579</v>
      </c>
      <c r="L114" s="6"/>
      <c r="M114" s="481">
        <f t="shared" si="22"/>
        <v>2.0185001921991675E-3</v>
      </c>
      <c r="N114" s="29"/>
      <c r="O114" s="29"/>
      <c r="P114" s="29"/>
      <c r="Q114" s="375">
        <f t="shared" si="23"/>
        <v>1234</v>
      </c>
      <c r="R114" s="6"/>
      <c r="S114" s="7">
        <f>32043+15078+4324</f>
        <v>51445</v>
      </c>
      <c r="T114" s="6"/>
      <c r="U114" s="286">
        <f t="shared" si="24"/>
        <v>8.3981004898959974E-2</v>
      </c>
      <c r="W114">
        <f t="shared" si="20"/>
        <v>104</v>
      </c>
      <c r="Y114" s="56"/>
    </row>
    <row r="115" spans="3:25" x14ac:dyDescent="0.3">
      <c r="C115" s="170">
        <f t="shared" si="15"/>
        <v>44014</v>
      </c>
      <c r="E115" s="284">
        <v>394954</v>
      </c>
      <c r="F115" s="7"/>
      <c r="G115" s="7">
        <v>172356</v>
      </c>
      <c r="H115" s="7"/>
      <c r="I115" s="7">
        <v>46646</v>
      </c>
      <c r="J115" s="287"/>
      <c r="K115" s="7">
        <f t="shared" si="21"/>
        <v>613956</v>
      </c>
      <c r="L115" s="6"/>
      <c r="M115" s="481">
        <f t="shared" si="22"/>
        <v>2.2478733355208065E-3</v>
      </c>
      <c r="N115" s="29"/>
      <c r="O115" s="29"/>
      <c r="P115" s="29"/>
      <c r="Q115" s="375">
        <f t="shared" si="23"/>
        <v>1377</v>
      </c>
      <c r="R115" s="6"/>
      <c r="S115" s="7">
        <f>32064+15107+4328</f>
        <v>51499</v>
      </c>
      <c r="T115" s="6"/>
      <c r="U115" s="286">
        <f t="shared" si="24"/>
        <v>8.3880603821772245E-2</v>
      </c>
      <c r="W115">
        <f t="shared" si="20"/>
        <v>105</v>
      </c>
      <c r="Y115" s="56"/>
    </row>
    <row r="116" spans="3:25" x14ac:dyDescent="0.3">
      <c r="C116" s="170">
        <f t="shared" si="15"/>
        <v>44015</v>
      </c>
      <c r="E116" s="284">
        <v>395872</v>
      </c>
      <c r="F116" s="7"/>
      <c r="G116" s="7">
        <v>172742</v>
      </c>
      <c r="H116" s="7"/>
      <c r="I116" s="7">
        <v>46717</v>
      </c>
      <c r="J116" s="287"/>
      <c r="K116" s="7">
        <f t="shared" si="21"/>
        <v>615331</v>
      </c>
      <c r="L116" s="6"/>
      <c r="M116" s="481">
        <f t="shared" si="22"/>
        <v>2.2395741714389956E-3</v>
      </c>
      <c r="N116" s="29"/>
      <c r="O116" s="29"/>
      <c r="P116" s="29"/>
      <c r="Q116" s="375">
        <f t="shared" si="23"/>
        <v>1375</v>
      </c>
      <c r="R116" s="6"/>
      <c r="S116" s="7">
        <f>32081+15164+4335</f>
        <v>51580</v>
      </c>
      <c r="T116" s="6"/>
      <c r="U116" s="286">
        <f t="shared" si="24"/>
        <v>8.3824803235981932E-2</v>
      </c>
      <c r="W116">
        <f t="shared" si="20"/>
        <v>106</v>
      </c>
      <c r="Y116" s="56"/>
    </row>
    <row r="117" spans="3:25" x14ac:dyDescent="0.3">
      <c r="C117" s="170">
        <f t="shared" si="15"/>
        <v>44016</v>
      </c>
      <c r="E117" s="284">
        <v>395598</v>
      </c>
      <c r="F117" s="7"/>
      <c r="G117" s="7">
        <v>173033</v>
      </c>
      <c r="H117" s="7"/>
      <c r="I117" s="7">
        <v>46717</v>
      </c>
      <c r="J117" s="287"/>
      <c r="K117" s="7">
        <f t="shared" si="21"/>
        <v>615348</v>
      </c>
      <c r="L117" s="6"/>
      <c r="M117" s="481">
        <f t="shared" si="22"/>
        <v>2.7627407037838173E-5</v>
      </c>
      <c r="N117" s="29"/>
      <c r="O117" s="29"/>
      <c r="P117" s="29"/>
      <c r="Q117" s="375">
        <f t="shared" si="23"/>
        <v>17</v>
      </c>
      <c r="R117" s="6"/>
      <c r="S117" s="7">
        <f>32157+15189+4355</f>
        <v>51701</v>
      </c>
      <c r="T117" s="6"/>
      <c r="U117" s="286">
        <f t="shared" si="24"/>
        <v>8.4019124137886203E-2</v>
      </c>
      <c r="W117">
        <f t="shared" si="20"/>
        <v>107</v>
      </c>
      <c r="Y117" s="56"/>
    </row>
    <row r="118" spans="3:25" x14ac:dyDescent="0.3">
      <c r="C118" s="170">
        <f t="shared" si="15"/>
        <v>44017</v>
      </c>
      <c r="E118" s="284">
        <v>397131</v>
      </c>
      <c r="F118" s="7"/>
      <c r="G118" s="7">
        <v>173402</v>
      </c>
      <c r="H118" s="7"/>
      <c r="I118" s="7">
        <v>46717</v>
      </c>
      <c r="J118" s="287"/>
      <c r="K118" s="7">
        <f t="shared" si="21"/>
        <v>617250</v>
      </c>
      <c r="L118" s="6"/>
      <c r="M118" s="481">
        <f t="shared" si="22"/>
        <v>3.0909339105676787E-3</v>
      </c>
      <c r="N118" s="29"/>
      <c r="O118" s="29"/>
      <c r="P118" s="29"/>
      <c r="Q118" s="375">
        <f t="shared" si="23"/>
        <v>1902</v>
      </c>
      <c r="R118" s="6"/>
      <c r="S118" s="7">
        <f>32189+15211+4335</f>
        <v>51735</v>
      </c>
      <c r="T118" s="6"/>
      <c r="U118" s="286">
        <f t="shared" si="24"/>
        <v>8.3815309842041316E-2</v>
      </c>
      <c r="W118">
        <f t="shared" si="20"/>
        <v>108</v>
      </c>
      <c r="Y118" s="56"/>
    </row>
    <row r="119" spans="3:25" x14ac:dyDescent="0.3">
      <c r="C119" s="170">
        <f t="shared" si="15"/>
        <v>44018</v>
      </c>
      <c r="E119" s="284">
        <v>397649</v>
      </c>
      <c r="F119" s="7"/>
      <c r="G119" s="7">
        <v>173611</v>
      </c>
      <c r="H119" s="7"/>
      <c r="I119" s="7">
        <v>46976</v>
      </c>
      <c r="J119" s="287"/>
      <c r="K119" s="7">
        <f t="shared" si="21"/>
        <v>618236</v>
      </c>
      <c r="L119" s="6"/>
      <c r="M119" s="481">
        <f t="shared" si="22"/>
        <v>1.5974078574321588E-3</v>
      </c>
      <c r="N119" s="29"/>
      <c r="O119" s="29"/>
      <c r="P119" s="29"/>
      <c r="Q119" s="375">
        <f t="shared" si="23"/>
        <v>986</v>
      </c>
      <c r="R119" s="6"/>
      <c r="S119" s="7">
        <f>32219+15229+4388</f>
        <v>51836</v>
      </c>
      <c r="T119" s="6"/>
      <c r="U119" s="286">
        <f t="shared" si="24"/>
        <v>8.3845004173163651E-2</v>
      </c>
      <c r="W119">
        <f t="shared" si="20"/>
        <v>109</v>
      </c>
      <c r="Y119" s="56"/>
    </row>
    <row r="120" spans="3:25" x14ac:dyDescent="0.3">
      <c r="C120" s="170">
        <f t="shared" si="15"/>
        <v>44019</v>
      </c>
      <c r="E120" s="284">
        <v>398237</v>
      </c>
      <c r="F120" s="7"/>
      <c r="G120" s="7">
        <v>173878</v>
      </c>
      <c r="H120" s="7"/>
      <c r="I120" s="7">
        <v>47033</v>
      </c>
      <c r="J120" s="287"/>
      <c r="K120" s="7">
        <f t="shared" si="21"/>
        <v>619148</v>
      </c>
      <c r="L120" s="6"/>
      <c r="M120" s="481">
        <f t="shared" si="22"/>
        <v>1.4751648237889738E-3</v>
      </c>
      <c r="N120" s="29"/>
      <c r="O120" s="29"/>
      <c r="P120" s="29"/>
      <c r="Q120" s="375">
        <f t="shared" si="23"/>
        <v>912</v>
      </c>
      <c r="R120" s="6"/>
      <c r="S120" s="7">
        <f>32243+15281+4338</f>
        <v>51862</v>
      </c>
      <c r="T120" s="6"/>
      <c r="U120" s="286">
        <f t="shared" si="24"/>
        <v>8.3763494350300741E-2</v>
      </c>
      <c r="W120">
        <f t="shared" si="20"/>
        <v>110</v>
      </c>
      <c r="Y120" s="56"/>
    </row>
    <row r="121" spans="3:25" x14ac:dyDescent="0.3">
      <c r="C121" s="170">
        <f t="shared" si="15"/>
        <v>44020</v>
      </c>
      <c r="E121" s="284">
        <f>398909</f>
        <v>398909</v>
      </c>
      <c r="F121" s="7"/>
      <c r="G121" s="7">
        <v>174039</v>
      </c>
      <c r="H121" s="7"/>
      <c r="I121" s="7">
        <v>47108</v>
      </c>
      <c r="J121" s="287"/>
      <c r="K121" s="7">
        <f t="shared" si="21"/>
        <v>620056</v>
      </c>
      <c r="L121" s="6"/>
      <c r="M121" s="481">
        <f t="shared" si="22"/>
        <v>1.4665314270578278E-3</v>
      </c>
      <c r="N121" s="29"/>
      <c r="O121" s="29"/>
      <c r="P121" s="29"/>
      <c r="Q121" s="375">
        <f t="shared" si="23"/>
        <v>908</v>
      </c>
      <c r="R121" s="6"/>
      <c r="S121" s="7">
        <f>32251+15332+4343</f>
        <v>51926</v>
      </c>
      <c r="T121" s="6"/>
      <c r="U121" s="286">
        <f t="shared" si="24"/>
        <v>8.3744048924613262E-2</v>
      </c>
      <c r="W121">
        <f t="shared" si="20"/>
        <v>111</v>
      </c>
      <c r="Y121" s="56"/>
    </row>
    <row r="122" spans="3:25" x14ac:dyDescent="0.3">
      <c r="C122" s="170">
        <f t="shared" si="15"/>
        <v>44021</v>
      </c>
      <c r="E122" s="284">
        <v>399477</v>
      </c>
      <c r="F122" s="7"/>
      <c r="G122" s="7">
        <v>174270</v>
      </c>
      <c r="H122" s="7"/>
      <c r="I122" s="7">
        <v>47209</v>
      </c>
      <c r="J122" s="287"/>
      <c r="K122" s="7">
        <f t="shared" si="21"/>
        <v>620956</v>
      </c>
      <c r="L122" s="6"/>
      <c r="M122" s="481">
        <f t="shared" si="22"/>
        <v>1.4514818016437224E-3</v>
      </c>
      <c r="N122" s="29"/>
      <c r="O122" s="29"/>
      <c r="P122" s="29"/>
      <c r="Q122" s="375">
        <f t="shared" si="23"/>
        <v>900</v>
      </c>
      <c r="R122" s="6"/>
      <c r="S122" s="7">
        <f>32283+15448+4348</f>
        <v>52079</v>
      </c>
      <c r="T122" s="6"/>
      <c r="U122" s="286">
        <f t="shared" si="24"/>
        <v>8.3869066407281673E-2</v>
      </c>
      <c r="W122">
        <f t="shared" si="20"/>
        <v>112</v>
      </c>
      <c r="Y122" s="56"/>
    </row>
    <row r="123" spans="3:25" x14ac:dyDescent="0.3">
      <c r="C123" s="170">
        <f t="shared" si="15"/>
        <v>44022</v>
      </c>
      <c r="E123" s="284">
        <v>400299</v>
      </c>
      <c r="F123" s="7"/>
      <c r="G123" s="7">
        <v>174628</v>
      </c>
      <c r="H123" s="7"/>
      <c r="I123" s="7">
        <v>47287</v>
      </c>
      <c r="J123" s="287"/>
      <c r="K123" s="7">
        <f t="shared" si="21"/>
        <v>622214</v>
      </c>
      <c r="L123" s="6"/>
      <c r="M123" s="481">
        <f t="shared" si="22"/>
        <v>2.0259084379569566E-3</v>
      </c>
      <c r="N123" s="29"/>
      <c r="O123" s="29"/>
      <c r="P123" s="29"/>
      <c r="Q123" s="375">
        <f t="shared" si="23"/>
        <v>1258</v>
      </c>
      <c r="R123" s="6"/>
      <c r="S123" s="7">
        <f>32307+15479+4348</f>
        <v>52134</v>
      </c>
      <c r="T123" s="6"/>
      <c r="U123" s="286">
        <f t="shared" si="24"/>
        <v>8.378789291144205E-2</v>
      </c>
      <c r="W123">
        <f t="shared" si="20"/>
        <v>113</v>
      </c>
      <c r="Y123" s="56"/>
    </row>
    <row r="124" spans="3:25" x14ac:dyDescent="0.3">
      <c r="C124" s="170">
        <f t="shared" si="15"/>
        <v>44023</v>
      </c>
      <c r="E124" s="284">
        <v>401029</v>
      </c>
      <c r="F124" s="7"/>
      <c r="G124" s="7">
        <v>174959</v>
      </c>
      <c r="H124" s="7"/>
      <c r="I124" s="7">
        <v>47237</v>
      </c>
      <c r="J124" s="287"/>
      <c r="K124" s="7">
        <f t="shared" si="21"/>
        <v>623225</v>
      </c>
      <c r="L124" s="6"/>
      <c r="M124" s="481">
        <f t="shared" si="22"/>
        <v>1.6248428997097462E-3</v>
      </c>
      <c r="N124" s="29"/>
      <c r="O124" s="29"/>
      <c r="P124" s="29"/>
      <c r="Q124" s="375">
        <f t="shared" si="23"/>
        <v>1011</v>
      </c>
      <c r="R124" s="6"/>
      <c r="S124" s="7">
        <f>32343+15525+4348</f>
        <v>52216</v>
      </c>
      <c r="T124" s="6"/>
      <c r="U124" s="286">
        <f t="shared" si="24"/>
        <v>8.3783545268562715E-2</v>
      </c>
      <c r="W124">
        <f t="shared" si="20"/>
        <v>114</v>
      </c>
      <c r="Y124" s="56"/>
    </row>
    <row r="125" spans="3:25" x14ac:dyDescent="0.3">
      <c r="C125" s="170">
        <f t="shared" si="15"/>
        <v>44024</v>
      </c>
      <c r="E125" s="284">
        <v>401556</v>
      </c>
      <c r="F125" s="7"/>
      <c r="G125" s="7">
        <v>175298</v>
      </c>
      <c r="H125" s="7"/>
      <c r="I125" s="7">
        <v>47287</v>
      </c>
      <c r="J125" s="287"/>
      <c r="K125" s="7">
        <f t="shared" si="21"/>
        <v>624141</v>
      </c>
      <c r="L125" s="6"/>
      <c r="M125" s="481">
        <f t="shared" si="22"/>
        <v>1.4697741586104536E-3</v>
      </c>
      <c r="N125" s="29"/>
      <c r="O125" s="29"/>
      <c r="P125" s="29"/>
      <c r="Q125" s="375">
        <f t="shared" si="23"/>
        <v>916</v>
      </c>
      <c r="R125" s="6"/>
      <c r="S125" s="7">
        <f>32350+15525+4348</f>
        <v>52223</v>
      </c>
      <c r="T125" s="6"/>
      <c r="U125" s="286">
        <f t="shared" si="24"/>
        <v>8.3671798519885737E-2</v>
      </c>
      <c r="W125">
        <f t="shared" si="20"/>
        <v>115</v>
      </c>
      <c r="Y125" s="56"/>
    </row>
    <row r="126" spans="3:25" x14ac:dyDescent="0.3">
      <c r="C126" s="170">
        <f t="shared" si="15"/>
        <v>44025</v>
      </c>
      <c r="E126" s="284">
        <v>402263</v>
      </c>
      <c r="F126" s="7"/>
      <c r="G126" s="7">
        <v>175522</v>
      </c>
      <c r="H126" s="7"/>
      <c r="I126" s="7">
        <v>47510</v>
      </c>
      <c r="J126" s="287"/>
      <c r="K126" s="7">
        <f t="shared" si="21"/>
        <v>625295</v>
      </c>
      <c r="L126" s="6"/>
      <c r="M126" s="481">
        <f t="shared" si="22"/>
        <v>1.8489411847643401E-3</v>
      </c>
      <c r="N126" s="29"/>
      <c r="O126" s="29"/>
      <c r="P126" s="29"/>
      <c r="Q126" s="375">
        <f t="shared" si="23"/>
        <v>1154</v>
      </c>
      <c r="R126" s="6"/>
      <c r="S126" s="7">
        <f>32395+15560+4371</f>
        <v>52326</v>
      </c>
      <c r="T126" s="6"/>
      <c r="U126" s="286">
        <f t="shared" si="24"/>
        <v>8.3682102047833426E-2</v>
      </c>
      <c r="W126">
        <f t="shared" si="20"/>
        <v>116</v>
      </c>
      <c r="Y126" s="56"/>
    </row>
    <row r="127" spans="3:25" x14ac:dyDescent="0.3">
      <c r="C127" s="170">
        <f t="shared" si="15"/>
        <v>44026</v>
      </c>
      <c r="E127" s="284">
        <v>403175</v>
      </c>
      <c r="F127" s="7"/>
      <c r="G127" s="7">
        <v>175915</v>
      </c>
      <c r="H127" s="7"/>
      <c r="I127" s="7">
        <v>47531</v>
      </c>
      <c r="J127" s="287"/>
      <c r="K127" s="7">
        <f t="shared" si="21"/>
        <v>626621</v>
      </c>
      <c r="L127" s="6"/>
      <c r="M127" s="481">
        <f t="shared" si="22"/>
        <v>2.1205990772355447E-3</v>
      </c>
      <c r="N127" s="29"/>
      <c r="O127" s="29"/>
      <c r="P127" s="29"/>
      <c r="Q127" s="375">
        <f t="shared" si="23"/>
        <v>1326</v>
      </c>
      <c r="R127" s="6"/>
      <c r="S127" s="7">
        <f>32408+15582+4374</f>
        <v>52364</v>
      </c>
      <c r="T127" s="6"/>
      <c r="U127" s="286">
        <f t="shared" si="24"/>
        <v>8.3565664093606815E-2</v>
      </c>
      <c r="W127">
        <f t="shared" si="20"/>
        <v>117</v>
      </c>
      <c r="Y127" s="56"/>
    </row>
    <row r="128" spans="3:25" x14ac:dyDescent="0.3">
      <c r="C128" s="170">
        <f t="shared" si="15"/>
        <v>44027</v>
      </c>
      <c r="E128" s="284">
        <v>403600</v>
      </c>
      <c r="F128" s="7"/>
      <c r="G128" s="7">
        <v>176110</v>
      </c>
      <c r="H128" s="7"/>
      <c r="I128" s="7">
        <v>47620</v>
      </c>
      <c r="J128" s="287"/>
      <c r="K128" s="7">
        <f t="shared" ref="K128" si="25">SUM(E128:I128)</f>
        <v>627330</v>
      </c>
      <c r="L128" s="6"/>
      <c r="M128" s="481">
        <f t="shared" ref="M128" si="26">+(K128-K127)/K127</f>
        <v>1.1314654312574906E-3</v>
      </c>
      <c r="N128" s="29"/>
      <c r="O128" s="29"/>
      <c r="P128" s="29"/>
      <c r="Q128" s="375">
        <f t="shared" ref="Q128" si="27">+K128-K127</f>
        <v>709</v>
      </c>
      <c r="R128" s="6"/>
      <c r="S128" s="7">
        <f>32427+15634+4380</f>
        <v>52441</v>
      </c>
      <c r="T128" s="6"/>
      <c r="U128" s="286">
        <f t="shared" ref="U128" si="28">+S128/K128</f>
        <v>8.3593961710742348E-2</v>
      </c>
      <c r="W128">
        <f t="shared" si="20"/>
        <v>118</v>
      </c>
      <c r="Y128" s="56"/>
    </row>
    <row r="129" spans="3:25" x14ac:dyDescent="0.3">
      <c r="C129" s="170">
        <f t="shared" si="15"/>
        <v>44028</v>
      </c>
      <c r="E129" s="284">
        <v>404775</v>
      </c>
      <c r="F129" s="7"/>
      <c r="G129" s="7">
        <v>176501</v>
      </c>
      <c r="H129" s="7"/>
      <c r="I129" s="7">
        <v>47750</v>
      </c>
      <c r="J129" s="287"/>
      <c r="K129" s="7">
        <f t="shared" ref="K129" si="29">SUM(E129:I129)</f>
        <v>629026</v>
      </c>
      <c r="L129" s="6"/>
      <c r="M129" s="481">
        <f t="shared" ref="M129" si="30">+(K129-K128)/K128</f>
        <v>2.7035212726953914E-3</v>
      </c>
      <c r="N129" s="29"/>
      <c r="O129" s="29"/>
      <c r="P129" s="29"/>
      <c r="Q129" s="375">
        <f t="shared" ref="Q129" si="31">+K129-K128</f>
        <v>1696</v>
      </c>
      <c r="R129" s="6"/>
      <c r="S129" s="7">
        <f>32446+15665+4389</f>
        <v>52500</v>
      </c>
      <c r="T129" s="6"/>
      <c r="U129" s="286">
        <f t="shared" ref="U129" si="32">+S129/K129</f>
        <v>8.3462368805105033E-2</v>
      </c>
      <c r="W129">
        <f t="shared" si="20"/>
        <v>119</v>
      </c>
      <c r="Y129" s="56"/>
    </row>
    <row r="130" spans="3:25" x14ac:dyDescent="0.3">
      <c r="C130" s="170">
        <f t="shared" si="15"/>
        <v>44029</v>
      </c>
      <c r="E130" s="284">
        <v>405551</v>
      </c>
      <c r="F130" s="7"/>
      <c r="G130" s="7">
        <v>176551</v>
      </c>
      <c r="H130" s="7"/>
      <c r="I130" s="7">
        <v>47893</v>
      </c>
      <c r="J130" s="287"/>
      <c r="K130" s="7">
        <f t="shared" ref="K130:K135" si="33">SUM(E130:I130)</f>
        <v>629995</v>
      </c>
      <c r="L130" s="6"/>
      <c r="M130" s="481">
        <f t="shared" ref="M130" si="34">+(K130-K129)/K129</f>
        <v>1.5404768642313673E-3</v>
      </c>
      <c r="N130" s="29"/>
      <c r="O130" s="29"/>
      <c r="P130" s="29"/>
      <c r="Q130" s="375">
        <f t="shared" ref="Q130" si="35">+K130-K129</f>
        <v>969</v>
      </c>
      <c r="R130" s="6"/>
      <c r="S130" s="7">
        <v>52728</v>
      </c>
      <c r="T130" s="6"/>
      <c r="U130" s="286">
        <f t="shared" ref="U130" si="36">+S130/K130</f>
        <v>8.3695902348431342E-2</v>
      </c>
      <c r="W130">
        <f t="shared" si="20"/>
        <v>120</v>
      </c>
      <c r="Y130" s="56"/>
    </row>
    <row r="131" spans="3:25" x14ac:dyDescent="0.3">
      <c r="C131" s="170">
        <f t="shared" si="15"/>
        <v>44030</v>
      </c>
      <c r="E131" s="284">
        <v>406750</v>
      </c>
      <c r="F131" s="7"/>
      <c r="G131" s="7">
        <v>176703</v>
      </c>
      <c r="H131" s="7"/>
      <c r="I131" s="7">
        <v>47929</v>
      </c>
      <c r="J131" s="287"/>
      <c r="K131" s="7">
        <f t="shared" si="33"/>
        <v>631382</v>
      </c>
      <c r="L131" s="6"/>
      <c r="M131" s="481">
        <f t="shared" ref="M131" si="37">+(K131-K130)/K130</f>
        <v>2.2016047746410685E-3</v>
      </c>
      <c r="N131" s="29"/>
      <c r="O131" s="29"/>
      <c r="P131" s="29"/>
      <c r="Q131" s="375">
        <f t="shared" ref="Q131" si="38">+K131-K130</f>
        <v>1387</v>
      </c>
      <c r="R131" s="6"/>
      <c r="S131" s="7">
        <v>53361</v>
      </c>
      <c r="T131" s="6"/>
      <c r="U131" s="286">
        <f t="shared" ref="U131" si="39">+S131/K131</f>
        <v>8.4514604470827481E-2</v>
      </c>
      <c r="W131">
        <f t="shared" si="20"/>
        <v>121</v>
      </c>
      <c r="Y131" s="56"/>
    </row>
    <row r="132" spans="3:25" x14ac:dyDescent="0.3">
      <c r="C132" s="170">
        <f t="shared" si="15"/>
        <v>44031</v>
      </c>
      <c r="E132" s="284">
        <v>406807</v>
      </c>
      <c r="F132" s="7"/>
      <c r="G132" s="7">
        <v>176783</v>
      </c>
      <c r="H132" s="7"/>
      <c r="I132" s="7">
        <v>47893</v>
      </c>
      <c r="J132" s="287"/>
      <c r="K132" s="7">
        <f t="shared" si="33"/>
        <v>631483</v>
      </c>
      <c r="L132" s="6"/>
      <c r="M132" s="481">
        <f t="shared" ref="M132" si="40">+(K132-K131)/K131</f>
        <v>1.599665495690406E-4</v>
      </c>
      <c r="N132" s="29"/>
      <c r="O132" s="29"/>
      <c r="P132" s="29"/>
      <c r="Q132" s="375">
        <f t="shared" ref="Q132" si="41">+K132-K131</f>
        <v>101</v>
      </c>
      <c r="R132" s="6"/>
      <c r="S132" s="7">
        <f>32463+16684+4396</f>
        <v>53543</v>
      </c>
      <c r="T132" s="6"/>
      <c r="U132" s="286">
        <f t="shared" ref="U132" si="42">+S132/K132</f>
        <v>8.4789297574123138E-2</v>
      </c>
      <c r="W132">
        <f t="shared" si="20"/>
        <v>122</v>
      </c>
      <c r="Y132" s="56"/>
    </row>
    <row r="133" spans="3:25" x14ac:dyDescent="0.3">
      <c r="C133" s="170">
        <f t="shared" si="15"/>
        <v>44032</v>
      </c>
      <c r="E133" s="284">
        <v>407326</v>
      </c>
      <c r="F133" s="7"/>
      <c r="G133" s="7">
        <v>176963</v>
      </c>
      <c r="H133" s="7"/>
      <c r="I133" s="7">
        <v>48055</v>
      </c>
      <c r="J133" s="287"/>
      <c r="K133" s="7">
        <f t="shared" si="33"/>
        <v>632344</v>
      </c>
      <c r="L133" s="6"/>
      <c r="M133" s="481">
        <f t="shared" ref="M133" si="43">+(K133-K132)/K132</f>
        <v>1.3634571318626154E-3</v>
      </c>
      <c r="N133" s="29"/>
      <c r="O133" s="29"/>
      <c r="P133" s="29"/>
      <c r="Q133" s="375">
        <f t="shared" ref="Q133" si="44">+K133-K132</f>
        <v>861</v>
      </c>
      <c r="R133" s="6"/>
      <c r="S133" s="7">
        <f>32506+15715+4406</f>
        <v>52627</v>
      </c>
      <c r="T133" s="6"/>
      <c r="U133" s="286">
        <f t="shared" ref="U133" si="45">+S133/K133</f>
        <v>8.3225269789861209E-2</v>
      </c>
      <c r="W133">
        <f t="shared" si="20"/>
        <v>123</v>
      </c>
      <c r="Y133" s="56"/>
    </row>
    <row r="134" spans="3:25" x14ac:dyDescent="0.3">
      <c r="C134" s="170">
        <f t="shared" si="15"/>
        <v>44033</v>
      </c>
      <c r="E134" s="284">
        <v>407941</v>
      </c>
      <c r="F134" s="7"/>
      <c r="G134" s="7">
        <v>177156</v>
      </c>
      <c r="H134" s="7"/>
      <c r="I134" s="7">
        <v>48096</v>
      </c>
      <c r="J134" s="287"/>
      <c r="K134" s="7">
        <f t="shared" si="33"/>
        <v>633193</v>
      </c>
      <c r="L134" s="6"/>
      <c r="M134" s="481">
        <f t="shared" ref="M134" si="46">+(K134-K133)/K133</f>
        <v>1.3426236352365169E-3</v>
      </c>
      <c r="N134" s="29"/>
      <c r="O134" s="29"/>
      <c r="P134" s="29"/>
      <c r="Q134" s="375">
        <f t="shared" ref="Q134" si="47">+K134-K133</f>
        <v>849</v>
      </c>
      <c r="R134" s="6"/>
      <c r="S134" s="7">
        <f>32520+15737+4406</f>
        <v>52663</v>
      </c>
      <c r="T134" s="6"/>
      <c r="U134" s="286">
        <f t="shared" ref="U134" si="48">+S134/K134</f>
        <v>8.3170534102556412E-2</v>
      </c>
      <c r="W134">
        <f t="shared" si="20"/>
        <v>124</v>
      </c>
      <c r="Y134" s="56"/>
    </row>
    <row r="135" spans="3:25" x14ac:dyDescent="0.3">
      <c r="C135" s="170">
        <f t="shared" si="15"/>
        <v>44034</v>
      </c>
      <c r="E135" s="284">
        <v>408886</v>
      </c>
      <c r="F135" s="7"/>
      <c r="G135" s="7">
        <v>177645</v>
      </c>
      <c r="H135" s="7"/>
      <c r="I135" s="7">
        <v>48223</v>
      </c>
      <c r="J135" s="287"/>
      <c r="K135" s="7">
        <f t="shared" si="33"/>
        <v>634754</v>
      </c>
      <c r="L135" s="6"/>
      <c r="M135" s="481">
        <f t="shared" ref="M135" si="49">+(K135-K134)/K134</f>
        <v>2.465283096938848E-3</v>
      </c>
      <c r="N135" s="29"/>
      <c r="O135" s="29"/>
      <c r="P135" s="29"/>
      <c r="Q135" s="375">
        <f t="shared" ref="Q135" si="50">+K135-K134</f>
        <v>1561</v>
      </c>
      <c r="R135" s="6"/>
      <c r="S135" s="7">
        <f>32526+15707+4406</f>
        <v>52639</v>
      </c>
      <c r="T135" s="6"/>
      <c r="U135" s="286">
        <f t="shared" ref="U135" si="51">+S135/K135</f>
        <v>8.2928189503335151E-2</v>
      </c>
      <c r="W135">
        <f t="shared" si="20"/>
        <v>125</v>
      </c>
      <c r="Y135" s="56"/>
    </row>
    <row r="136" spans="3:25" x14ac:dyDescent="0.3">
      <c r="C136" s="170">
        <f t="shared" si="15"/>
        <v>44035</v>
      </c>
      <c r="E136" s="284">
        <v>409697</v>
      </c>
      <c r="F136" s="7"/>
      <c r="G136" s="7">
        <v>177887</v>
      </c>
      <c r="H136" s="7"/>
      <c r="I136" s="7">
        <v>48232</v>
      </c>
      <c r="J136" s="287"/>
      <c r="K136" s="7">
        <f t="shared" ref="K136" si="52">SUM(E136:I136)</f>
        <v>635816</v>
      </c>
      <c r="L136" s="6"/>
      <c r="M136" s="481">
        <f t="shared" ref="M136" si="53">+(K136-K135)/K135</f>
        <v>1.6730891022348816E-3</v>
      </c>
      <c r="N136" s="29"/>
      <c r="O136" s="29"/>
      <c r="P136" s="29"/>
      <c r="Q136" s="375">
        <f t="shared" ref="Q136" si="54">+K136-K135</f>
        <v>1062</v>
      </c>
      <c r="R136" s="6"/>
      <c r="S136" s="7">
        <f>32594+15730+4410</f>
        <v>52734</v>
      </c>
      <c r="T136" s="6"/>
      <c r="U136" s="286">
        <f t="shared" ref="U136" si="55">+S136/K136</f>
        <v>8.2939089296274388E-2</v>
      </c>
      <c r="W136">
        <f t="shared" si="20"/>
        <v>126</v>
      </c>
      <c r="Y136" s="56"/>
    </row>
    <row r="137" spans="3:25" x14ac:dyDescent="0.3">
      <c r="C137" s="170">
        <f t="shared" si="15"/>
        <v>44036</v>
      </c>
      <c r="E137" s="284">
        <v>410450</v>
      </c>
      <c r="F137" s="7"/>
      <c r="G137" s="7">
        <v>178345</v>
      </c>
      <c r="H137" s="7"/>
      <c r="I137" s="7">
        <v>48776</v>
      </c>
      <c r="J137" s="287"/>
      <c r="K137" s="7">
        <v>637571</v>
      </c>
      <c r="L137" s="6"/>
      <c r="M137" s="481">
        <v>2.7602325201001548E-3</v>
      </c>
      <c r="N137" s="29"/>
      <c r="O137" s="29"/>
      <c r="P137" s="29"/>
      <c r="Q137" s="375">
        <v>1755</v>
      </c>
      <c r="R137" s="6"/>
      <c r="S137" s="7">
        <v>52774</v>
      </c>
      <c r="T137" s="6"/>
      <c r="U137" s="286">
        <v>8.2773526399412767E-2</v>
      </c>
      <c r="W137">
        <f t="shared" si="20"/>
        <v>127</v>
      </c>
      <c r="Y137" s="56"/>
    </row>
    <row r="138" spans="3:25" x14ac:dyDescent="0.3">
      <c r="C138" s="170">
        <f t="shared" si="15"/>
        <v>44037</v>
      </c>
      <c r="E138" s="284">
        <v>411200</v>
      </c>
      <c r="F138" s="7"/>
      <c r="G138" s="7">
        <v>178858</v>
      </c>
      <c r="H138" s="7"/>
      <c r="I138" s="7">
        <v>48776</v>
      </c>
      <c r="J138" s="287"/>
      <c r="K138" s="7">
        <f t="shared" ref="K138" si="56">SUM(E138:I138)</f>
        <v>638834</v>
      </c>
      <c r="L138" s="6"/>
      <c r="M138" s="481">
        <f t="shared" ref="M138" si="57">+(K138-K137)/K137</f>
        <v>1.9809558464861168E-3</v>
      </c>
      <c r="N138" s="29"/>
      <c r="O138" s="29"/>
      <c r="P138" s="29"/>
      <c r="Q138" s="375">
        <f t="shared" ref="Q138" si="58">+K138-K137</f>
        <v>1263</v>
      </c>
      <c r="R138" s="6"/>
      <c r="S138" s="7">
        <f>32608+15776+4413</f>
        <v>52797</v>
      </c>
      <c r="T138" s="6"/>
      <c r="U138" s="286">
        <f t="shared" ref="U138" si="59">+S138/K138</f>
        <v>8.264588296803238E-2</v>
      </c>
      <c r="W138">
        <f t="shared" si="20"/>
        <v>128</v>
      </c>
      <c r="Y138" s="56"/>
    </row>
    <row r="139" spans="3:25" x14ac:dyDescent="0.3">
      <c r="C139" s="170">
        <f t="shared" si="15"/>
        <v>44038</v>
      </c>
      <c r="E139" s="284">
        <v>411736</v>
      </c>
      <c r="F139" s="7"/>
      <c r="G139" s="7">
        <v>179363</v>
      </c>
      <c r="H139" s="7"/>
      <c r="I139" s="7">
        <v>48776</v>
      </c>
      <c r="J139" s="287"/>
      <c r="K139" s="7">
        <f t="shared" ref="K139" si="60">SUM(E139:I139)</f>
        <v>639875</v>
      </c>
      <c r="L139" s="6"/>
      <c r="M139" s="481">
        <f t="shared" ref="M139" si="61">+(K139-K138)/K138</f>
        <v>1.6295313023414533E-3</v>
      </c>
      <c r="N139" s="29"/>
      <c r="O139" s="29"/>
      <c r="P139" s="29"/>
      <c r="Q139" s="375">
        <f t="shared" ref="Q139" si="62">+K139-K138</f>
        <v>1041</v>
      </c>
      <c r="R139" s="6"/>
      <c r="S139" s="7">
        <f>32630+15787+4413</f>
        <v>52830</v>
      </c>
      <c r="T139" s="6"/>
      <c r="U139" s="286">
        <f t="shared" ref="U139" si="63">+S139/K139</f>
        <v>8.2563000586051968E-2</v>
      </c>
      <c r="W139">
        <f t="shared" si="20"/>
        <v>129</v>
      </c>
      <c r="Y139" s="56"/>
    </row>
    <row r="140" spans="3:25" x14ac:dyDescent="0.3">
      <c r="C140" s="170">
        <f t="shared" si="15"/>
        <v>44039</v>
      </c>
      <c r="E140" s="284">
        <v>412344</v>
      </c>
      <c r="F140" s="7"/>
      <c r="G140" s="7">
        <v>179812</v>
      </c>
      <c r="H140" s="7"/>
      <c r="I140" s="7">
        <v>48983</v>
      </c>
      <c r="J140" s="287"/>
      <c r="K140" s="7">
        <f t="shared" ref="K140" si="64">SUM(E140:I140)</f>
        <v>641139</v>
      </c>
      <c r="L140" s="6"/>
      <c r="M140" s="481">
        <f t="shared" ref="M140" si="65">+(K140-K139)/K139</f>
        <v>1.9753858175424886E-3</v>
      </c>
      <c r="N140" s="29"/>
      <c r="O140" s="29"/>
      <c r="P140" s="29"/>
      <c r="Q140" s="375">
        <f t="shared" ref="Q140" si="66">+K140-K139</f>
        <v>1264</v>
      </c>
      <c r="R140" s="6"/>
      <c r="S140" s="7">
        <f>32645+15604+4418</f>
        <v>52667</v>
      </c>
      <c r="T140" s="6"/>
      <c r="U140" s="286">
        <f t="shared" ref="U140" si="67">+S140/K140</f>
        <v>8.2145993302544379E-2</v>
      </c>
      <c r="W140">
        <f t="shared" si="20"/>
        <v>130</v>
      </c>
      <c r="Y140" s="56"/>
    </row>
    <row r="141" spans="3:25" x14ac:dyDescent="0.3">
      <c r="C141" s="170">
        <f t="shared" si="15"/>
        <v>44040</v>
      </c>
      <c r="E141" s="284">
        <v>412878</v>
      </c>
      <c r="F141" s="7"/>
      <c r="G141" s="7">
        <v>180295</v>
      </c>
      <c r="H141" s="7"/>
      <c r="I141" s="7">
        <v>49077</v>
      </c>
      <c r="J141" s="287"/>
      <c r="K141" s="7">
        <f t="shared" ref="K141" si="68">SUM(E141:I141)</f>
        <v>642250</v>
      </c>
      <c r="L141" s="6"/>
      <c r="M141" s="481">
        <f t="shared" ref="M141" si="69">+(K141-K140)/K140</f>
        <v>1.7328535621760647E-3</v>
      </c>
      <c r="N141" s="29"/>
      <c r="O141" s="29"/>
      <c r="P141" s="29"/>
      <c r="Q141" s="375">
        <f t="shared" ref="Q141" si="70">+K141-K140</f>
        <v>1111</v>
      </c>
      <c r="R141" s="6"/>
      <c r="S141" s="7">
        <f>32653+15826+4423</f>
        <v>52902</v>
      </c>
      <c r="T141" s="6"/>
      <c r="U141" s="286">
        <f t="shared" ref="U141" si="71">+S141/K141</f>
        <v>8.2369793694044374E-2</v>
      </c>
      <c r="W141">
        <f t="shared" si="20"/>
        <v>131</v>
      </c>
      <c r="Y141" s="56"/>
    </row>
    <row r="142" spans="3:25" x14ac:dyDescent="0.3">
      <c r="C142" s="170">
        <f t="shared" si="15"/>
        <v>44041</v>
      </c>
      <c r="E142" s="284">
        <v>413593</v>
      </c>
      <c r="F142" s="7"/>
      <c r="G142" s="7">
        <v>180600</v>
      </c>
      <c r="H142" s="7"/>
      <c r="I142" s="7">
        <v>49540</v>
      </c>
      <c r="J142" s="287"/>
      <c r="K142" s="7">
        <f t="shared" ref="K142" si="72">SUM(E142:I142)</f>
        <v>643733</v>
      </c>
      <c r="L142" s="6"/>
      <c r="M142" s="481">
        <f t="shared" ref="M142" si="73">+(K142-K141)/K141</f>
        <v>2.3090696769170883E-3</v>
      </c>
      <c r="N142" s="29"/>
      <c r="O142" s="29"/>
      <c r="P142" s="29"/>
      <c r="Q142" s="375">
        <f t="shared" ref="Q142" si="74">+K142-K141</f>
        <v>1483</v>
      </c>
      <c r="R142" s="6"/>
      <c r="S142" s="7">
        <f>32658+15798+4425</f>
        <v>52881</v>
      </c>
      <c r="T142" s="6"/>
      <c r="U142" s="286">
        <f t="shared" ref="U142" si="75">+S142/K142</f>
        <v>8.2147412048162824E-2</v>
      </c>
      <c r="W142">
        <f t="shared" si="20"/>
        <v>132</v>
      </c>
      <c r="Y142" s="56"/>
    </row>
    <row r="143" spans="3:25" x14ac:dyDescent="0.3">
      <c r="C143" s="170">
        <f t="shared" si="15"/>
        <v>44042</v>
      </c>
      <c r="E143" s="284">
        <v>414370</v>
      </c>
      <c r="F143" s="7"/>
      <c r="G143" s="7">
        <v>180970</v>
      </c>
      <c r="H143" s="7"/>
      <c r="I143" s="7">
        <v>49670</v>
      </c>
      <c r="J143" s="287"/>
      <c r="K143" s="7">
        <f t="shared" ref="K143" si="76">SUM(E143:I143)</f>
        <v>645010</v>
      </c>
      <c r="L143" s="6"/>
      <c r="M143" s="481">
        <f t="shared" ref="M143" si="77">+(K143-K142)/K142</f>
        <v>1.9837417065771057E-3</v>
      </c>
      <c r="N143" s="29"/>
      <c r="O143" s="29"/>
      <c r="P143" s="29"/>
      <c r="Q143" s="375">
        <f t="shared" ref="Q143" si="78">+K143-K142</f>
        <v>1277</v>
      </c>
      <c r="R143" s="6"/>
      <c r="S143" s="7">
        <f>32683+15809+4431</f>
        <v>52923</v>
      </c>
      <c r="T143" s="6"/>
      <c r="U143" s="286">
        <f t="shared" ref="U143" si="79">+S143/K143</f>
        <v>8.2049890699369007E-2</v>
      </c>
      <c r="W143">
        <f t="shared" si="20"/>
        <v>133</v>
      </c>
      <c r="Y143" s="56"/>
    </row>
    <row r="144" spans="3:25" x14ac:dyDescent="0.3">
      <c r="C144" s="170">
        <f t="shared" si="15"/>
        <v>44043</v>
      </c>
      <c r="E144" s="284">
        <v>415014</v>
      </c>
      <c r="F144" s="7"/>
      <c r="G144" s="7">
        <v>181660</v>
      </c>
      <c r="H144" s="7"/>
      <c r="I144" s="7">
        <v>49810</v>
      </c>
      <c r="J144" s="287"/>
      <c r="K144" s="7">
        <f t="shared" ref="K144" si="80">SUM(E144:I144)</f>
        <v>646484</v>
      </c>
      <c r="L144" s="6"/>
      <c r="M144" s="481">
        <f t="shared" ref="M144" si="81">+(K144-K143)/K143</f>
        <v>2.285235887815693E-3</v>
      </c>
      <c r="N144" s="29"/>
      <c r="O144" s="29"/>
      <c r="P144" s="29"/>
      <c r="Q144" s="375">
        <f t="shared" ref="Q144" si="82">+K144-K143</f>
        <v>1474</v>
      </c>
      <c r="R144" s="6"/>
      <c r="S144" s="7">
        <f>32689+15819+4432</f>
        <v>52940</v>
      </c>
      <c r="T144" s="6"/>
      <c r="U144" s="286">
        <f t="shared" ref="U144" si="83">+S144/K144</f>
        <v>8.1889110944741092E-2</v>
      </c>
      <c r="W144">
        <f t="shared" si="20"/>
        <v>134</v>
      </c>
      <c r="Y144" s="56"/>
    </row>
    <row r="145" spans="3:25" x14ac:dyDescent="0.3">
      <c r="C145" s="170">
        <f t="shared" si="15"/>
        <v>44044</v>
      </c>
      <c r="E145" s="284">
        <v>415767</v>
      </c>
      <c r="F145" s="7"/>
      <c r="G145" s="7">
        <v>181754</v>
      </c>
      <c r="H145" s="7"/>
      <c r="I145" s="7">
        <v>49810</v>
      </c>
      <c r="J145" s="287"/>
      <c r="K145" s="7">
        <f t="shared" ref="K145" si="84">SUM(E145:I145)</f>
        <v>647331</v>
      </c>
      <c r="L145" s="6"/>
      <c r="M145" s="481">
        <f t="shared" ref="M145" si="85">+(K145-K144)/K144</f>
        <v>1.3101639019681849E-3</v>
      </c>
      <c r="N145" s="29"/>
      <c r="O145" s="29"/>
      <c r="P145" s="29"/>
      <c r="Q145" s="375">
        <f t="shared" ref="Q145" si="86">+K145-K144</f>
        <v>847</v>
      </c>
      <c r="R145" s="6"/>
      <c r="S145" s="7">
        <f>32689+15819+4432</f>
        <v>52940</v>
      </c>
      <c r="T145" s="6"/>
      <c r="U145" s="286">
        <f t="shared" ref="U145" si="87">+S145/K145</f>
        <v>8.1781963168765279E-2</v>
      </c>
      <c r="W145">
        <f t="shared" si="20"/>
        <v>135</v>
      </c>
      <c r="Y145" s="56"/>
    </row>
    <row r="146" spans="3:25" x14ac:dyDescent="0.3">
      <c r="C146" s="170">
        <f t="shared" si="15"/>
        <v>44045</v>
      </c>
      <c r="E146" s="284">
        <v>416298</v>
      </c>
      <c r="F146" s="7"/>
      <c r="G146" s="7">
        <v>182350</v>
      </c>
      <c r="H146" s="7"/>
      <c r="I146" s="7">
        <v>49810</v>
      </c>
      <c r="J146" s="287"/>
      <c r="K146" s="7">
        <f t="shared" ref="K146" si="88">SUM(E146:I146)</f>
        <v>648458</v>
      </c>
      <c r="L146" s="6"/>
      <c r="M146" s="481">
        <f t="shared" ref="M146" si="89">+(K146-K145)/K145</f>
        <v>1.7409949469436811E-3</v>
      </c>
      <c r="N146" s="29"/>
      <c r="O146" s="29"/>
      <c r="P146" s="29"/>
      <c r="Q146" s="375">
        <f t="shared" ref="Q146" si="90">+K146-K145</f>
        <v>1127</v>
      </c>
      <c r="R146" s="6"/>
      <c r="S146" s="7">
        <f>32689+15819+4432</f>
        <v>52940</v>
      </c>
      <c r="T146" s="6"/>
      <c r="U146" s="286">
        <f t="shared" ref="U146" si="91">+S146/K146</f>
        <v>8.1639828639634329E-2</v>
      </c>
      <c r="W146">
        <f t="shared" si="20"/>
        <v>136</v>
      </c>
      <c r="Y146" s="56"/>
    </row>
    <row r="147" spans="3:25" x14ac:dyDescent="0.3">
      <c r="C147" s="170">
        <f t="shared" si="15"/>
        <v>44046</v>
      </c>
      <c r="E147" s="284">
        <v>416843</v>
      </c>
      <c r="F147" s="7"/>
      <c r="G147" s="7">
        <v>182614</v>
      </c>
      <c r="H147" s="7"/>
      <c r="I147" s="7">
        <v>50062</v>
      </c>
      <c r="J147" s="287"/>
      <c r="K147" s="7">
        <f t="shared" ref="K147" si="92">SUM(E147:I147)</f>
        <v>649519</v>
      </c>
      <c r="L147" s="6"/>
      <c r="M147" s="481">
        <f t="shared" ref="M147" si="93">+(K147-K146)/K146</f>
        <v>1.6361892366197966E-3</v>
      </c>
      <c r="N147" s="29"/>
      <c r="O147" s="29"/>
      <c r="P147" s="29"/>
      <c r="Q147" s="375">
        <f t="shared" ref="Q147" si="94">+K147-K146</f>
        <v>1061</v>
      </c>
      <c r="R147" s="6"/>
      <c r="S147" s="7">
        <f>32719+15846+4437</f>
        <v>53002</v>
      </c>
      <c r="T147" s="6"/>
      <c r="U147" s="286">
        <f t="shared" ref="U147" si="95">+S147/K147</f>
        <v>8.160192388521352E-2</v>
      </c>
      <c r="W147">
        <f t="shared" si="20"/>
        <v>137</v>
      </c>
      <c r="Y147" s="56"/>
    </row>
    <row r="148" spans="3:25" x14ac:dyDescent="0.3">
      <c r="C148" s="170">
        <f t="shared" si="15"/>
        <v>44047</v>
      </c>
      <c r="E148" s="284">
        <v>417689</v>
      </c>
      <c r="F148" s="7"/>
      <c r="G148" s="7">
        <v>182586</v>
      </c>
      <c r="H148" s="7"/>
      <c r="I148" s="7">
        <v>50110</v>
      </c>
      <c r="J148" s="287"/>
      <c r="K148" s="7">
        <f t="shared" ref="K148" si="96">SUM(E148:I148)</f>
        <v>650385</v>
      </c>
      <c r="L148" s="6"/>
      <c r="M148" s="481">
        <f t="shared" ref="M148" si="97">+(K148-K147)/K147</f>
        <v>1.3332943301119751E-3</v>
      </c>
      <c r="N148" s="29"/>
      <c r="O148" s="29"/>
      <c r="P148" s="29"/>
      <c r="Q148" s="375">
        <f t="shared" ref="Q148" si="98">+K148-K147</f>
        <v>866</v>
      </c>
      <c r="R148" s="6"/>
      <c r="S148" s="7">
        <f>32725+15846+4437</f>
        <v>53008</v>
      </c>
      <c r="T148" s="6"/>
      <c r="U148" s="286">
        <f t="shared" ref="U148" si="99">+S148/K148</f>
        <v>8.1502494676230233E-2</v>
      </c>
      <c r="W148">
        <f t="shared" si="20"/>
        <v>138</v>
      </c>
      <c r="Y148" s="56"/>
    </row>
    <row r="149" spans="3:25" x14ac:dyDescent="0.3">
      <c r="C149" s="170">
        <f t="shared" si="15"/>
        <v>44048</v>
      </c>
      <c r="E149" s="284">
        <v>418225</v>
      </c>
      <c r="F149" s="7"/>
      <c r="G149" s="7">
        <v>183327</v>
      </c>
      <c r="H149" s="7"/>
      <c r="I149" s="7">
        <v>50225</v>
      </c>
      <c r="J149" s="287"/>
      <c r="K149" s="7">
        <f t="shared" ref="K149" si="100">SUM(E149:I149)</f>
        <v>651777</v>
      </c>
      <c r="L149" s="6"/>
      <c r="M149" s="481">
        <f t="shared" ref="M149" si="101">+(K149-K148)/K148</f>
        <v>2.1402707627020917E-3</v>
      </c>
      <c r="N149" s="29"/>
      <c r="O149" s="29"/>
      <c r="P149" s="29"/>
      <c r="Q149" s="375">
        <f t="shared" ref="Q149" si="102">+K149-K148</f>
        <v>1392</v>
      </c>
      <c r="R149" s="6"/>
      <c r="S149" s="7">
        <f>32754+15842+4437</f>
        <v>53033</v>
      </c>
      <c r="T149" s="6"/>
      <c r="U149" s="286">
        <f t="shared" ref="U149" si="103">+S149/K149</f>
        <v>8.1366786492926266E-2</v>
      </c>
      <c r="W149">
        <f t="shared" si="20"/>
        <v>139</v>
      </c>
      <c r="Y149" s="56"/>
    </row>
    <row r="150" spans="3:25" x14ac:dyDescent="0.3">
      <c r="C150" s="170">
        <f t="shared" si="15"/>
        <v>44049</v>
      </c>
      <c r="E150" s="284">
        <v>418928</v>
      </c>
      <c r="F150" s="7"/>
      <c r="G150" s="7">
        <v>183701</v>
      </c>
      <c r="H150" s="7"/>
      <c r="I150" s="7">
        <v>50246</v>
      </c>
      <c r="J150" s="287"/>
      <c r="K150" s="7">
        <f t="shared" ref="K150" si="104">SUM(E150:I150)</f>
        <v>652875</v>
      </c>
      <c r="L150" s="6"/>
      <c r="M150" s="481">
        <f t="shared" ref="M150" si="105">+(K150-K149)/K149</f>
        <v>1.6846252629350222E-3</v>
      </c>
      <c r="N150" s="29"/>
      <c r="O150" s="29"/>
      <c r="P150" s="29"/>
      <c r="Q150" s="375">
        <f t="shared" ref="Q150" si="106">+K150-K149</f>
        <v>1098</v>
      </c>
      <c r="R150" s="6"/>
      <c r="S150" s="7">
        <f>32756+15849+4437</f>
        <v>53042</v>
      </c>
      <c r="T150" s="6"/>
      <c r="U150" s="286">
        <f t="shared" ref="U150" si="107">+S150/K150</f>
        <v>8.1243729657285088E-2</v>
      </c>
      <c r="W150">
        <f t="shared" si="20"/>
        <v>140</v>
      </c>
      <c r="Y150" s="56"/>
    </row>
    <row r="151" spans="3:25" x14ac:dyDescent="0.3">
      <c r="C151" s="170">
        <f t="shared" si="15"/>
        <v>44050</v>
      </c>
      <c r="E151" s="284">
        <v>419642</v>
      </c>
      <c r="F151" s="7"/>
      <c r="G151" s="7">
        <v>184061</v>
      </c>
      <c r="H151" s="7"/>
      <c r="I151" s="7">
        <v>50320</v>
      </c>
      <c r="J151" s="287"/>
      <c r="K151" s="7">
        <f t="shared" ref="K151" si="108">SUM(E151:I151)</f>
        <v>654023</v>
      </c>
      <c r="L151" s="6"/>
      <c r="M151" s="481">
        <f t="shared" ref="M151" si="109">+(K151-K150)/K150</f>
        <v>1.7583764120237412E-3</v>
      </c>
      <c r="N151" s="29"/>
      <c r="O151" s="29"/>
      <c r="P151" s="29"/>
      <c r="Q151" s="375">
        <f t="shared" ref="Q151" si="110">+K151-K150</f>
        <v>1148</v>
      </c>
      <c r="R151" s="6"/>
      <c r="S151" s="7">
        <f>32760+15849+4441</f>
        <v>53050</v>
      </c>
      <c r="T151" s="6"/>
      <c r="U151" s="286">
        <f t="shared" ref="U151" si="111">+S151/K151</f>
        <v>8.1113355340714316E-2</v>
      </c>
      <c r="W151">
        <f t="shared" si="20"/>
        <v>141</v>
      </c>
      <c r="Y151" s="56"/>
    </row>
    <row r="152" spans="3:25" x14ac:dyDescent="0.3">
      <c r="C152" s="170">
        <f t="shared" si="15"/>
        <v>44051</v>
      </c>
      <c r="E152" s="284">
        <v>420345</v>
      </c>
      <c r="F152" s="7"/>
      <c r="G152" s="7">
        <v>184429</v>
      </c>
      <c r="H152" s="7"/>
      <c r="I152" s="7">
        <v>50320</v>
      </c>
      <c r="J152" s="287"/>
      <c r="K152" s="7">
        <f t="shared" ref="K152" si="112">SUM(E152:I152)</f>
        <v>655094</v>
      </c>
      <c r="L152" s="6"/>
      <c r="M152" s="481">
        <f t="shared" ref="M152" si="113">+(K152-K151)/K151</f>
        <v>1.6375570889708771E-3</v>
      </c>
      <c r="N152" s="29"/>
      <c r="O152" s="29"/>
      <c r="P152" s="29"/>
      <c r="Q152" s="375">
        <f t="shared" ref="Q152" si="114">+K152-K151</f>
        <v>1071</v>
      </c>
      <c r="R152" s="6"/>
      <c r="S152" s="7">
        <f>32760+15849+4441</f>
        <v>53050</v>
      </c>
      <c r="T152" s="6"/>
      <c r="U152" s="286">
        <f t="shared" ref="U152" si="115">+S152/K152</f>
        <v>8.0980744748081951E-2</v>
      </c>
      <c r="W152">
        <f t="shared" si="20"/>
        <v>142</v>
      </c>
      <c r="Y152" s="56"/>
    </row>
    <row r="153" spans="3:25" x14ac:dyDescent="0.3">
      <c r="C153" s="170">
        <f t="shared" si="15"/>
        <v>44052</v>
      </c>
      <c r="E153" s="284">
        <v>420860</v>
      </c>
      <c r="F153" s="7"/>
      <c r="G153" s="7">
        <v>184773</v>
      </c>
      <c r="H153" s="7"/>
      <c r="I153" s="7">
        <v>50320</v>
      </c>
      <c r="J153" s="287"/>
      <c r="K153" s="7">
        <f t="shared" ref="K153" si="116">SUM(E153:I153)</f>
        <v>655953</v>
      </c>
      <c r="L153" s="6"/>
      <c r="M153" s="481">
        <f t="shared" ref="M153" si="117">+(K153-K152)/K152</f>
        <v>1.3112622005391592E-3</v>
      </c>
      <c r="N153" s="29"/>
      <c r="O153" s="29"/>
      <c r="P153" s="29"/>
      <c r="Q153" s="375">
        <f t="shared" ref="Q153" si="118">+K153-K152</f>
        <v>859</v>
      </c>
      <c r="R153" s="6"/>
      <c r="S153" s="7">
        <f>32774+15874+4441</f>
        <v>53089</v>
      </c>
      <c r="T153" s="6"/>
      <c r="U153" s="286">
        <f t="shared" ref="U153" si="119">+S153/K153</f>
        <v>8.093415229444792E-2</v>
      </c>
      <c r="W153">
        <f t="shared" si="20"/>
        <v>143</v>
      </c>
      <c r="Y153" s="56"/>
    </row>
    <row r="154" spans="3:25" x14ac:dyDescent="0.3">
      <c r="C154" s="170">
        <f t="shared" si="15"/>
        <v>44053</v>
      </c>
      <c r="E154" s="284">
        <v>421336</v>
      </c>
      <c r="F154" s="7"/>
      <c r="G154" s="7">
        <v>185031</v>
      </c>
      <c r="H154" s="7"/>
      <c r="I154" s="7">
        <v>50657</v>
      </c>
      <c r="J154" s="287"/>
      <c r="K154" s="7">
        <f t="shared" ref="K154" si="120">SUM(E154:I154)</f>
        <v>657024</v>
      </c>
      <c r="L154" s="6"/>
      <c r="M154" s="481">
        <f t="shared" ref="M154" si="121">+(K154-K153)/K153</f>
        <v>1.6327389309904825E-3</v>
      </c>
      <c r="N154" s="29"/>
      <c r="O154" s="29"/>
      <c r="P154" s="29"/>
      <c r="Q154" s="375">
        <f t="shared" ref="Q154" si="122">+K154-K153</f>
        <v>1071</v>
      </c>
      <c r="R154" s="6"/>
      <c r="S154" s="7">
        <f>32781+15878+4444</f>
        <v>53103</v>
      </c>
      <c r="T154" s="6"/>
      <c r="U154" s="286">
        <f t="shared" ref="U154" si="123">+S154/K154</f>
        <v>8.0823531560490935E-2</v>
      </c>
      <c r="W154">
        <f t="shared" si="20"/>
        <v>144</v>
      </c>
      <c r="Y154" s="56"/>
    </row>
    <row r="155" spans="3:25" x14ac:dyDescent="0.3">
      <c r="C155" s="170">
        <f t="shared" si="15"/>
        <v>44054</v>
      </c>
      <c r="E155" s="284">
        <v>422003</v>
      </c>
      <c r="F155" s="7"/>
      <c r="G155" s="7">
        <v>185475</v>
      </c>
      <c r="H155" s="7"/>
      <c r="I155" s="7">
        <v>50684</v>
      </c>
      <c r="J155" s="287"/>
      <c r="K155" s="7">
        <f t="shared" ref="K155" si="124">SUM(E155:I155)</f>
        <v>658162</v>
      </c>
      <c r="L155" s="6"/>
      <c r="M155" s="481">
        <f t="shared" ref="M155" si="125">+(K155-K154)/K154</f>
        <v>1.7320524060003895E-3</v>
      </c>
      <c r="N155" s="29"/>
      <c r="O155" s="29"/>
      <c r="P155" s="29"/>
      <c r="Q155" s="375">
        <f t="shared" ref="Q155" si="126">+K155-K154</f>
        <v>1138</v>
      </c>
      <c r="R155" s="6"/>
      <c r="S155" s="7">
        <f>32787+15890+4444</f>
        <v>53121</v>
      </c>
      <c r="T155" s="6"/>
      <c r="U155" s="286">
        <f t="shared" ref="U155" si="127">+S155/K155</f>
        <v>8.0711131909772971E-2</v>
      </c>
      <c r="W155">
        <f t="shared" si="20"/>
        <v>145</v>
      </c>
      <c r="Y155" s="56"/>
    </row>
    <row r="156" spans="3:25" x14ac:dyDescent="0.3">
      <c r="C156" s="170">
        <f t="shared" si="15"/>
        <v>44055</v>
      </c>
      <c r="E156" s="284">
        <v>422703</v>
      </c>
      <c r="F156" s="7"/>
      <c r="G156" s="7">
        <v>185938</v>
      </c>
      <c r="H156" s="7"/>
      <c r="I156" s="7">
        <v>50706</v>
      </c>
      <c r="J156" s="287"/>
      <c r="K156" s="7">
        <f t="shared" ref="K156" si="128">SUM(E156:I156)</f>
        <v>659347</v>
      </c>
      <c r="L156" s="6"/>
      <c r="M156" s="481">
        <f t="shared" ref="M156" si="129">+(K156-K155)/K155</f>
        <v>1.8004685776450175E-3</v>
      </c>
      <c r="N156" s="29"/>
      <c r="O156" s="29"/>
      <c r="P156" s="29"/>
      <c r="Q156" s="375">
        <f t="shared" ref="Q156" si="130">+K156-K155</f>
        <v>1185</v>
      </c>
      <c r="R156" s="6"/>
      <c r="S156" s="7">
        <f>32787+15890+4444</f>
        <v>53121</v>
      </c>
      <c r="T156" s="6"/>
      <c r="U156" s="286">
        <f t="shared" ref="U156" si="131">+S156/K156</f>
        <v>8.0566075222909941E-2</v>
      </c>
      <c r="W156">
        <f t="shared" si="20"/>
        <v>146</v>
      </c>
      <c r="Y156" s="56"/>
    </row>
    <row r="157" spans="3:25" x14ac:dyDescent="0.3">
      <c r="C157" s="170">
        <f t="shared" si="15"/>
        <v>44056</v>
      </c>
      <c r="E157" s="284">
        <v>423440</v>
      </c>
      <c r="F157" s="7"/>
      <c r="G157" s="7">
        <v>185594</v>
      </c>
      <c r="H157" s="7"/>
      <c r="I157" s="7">
        <v>50782</v>
      </c>
      <c r="J157" s="287"/>
      <c r="K157" s="7">
        <f t="shared" ref="K157" si="132">SUM(E157:I157)</f>
        <v>659816</v>
      </c>
      <c r="L157" s="6"/>
      <c r="M157" s="481">
        <f t="shared" ref="M157" si="133">+(K157-K156)/K156</f>
        <v>7.1130982623717105E-4</v>
      </c>
      <c r="N157" s="29"/>
      <c r="O157" s="29"/>
      <c r="P157" s="29"/>
      <c r="Q157" s="375">
        <f t="shared" ref="Q157" si="134">+K157-K156</f>
        <v>469</v>
      </c>
      <c r="R157" s="6"/>
      <c r="S157" s="7">
        <f>32806+15893+4450</f>
        <v>53149</v>
      </c>
      <c r="T157" s="6"/>
      <c r="U157" s="286">
        <f t="shared" ref="U157" si="135">+S157/K157</f>
        <v>8.0551244589400675E-2</v>
      </c>
      <c r="W157">
        <f t="shared" si="20"/>
        <v>147</v>
      </c>
      <c r="Y157" s="56"/>
    </row>
    <row r="158" spans="3:25" x14ac:dyDescent="0.3">
      <c r="C158" s="170">
        <f t="shared" si="15"/>
        <v>44057</v>
      </c>
      <c r="E158" s="284">
        <v>424167</v>
      </c>
      <c r="F158" s="7"/>
      <c r="G158" s="7">
        <v>187164</v>
      </c>
      <c r="H158" s="7"/>
      <c r="I158" s="7">
        <v>50897</v>
      </c>
      <c r="J158" s="287"/>
      <c r="K158" s="7">
        <f t="shared" ref="K158" si="136">SUM(E158:I158)</f>
        <v>662228</v>
      </c>
      <c r="L158" s="6"/>
      <c r="M158" s="481">
        <f t="shared" ref="M158" si="137">+(K158-K157)/K157</f>
        <v>3.6555645816409425E-3</v>
      </c>
      <c r="N158" s="29"/>
      <c r="O158" s="29"/>
      <c r="P158" s="29"/>
      <c r="Q158" s="375">
        <f t="shared" ref="Q158" si="138">+K158-K157</f>
        <v>2412</v>
      </c>
      <c r="R158" s="6"/>
      <c r="S158" s="7">
        <f>32827+15903+4453</f>
        <v>53183</v>
      </c>
      <c r="T158" s="6"/>
      <c r="U158" s="286">
        <f t="shared" ref="U158" si="139">+S158/K158</f>
        <v>8.0309198644575586E-2</v>
      </c>
      <c r="W158">
        <f t="shared" si="20"/>
        <v>148</v>
      </c>
      <c r="Y158" s="56"/>
    </row>
    <row r="159" spans="3:25" x14ac:dyDescent="0.3">
      <c r="C159" s="170">
        <f t="shared" si="15"/>
        <v>44058</v>
      </c>
      <c r="E159" s="284">
        <v>424901</v>
      </c>
      <c r="F159" s="7"/>
      <c r="G159" s="7">
        <v>187442</v>
      </c>
      <c r="H159" s="7"/>
      <c r="I159" s="7">
        <v>50897</v>
      </c>
      <c r="J159" s="287"/>
      <c r="K159" s="7">
        <f t="shared" ref="K159" si="140">SUM(E159:I159)</f>
        <v>663240</v>
      </c>
      <c r="L159" s="6"/>
      <c r="M159" s="481">
        <f t="shared" ref="M159" si="141">+(K159-K158)/K158</f>
        <v>1.528174586396226E-3</v>
      </c>
      <c r="N159" s="29"/>
      <c r="O159" s="29"/>
      <c r="P159" s="29"/>
      <c r="Q159" s="375">
        <f t="shared" ref="Q159" si="142">+K159-K158</f>
        <v>1012</v>
      </c>
      <c r="R159" s="6"/>
      <c r="S159" s="7">
        <f>32833+15910+4453</f>
        <v>53196</v>
      </c>
      <c r="T159" s="6"/>
      <c r="U159" s="286">
        <f t="shared" ref="U159" si="143">+S159/K159</f>
        <v>8.0206260177311375E-2</v>
      </c>
      <c r="W159">
        <f t="shared" si="20"/>
        <v>149</v>
      </c>
      <c r="Y159" s="56"/>
    </row>
    <row r="160" spans="3:25" x14ac:dyDescent="0.3">
      <c r="C160" s="170">
        <f t="shared" si="15"/>
        <v>44059</v>
      </c>
      <c r="E160" s="284">
        <v>425508</v>
      </c>
      <c r="F160" s="7"/>
      <c r="G160" s="7">
        <v>187455</v>
      </c>
      <c r="H160" s="7"/>
      <c r="I160" s="7">
        <v>50897</v>
      </c>
      <c r="J160" s="287"/>
      <c r="K160" s="7">
        <f t="shared" ref="K160" si="144">SUM(E160:I160)</f>
        <v>663860</v>
      </c>
      <c r="L160" s="6"/>
      <c r="M160" s="481">
        <f t="shared" ref="M160" si="145">+(K160-K159)/K159</f>
        <v>9.3480489717146127E-4</v>
      </c>
      <c r="N160" s="29"/>
      <c r="O160" s="29"/>
      <c r="P160" s="29"/>
      <c r="Q160" s="375">
        <f t="shared" ref="Q160" si="146">+K160-K159</f>
        <v>620</v>
      </c>
      <c r="R160" s="6"/>
      <c r="S160" s="7">
        <f>32840+15912+4453</f>
        <v>53205</v>
      </c>
      <c r="T160" s="6"/>
      <c r="U160" s="286">
        <f t="shared" ref="U160" si="147">+S160/K160</f>
        <v>8.0144910071400594E-2</v>
      </c>
      <c r="W160">
        <f t="shared" si="20"/>
        <v>150</v>
      </c>
      <c r="Y160" s="56"/>
    </row>
    <row r="161" spans="3:25" x14ac:dyDescent="0.3">
      <c r="C161" s="170">
        <f t="shared" si="15"/>
        <v>44060</v>
      </c>
      <c r="E161" s="284">
        <v>425916</v>
      </c>
      <c r="F161" s="7"/>
      <c r="G161" s="7">
        <v>187767</v>
      </c>
      <c r="H161" s="7"/>
      <c r="I161" s="7">
        <v>51267</v>
      </c>
      <c r="J161" s="287"/>
      <c r="K161" s="7">
        <f t="shared" ref="K161" si="148">SUM(E161:I161)</f>
        <v>664950</v>
      </c>
      <c r="L161" s="6"/>
      <c r="M161" s="481">
        <f t="shared" ref="M161" si="149">+(K161-K160)/K160</f>
        <v>1.6419124514204801E-3</v>
      </c>
      <c r="N161" s="29"/>
      <c r="O161" s="29"/>
      <c r="P161" s="29"/>
      <c r="Q161" s="375">
        <f t="shared" ref="Q161" si="150">+K161-K160</f>
        <v>1090</v>
      </c>
      <c r="R161" s="6"/>
      <c r="S161" s="7">
        <f>32846+15916+4456</f>
        <v>53218</v>
      </c>
      <c r="T161" s="6"/>
      <c r="U161" s="286">
        <f t="shared" ref="U161" si="151">+S161/K161</f>
        <v>8.0033085194375519E-2</v>
      </c>
      <c r="W161">
        <f t="shared" si="20"/>
        <v>151</v>
      </c>
      <c r="Y161" s="56"/>
    </row>
    <row r="162" spans="3:25" x14ac:dyDescent="0.3">
      <c r="C162" s="170">
        <f t="shared" si="15"/>
        <v>44061</v>
      </c>
      <c r="E162" s="284">
        <v>426571</v>
      </c>
      <c r="F162" s="7"/>
      <c r="G162" s="7">
        <v>188098</v>
      </c>
      <c r="H162" s="7"/>
      <c r="I162" s="7">
        <v>51255</v>
      </c>
      <c r="J162" s="287"/>
      <c r="K162" s="7">
        <f t="shared" ref="K162" si="152">SUM(E162:I162)</f>
        <v>665924</v>
      </c>
      <c r="L162" s="6"/>
      <c r="M162" s="481">
        <f t="shared" ref="M162" si="153">+(K162-K161)/K161</f>
        <v>1.4647717873524325E-3</v>
      </c>
      <c r="N162" s="29"/>
      <c r="O162" s="29"/>
      <c r="P162" s="29"/>
      <c r="Q162" s="375">
        <f t="shared" ref="Q162" si="154">+K162-K161</f>
        <v>974</v>
      </c>
      <c r="R162" s="6"/>
      <c r="S162" s="7">
        <f>325857+15925+4456</f>
        <v>346238</v>
      </c>
      <c r="T162" s="6"/>
      <c r="U162" s="286">
        <f t="shared" ref="U162" si="155">+S162/K162</f>
        <v>0.51993620893675552</v>
      </c>
      <c r="W162">
        <f t="shared" si="20"/>
        <v>152</v>
      </c>
      <c r="Y162" s="56"/>
    </row>
    <row r="163" spans="3:25" x14ac:dyDescent="0.3">
      <c r="C163" s="170">
        <f t="shared" si="15"/>
        <v>44062</v>
      </c>
      <c r="E163" s="284"/>
      <c r="F163" s="7"/>
      <c r="G163" s="7"/>
      <c r="H163" s="7"/>
      <c r="I163" s="7"/>
      <c r="J163" s="287"/>
      <c r="K163" s="7"/>
      <c r="L163" s="6"/>
      <c r="M163" s="481"/>
      <c r="N163" s="29"/>
      <c r="O163" s="29"/>
      <c r="P163" s="29"/>
      <c r="Q163" s="375"/>
      <c r="R163" s="6"/>
      <c r="S163" s="7"/>
      <c r="T163" s="6"/>
      <c r="U163" s="286"/>
      <c r="W163">
        <f t="shared" si="20"/>
        <v>153</v>
      </c>
      <c r="Y163" s="56"/>
    </row>
    <row r="164" spans="3:25" x14ac:dyDescent="0.3">
      <c r="C164" s="170">
        <f t="shared" si="15"/>
        <v>44063</v>
      </c>
      <c r="E164" s="284"/>
      <c r="F164" s="7"/>
      <c r="G164" s="7"/>
      <c r="H164" s="7"/>
      <c r="I164" s="7"/>
      <c r="J164" s="287"/>
      <c r="K164" s="7"/>
      <c r="L164" s="6"/>
      <c r="M164" s="481"/>
      <c r="N164" s="29"/>
      <c r="O164" s="29"/>
      <c r="P164" s="29"/>
      <c r="Q164" s="375"/>
      <c r="R164" s="6"/>
      <c r="S164" s="7"/>
      <c r="T164" s="6"/>
      <c r="U164" s="286"/>
      <c r="W164">
        <f t="shared" si="20"/>
        <v>154</v>
      </c>
      <c r="Y164" s="56"/>
    </row>
    <row r="165" spans="3:25" x14ac:dyDescent="0.3">
      <c r="C165" s="170">
        <f t="shared" si="15"/>
        <v>44064</v>
      </c>
      <c r="E165" s="284"/>
      <c r="F165" s="7"/>
      <c r="G165" s="7"/>
      <c r="H165" s="7"/>
      <c r="I165" s="7"/>
      <c r="J165" s="287"/>
      <c r="K165" s="7"/>
      <c r="L165" s="6"/>
      <c r="M165" s="481"/>
      <c r="N165" s="29"/>
      <c r="O165" s="29"/>
      <c r="P165" s="29"/>
      <c r="Q165" s="375"/>
      <c r="R165" s="6"/>
      <c r="S165" s="7"/>
      <c r="T165" s="6"/>
      <c r="U165" s="286"/>
      <c r="W165">
        <f t="shared" si="20"/>
        <v>155</v>
      </c>
      <c r="Y165" s="56"/>
    </row>
    <row r="166" spans="3:25" x14ac:dyDescent="0.3">
      <c r="C166" s="170">
        <f t="shared" si="15"/>
        <v>44065</v>
      </c>
      <c r="E166" s="284"/>
      <c r="F166" s="7"/>
      <c r="G166" s="7"/>
      <c r="H166" s="7"/>
      <c r="I166" s="7"/>
      <c r="J166" s="287"/>
      <c r="K166" s="7"/>
      <c r="L166" s="6"/>
      <c r="M166" s="481"/>
      <c r="N166" s="29"/>
      <c r="O166" s="29"/>
      <c r="P166" s="29"/>
      <c r="Q166" s="375"/>
      <c r="R166" s="6"/>
      <c r="S166" s="7"/>
      <c r="T166" s="6"/>
      <c r="U166" s="286"/>
      <c r="W166">
        <f t="shared" si="20"/>
        <v>156</v>
      </c>
      <c r="Y166" s="56"/>
    </row>
    <row r="167" spans="3:25" x14ac:dyDescent="0.3">
      <c r="C167" s="170">
        <f t="shared" si="15"/>
        <v>44066</v>
      </c>
      <c r="E167" s="284"/>
      <c r="F167" s="7"/>
      <c r="G167" s="7"/>
      <c r="H167" s="7"/>
      <c r="I167" s="7"/>
      <c r="J167" s="287"/>
      <c r="K167" s="7"/>
      <c r="L167" s="6"/>
      <c r="M167" s="474"/>
      <c r="N167" s="29"/>
      <c r="O167" s="29"/>
      <c r="P167" s="29"/>
      <c r="Q167" s="375"/>
      <c r="R167" s="6"/>
      <c r="S167" s="7"/>
      <c r="T167" s="6"/>
      <c r="U167" s="286"/>
      <c r="W167">
        <f t="shared" si="20"/>
        <v>157</v>
      </c>
      <c r="Y167" s="56"/>
    </row>
    <row r="168" spans="3:25" ht="15" thickBot="1" x14ac:dyDescent="0.35">
      <c r="C168" s="170">
        <f t="shared" si="15"/>
        <v>44067</v>
      </c>
      <c r="E168" s="288"/>
      <c r="F168" s="289"/>
      <c r="G168" s="289"/>
      <c r="H168" s="289"/>
      <c r="I168" s="289"/>
      <c r="J168" s="289"/>
      <c r="K168" s="289"/>
      <c r="L168" s="290"/>
      <c r="M168" s="291"/>
      <c r="N168" s="291"/>
      <c r="O168" s="291"/>
      <c r="P168" s="291"/>
      <c r="Q168" s="374"/>
      <c r="R168" s="290"/>
      <c r="S168" s="290"/>
      <c r="T168" s="290"/>
      <c r="U168" s="292"/>
      <c r="W168">
        <f t="shared" si="20"/>
        <v>158</v>
      </c>
      <c r="Y168" s="59"/>
    </row>
    <row r="169" spans="3:25" x14ac:dyDescent="0.3">
      <c r="E169" s="56"/>
      <c r="F169" s="1"/>
      <c r="G169" s="56"/>
      <c r="H169" s="56"/>
      <c r="I169" s="56"/>
      <c r="J169" s="1"/>
      <c r="K169" s="56"/>
      <c r="S169" s="56"/>
    </row>
    <row r="170" spans="3:25" x14ac:dyDescent="0.3">
      <c r="C170" s="179" t="s">
        <v>81</v>
      </c>
      <c r="E170" s="56">
        <f>+E162</f>
        <v>426571</v>
      </c>
      <c r="F170" s="56">
        <f>+F52</f>
        <v>0</v>
      </c>
      <c r="G170" s="56">
        <f t="shared" ref="G170:S170" si="156">+G162</f>
        <v>188098</v>
      </c>
      <c r="H170" s="56">
        <f t="shared" si="156"/>
        <v>0</v>
      </c>
      <c r="I170" s="56">
        <f t="shared" si="156"/>
        <v>51255</v>
      </c>
      <c r="J170" s="56">
        <f t="shared" si="156"/>
        <v>0</v>
      </c>
      <c r="K170" s="56">
        <f t="shared" si="156"/>
        <v>665924</v>
      </c>
      <c r="L170" s="56">
        <f t="shared" si="156"/>
        <v>0</v>
      </c>
      <c r="M170" s="56">
        <f t="shared" si="156"/>
        <v>1.4647717873524325E-3</v>
      </c>
      <c r="N170" s="56">
        <f t="shared" si="156"/>
        <v>0</v>
      </c>
      <c r="O170" s="56">
        <f t="shared" si="156"/>
        <v>0</v>
      </c>
      <c r="P170" s="56">
        <f t="shared" si="156"/>
        <v>0</v>
      </c>
      <c r="Q170" s="56">
        <f t="shared" si="156"/>
        <v>974</v>
      </c>
      <c r="R170" s="56">
        <f t="shared" si="156"/>
        <v>0</v>
      </c>
      <c r="S170" s="56">
        <f t="shared" si="156"/>
        <v>346238</v>
      </c>
      <c r="T170" s="56">
        <f>+T60</f>
        <v>0</v>
      </c>
    </row>
    <row r="171" spans="3:25" x14ac:dyDescent="0.3">
      <c r="E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  <c r="R171" s="56"/>
      <c r="S171" s="56"/>
    </row>
    <row r="172" spans="3:25" x14ac:dyDescent="0.3">
      <c r="E172" s="59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  <c r="R172" s="56"/>
      <c r="S172" s="56"/>
    </row>
    <row r="173" spans="3:25" x14ac:dyDescent="0.3">
      <c r="C173" s="123"/>
      <c r="D173" s="124"/>
      <c r="E173" s="392"/>
      <c r="F173" s="10"/>
      <c r="G173" s="56"/>
      <c r="H173" s="56"/>
      <c r="I173" s="56"/>
      <c r="J173" s="56"/>
      <c r="K173" s="56"/>
      <c r="L173" s="56"/>
      <c r="M173" s="56"/>
      <c r="N173" s="56"/>
      <c r="O173" s="56"/>
      <c r="P173" s="56"/>
      <c r="Q173" s="56"/>
      <c r="R173" s="56"/>
      <c r="S173" s="56"/>
    </row>
    <row r="174" spans="3:25" x14ac:dyDescent="0.3">
      <c r="E174" s="56"/>
      <c r="K174" s="56"/>
      <c r="Q174" s="56"/>
    </row>
    <row r="175" spans="3:25" x14ac:dyDescent="0.3">
      <c r="Q175" s="56"/>
      <c r="S175" s="59"/>
    </row>
    <row r="178" spans="3:41" x14ac:dyDescent="0.3">
      <c r="AO178" s="1">
        <v>3797000</v>
      </c>
    </row>
    <row r="179" spans="3:41" x14ac:dyDescent="0.3">
      <c r="C179" s="1"/>
    </row>
    <row r="180" spans="3:41" x14ac:dyDescent="0.3">
      <c r="C180" s="1"/>
      <c r="AO180" s="1">
        <v>30000</v>
      </c>
    </row>
    <row r="181" spans="3:41" x14ac:dyDescent="0.3">
      <c r="C181" s="59"/>
    </row>
    <row r="182" spans="3:41" x14ac:dyDescent="0.3">
      <c r="AO182" s="277">
        <f>+AO180/AO178</f>
        <v>7.900974453515933E-3</v>
      </c>
    </row>
  </sheetData>
  <mergeCells count="10">
    <mergeCell ref="E7:F7"/>
    <mergeCell ref="E8:U8"/>
    <mergeCell ref="G7:U7"/>
    <mergeCell ref="AA36:AI36"/>
    <mergeCell ref="AH14:AH15"/>
    <mergeCell ref="AD14:AF14"/>
    <mergeCell ref="AA25:AK25"/>
    <mergeCell ref="S9:U9"/>
    <mergeCell ref="Q9:Q10"/>
    <mergeCell ref="E9:P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J159"/>
  <sheetViews>
    <sheetView topLeftCell="A82" workbookViewId="0">
      <selection activeCell="R33" sqref="R33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13.77734375" customWidth="1"/>
    <col min="9" max="9" width="11.5546875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1.44140625" customWidth="1"/>
    <col min="18" max="18" width="16.77734375" customWidth="1"/>
    <col min="19" max="19" width="2" customWidth="1"/>
    <col min="20" max="20" width="2.33203125" customWidth="1"/>
    <col min="21" max="21" width="9.109375" bestFit="1" customWidth="1"/>
    <col min="22" max="22" width="2.21875" customWidth="1"/>
    <col min="23" max="23" width="14.6640625" bestFit="1" customWidth="1"/>
    <col min="24" max="24" width="1.88671875" customWidth="1"/>
    <col min="25" max="25" width="10.109375" bestFit="1" customWidth="1"/>
    <col min="26" max="26" width="2" customWidth="1"/>
    <col min="27" max="27" width="11.109375" bestFit="1" customWidth="1"/>
    <col min="28" max="28" width="2.33203125" customWidth="1"/>
    <col min="29" max="29" width="1.88671875" customWidth="1"/>
    <col min="30" max="30" width="2.44140625" customWidth="1"/>
    <col min="36" max="36" width="11.44140625" customWidth="1"/>
  </cols>
  <sheetData>
    <row r="1" spans="2:30" ht="15.6" x14ac:dyDescent="0.3">
      <c r="B1" s="258" t="s">
        <v>5</v>
      </c>
      <c r="C1" s="258"/>
      <c r="D1" s="258"/>
    </row>
    <row r="2" spans="2:30" ht="16.2" thickBot="1" x14ac:dyDescent="0.35">
      <c r="B2" s="258" t="s">
        <v>6</v>
      </c>
      <c r="C2" s="258"/>
      <c r="D2" s="258"/>
    </row>
    <row r="3" spans="2:30" ht="16.2" thickBot="1" x14ac:dyDescent="0.35">
      <c r="B3" s="256" t="s">
        <v>13</v>
      </c>
      <c r="C3" s="256"/>
      <c r="D3" s="166"/>
      <c r="T3" s="690" t="s">
        <v>114</v>
      </c>
      <c r="U3" s="691"/>
      <c r="V3" s="691"/>
      <c r="W3" s="691"/>
      <c r="X3" s="691"/>
      <c r="Y3" s="691"/>
      <c r="Z3" s="691"/>
      <c r="AA3" s="691"/>
      <c r="AB3" s="691"/>
      <c r="AC3" s="691"/>
      <c r="AD3" s="692"/>
    </row>
    <row r="4" spans="2:30" ht="15.6" x14ac:dyDescent="0.3">
      <c r="B4" s="256"/>
      <c r="C4" s="256"/>
      <c r="D4" s="166"/>
      <c r="T4" s="497"/>
      <c r="U4" s="498" t="s">
        <v>78</v>
      </c>
      <c r="V4" s="499"/>
      <c r="W4" s="498" t="s">
        <v>106</v>
      </c>
      <c r="X4" s="500"/>
      <c r="Y4" s="498" t="s">
        <v>107</v>
      </c>
      <c r="Z4" s="500"/>
      <c r="AA4" s="498" t="s">
        <v>73</v>
      </c>
      <c r="AB4" s="499"/>
      <c r="AC4" s="501" t="s">
        <v>15</v>
      </c>
      <c r="AD4" s="502"/>
    </row>
    <row r="5" spans="2:30" ht="15.6" x14ac:dyDescent="0.3">
      <c r="B5" s="256"/>
      <c r="C5" t="s">
        <v>92</v>
      </c>
      <c r="D5" s="166"/>
      <c r="E5" t="s">
        <v>93</v>
      </c>
      <c r="T5" s="293"/>
      <c r="U5" s="6"/>
      <c r="V5" s="6"/>
      <c r="W5" s="6"/>
      <c r="X5" s="6"/>
      <c r="Y5" s="6"/>
      <c r="Z5" s="6"/>
      <c r="AA5" s="6"/>
      <c r="AB5" s="6"/>
      <c r="AC5" s="6"/>
      <c r="AD5" s="294"/>
    </row>
    <row r="6" spans="2:30" ht="15.6" x14ac:dyDescent="0.3">
      <c r="B6" s="256"/>
      <c r="C6" s="256"/>
      <c r="D6" s="169"/>
      <c r="E6" t="s">
        <v>94</v>
      </c>
      <c r="F6" t="s">
        <v>111</v>
      </c>
      <c r="T6" s="293"/>
      <c r="U6" s="295">
        <v>43951</v>
      </c>
      <c r="V6" s="6"/>
      <c r="W6" s="7">
        <v>427734</v>
      </c>
      <c r="X6" s="6"/>
      <c r="Y6" s="44">
        <v>0.39100000000000001</v>
      </c>
      <c r="Z6" s="6"/>
      <c r="AA6" s="6"/>
      <c r="AB6" s="6"/>
      <c r="AC6" s="6"/>
      <c r="AD6" s="294"/>
    </row>
    <row r="7" spans="2:30" ht="15.6" x14ac:dyDescent="0.3">
      <c r="B7" s="256"/>
      <c r="C7" s="256"/>
      <c r="D7" s="169"/>
      <c r="E7" t="s">
        <v>95</v>
      </c>
      <c r="F7" t="s">
        <v>97</v>
      </c>
      <c r="T7" s="293"/>
      <c r="U7" s="295">
        <f>+U6+1</f>
        <v>43952</v>
      </c>
      <c r="V7" s="6"/>
      <c r="W7" s="7">
        <v>432831</v>
      </c>
      <c r="X7" s="6"/>
      <c r="Y7" s="44">
        <v>0.38300000000000001</v>
      </c>
      <c r="Z7" s="6"/>
      <c r="AA7" s="297">
        <f t="shared" ref="AA7:AA19" si="0">+W6-W7</f>
        <v>-5097</v>
      </c>
      <c r="AB7" s="6"/>
      <c r="AC7" s="6"/>
      <c r="AD7" s="294"/>
    </row>
    <row r="8" spans="2:30" ht="15.6" x14ac:dyDescent="0.3">
      <c r="B8" s="256"/>
      <c r="C8" s="256"/>
      <c r="D8" s="169"/>
      <c r="E8" t="s">
        <v>96</v>
      </c>
      <c r="F8" t="s">
        <v>112</v>
      </c>
      <c r="T8" s="293"/>
      <c r="U8" s="295">
        <f t="shared" ref="U8:U50" si="1">+U7+1</f>
        <v>43953</v>
      </c>
      <c r="V8" s="6"/>
      <c r="W8" s="7">
        <v>433512</v>
      </c>
      <c r="X8" s="6"/>
      <c r="Y8" s="44">
        <v>0.373</v>
      </c>
      <c r="Z8" s="6"/>
      <c r="AA8" s="297">
        <f t="shared" si="0"/>
        <v>-681</v>
      </c>
      <c r="AB8" s="6"/>
      <c r="AC8" s="6"/>
      <c r="AD8" s="294"/>
    </row>
    <row r="9" spans="2:30" ht="15.6" x14ac:dyDescent="0.3">
      <c r="B9" s="256"/>
      <c r="C9" s="256"/>
      <c r="D9" s="169"/>
      <c r="S9" s="472"/>
      <c r="T9" s="293"/>
      <c r="U9" s="295">
        <f t="shared" si="1"/>
        <v>43954</v>
      </c>
      <c r="V9" s="6"/>
      <c r="W9" s="7">
        <v>434345</v>
      </c>
      <c r="X9" s="6"/>
      <c r="Y9" s="44">
        <v>0.36599999999999999</v>
      </c>
      <c r="Z9" s="6"/>
      <c r="AA9" s="297">
        <f t="shared" si="0"/>
        <v>-833</v>
      </c>
      <c r="AB9" s="6"/>
      <c r="AC9" s="6"/>
      <c r="AD9" s="294"/>
    </row>
    <row r="10" spans="2:30" ht="15.6" x14ac:dyDescent="0.3">
      <c r="B10" s="256"/>
      <c r="C10" s="278" t="s">
        <v>98</v>
      </c>
      <c r="D10" s="169"/>
      <c r="E10" t="s">
        <v>101</v>
      </c>
      <c r="T10" s="293"/>
      <c r="U10" s="295">
        <f t="shared" si="1"/>
        <v>43955</v>
      </c>
      <c r="V10" s="6"/>
      <c r="W10" s="7">
        <v>458962</v>
      </c>
      <c r="X10" s="6"/>
      <c r="Y10" s="44">
        <v>0.378</v>
      </c>
      <c r="Z10" s="6"/>
      <c r="AA10" s="297">
        <f t="shared" si="0"/>
        <v>-24617</v>
      </c>
      <c r="AB10" s="6"/>
      <c r="AC10" s="6"/>
      <c r="AD10" s="294"/>
    </row>
    <row r="11" spans="2:30" ht="15.6" x14ac:dyDescent="0.3">
      <c r="B11" s="256"/>
      <c r="C11" s="256"/>
      <c r="D11" s="169"/>
      <c r="E11" t="s">
        <v>94</v>
      </c>
      <c r="F11" t="s">
        <v>99</v>
      </c>
      <c r="T11" s="293"/>
      <c r="U11" s="295">
        <f t="shared" si="1"/>
        <v>43956</v>
      </c>
      <c r="V11" s="6"/>
      <c r="W11" s="296">
        <v>455743</v>
      </c>
      <c r="X11" s="6"/>
      <c r="Y11" s="44">
        <v>0.36799999999999999</v>
      </c>
      <c r="Z11" s="6"/>
      <c r="AA11" s="297">
        <f t="shared" si="0"/>
        <v>3219</v>
      </c>
      <c r="AB11" s="6"/>
      <c r="AC11" s="301"/>
      <c r="AD11" s="294"/>
    </row>
    <row r="12" spans="2:30" ht="15.6" x14ac:dyDescent="0.3">
      <c r="B12" s="256"/>
      <c r="C12" s="256"/>
      <c r="D12" s="169"/>
      <c r="E12" t="s">
        <v>95</v>
      </c>
      <c r="F12" t="s">
        <v>100</v>
      </c>
      <c r="T12" s="293"/>
      <c r="U12" s="295">
        <f t="shared" si="1"/>
        <v>43957</v>
      </c>
      <c r="V12" s="6"/>
      <c r="W12" s="296">
        <v>454697</v>
      </c>
      <c r="X12" s="6"/>
      <c r="Y12" s="44">
        <f>+L$36</f>
        <v>9.1093302016210936E-2</v>
      </c>
      <c r="Z12" s="6"/>
      <c r="AA12" s="297">
        <f t="shared" si="0"/>
        <v>1046</v>
      </c>
      <c r="AB12" s="6"/>
      <c r="AC12" s="301"/>
      <c r="AD12" s="294"/>
    </row>
    <row r="13" spans="2:30" ht="15.6" x14ac:dyDescent="0.3">
      <c r="B13" s="256"/>
      <c r="C13" s="256"/>
      <c r="D13" s="169"/>
      <c r="T13" s="293"/>
      <c r="U13" s="295">
        <f t="shared" si="1"/>
        <v>43958</v>
      </c>
      <c r="V13" s="6"/>
      <c r="W13" s="296">
        <v>454838</v>
      </c>
      <c r="X13" s="6"/>
      <c r="Y13" s="44">
        <f>+L37</f>
        <v>0</v>
      </c>
      <c r="Z13" s="6"/>
      <c r="AA13" s="297">
        <f t="shared" si="0"/>
        <v>-141</v>
      </c>
      <c r="AB13" s="6"/>
      <c r="AC13" s="301"/>
      <c r="AD13" s="294"/>
    </row>
    <row r="14" spans="2:30" ht="15.6" x14ac:dyDescent="0.3">
      <c r="B14" s="256"/>
      <c r="C14" s="278" t="s">
        <v>102</v>
      </c>
      <c r="D14" s="169"/>
      <c r="E14" t="s">
        <v>103</v>
      </c>
      <c r="T14" s="293"/>
      <c r="U14" s="295">
        <f t="shared" si="1"/>
        <v>43959</v>
      </c>
      <c r="V14" s="6"/>
      <c r="W14" s="296">
        <v>452043</v>
      </c>
      <c r="X14" s="6"/>
      <c r="Y14" s="44">
        <f>+L38</f>
        <v>0</v>
      </c>
      <c r="Z14" s="6"/>
      <c r="AA14" s="297">
        <f t="shared" si="0"/>
        <v>2795</v>
      </c>
      <c r="AB14" s="6"/>
      <c r="AC14" s="301"/>
      <c r="AD14" s="294"/>
    </row>
    <row r="15" spans="2:30" x14ac:dyDescent="0.3">
      <c r="B15" s="256"/>
      <c r="E15" s="693" t="s">
        <v>104</v>
      </c>
      <c r="F15" s="693"/>
      <c r="G15" s="693"/>
      <c r="H15" s="693"/>
      <c r="I15" s="693"/>
      <c r="T15" s="293"/>
      <c r="U15" s="295">
        <f t="shared" si="1"/>
        <v>43960</v>
      </c>
      <c r="V15" s="6"/>
      <c r="W15" s="296">
        <v>439209</v>
      </c>
      <c r="X15" s="6"/>
      <c r="Y15" s="44">
        <f>+L40</f>
        <v>0</v>
      </c>
      <c r="Z15" s="6"/>
      <c r="AA15" s="297">
        <f t="shared" si="0"/>
        <v>12834</v>
      </c>
      <c r="AB15" s="6"/>
      <c r="AC15" s="301"/>
      <c r="AD15" s="294"/>
    </row>
    <row r="16" spans="2:30" x14ac:dyDescent="0.3">
      <c r="S16" s="472"/>
      <c r="T16" s="293"/>
      <c r="U16" s="295">
        <f t="shared" si="1"/>
        <v>43961</v>
      </c>
      <c r="V16" s="6"/>
      <c r="W16" s="296">
        <v>423501</v>
      </c>
      <c r="X16" s="6"/>
      <c r="Y16" s="44">
        <f>+L41</f>
        <v>0</v>
      </c>
      <c r="Z16" s="6"/>
      <c r="AA16" s="297">
        <f t="shared" si="0"/>
        <v>15708</v>
      </c>
      <c r="AB16" s="6"/>
      <c r="AC16" s="301"/>
      <c r="AD16" s="294"/>
    </row>
    <row r="17" spans="3:30" ht="15" thickBot="1" x14ac:dyDescent="0.35">
      <c r="C17" s="1"/>
      <c r="D17" s="1"/>
      <c r="E17" s="1"/>
      <c r="F17" s="1"/>
      <c r="G17" s="1"/>
      <c r="H17" s="1"/>
      <c r="I17" s="94"/>
      <c r="J17" s="90"/>
      <c r="K17" s="90"/>
      <c r="L17" s="90"/>
      <c r="M17" s="90"/>
      <c r="N17" s="93"/>
      <c r="O17" s="90"/>
      <c r="P17" s="90"/>
      <c r="Q17" s="90"/>
      <c r="R17" s="90"/>
      <c r="S17" s="90"/>
      <c r="T17" s="293"/>
      <c r="U17" s="295">
        <f t="shared" si="1"/>
        <v>43962</v>
      </c>
      <c r="V17" s="6"/>
      <c r="W17" s="296">
        <v>415158</v>
      </c>
      <c r="X17" s="6"/>
      <c r="Y17" s="44">
        <f>+L42</f>
        <v>0</v>
      </c>
      <c r="Z17" s="6"/>
      <c r="AA17" s="297">
        <f t="shared" si="0"/>
        <v>8343</v>
      </c>
      <c r="AB17" s="6"/>
      <c r="AC17" s="301"/>
      <c r="AD17" s="294"/>
    </row>
    <row r="18" spans="3:30" ht="15" thickBot="1" x14ac:dyDescent="0.35">
      <c r="C18" s="1"/>
      <c r="D18" s="699" t="s">
        <v>46</v>
      </c>
      <c r="E18" s="700"/>
      <c r="F18" s="700"/>
      <c r="G18" s="700"/>
      <c r="H18" s="700"/>
      <c r="I18" s="700"/>
      <c r="J18" s="700"/>
      <c r="K18" s="700"/>
      <c r="L18" s="700"/>
      <c r="M18" s="700"/>
      <c r="N18" s="700"/>
      <c r="O18" s="701"/>
      <c r="P18" s="90"/>
      <c r="Q18" s="90"/>
      <c r="R18" s="90"/>
      <c r="S18" s="90"/>
      <c r="T18" s="293"/>
      <c r="U18" s="295">
        <f t="shared" si="1"/>
        <v>43963</v>
      </c>
      <c r="V18" s="6"/>
      <c r="W18" s="296">
        <v>413524</v>
      </c>
      <c r="X18" s="6"/>
      <c r="Y18" s="44">
        <f>+L43</f>
        <v>0</v>
      </c>
      <c r="Z18" s="6"/>
      <c r="AA18" s="297">
        <f t="shared" si="0"/>
        <v>1634</v>
      </c>
      <c r="AB18" s="6"/>
      <c r="AC18" s="301"/>
      <c r="AD18" s="294"/>
    </row>
    <row r="19" spans="3:30" ht="15" thickBot="1" x14ac:dyDescent="0.35">
      <c r="C19" s="1"/>
      <c r="D19" s="145"/>
      <c r="E19" s="702" t="s">
        <v>75</v>
      </c>
      <c r="F19" s="702"/>
      <c r="G19" s="702"/>
      <c r="H19" s="702"/>
      <c r="I19" s="146" t="s">
        <v>74</v>
      </c>
      <c r="J19" s="147"/>
      <c r="K19" s="707" t="s">
        <v>72</v>
      </c>
      <c r="L19" s="707"/>
      <c r="M19" s="140"/>
      <c r="N19" s="144" t="s">
        <v>73</v>
      </c>
      <c r="O19" s="141"/>
      <c r="P19" s="114"/>
      <c r="Q19" s="114"/>
      <c r="R19" s="114"/>
      <c r="S19" s="114"/>
      <c r="T19" s="293"/>
      <c r="U19" s="295">
        <f t="shared" si="1"/>
        <v>43964</v>
      </c>
      <c r="V19" s="6"/>
      <c r="W19" s="296">
        <v>410932</v>
      </c>
      <c r="X19" s="6"/>
      <c r="Y19" s="44">
        <f>+L44</f>
        <v>0</v>
      </c>
      <c r="Z19" s="6"/>
      <c r="AA19" s="297">
        <f t="shared" si="0"/>
        <v>2592</v>
      </c>
      <c r="AB19" s="6"/>
      <c r="AC19" s="301"/>
      <c r="AD19" s="294"/>
    </row>
    <row r="20" spans="3:30" x14ac:dyDescent="0.3">
      <c r="C20" s="1"/>
      <c r="D20" s="125"/>
      <c r="E20" s="126" t="s">
        <v>134</v>
      </c>
      <c r="F20" s="127"/>
      <c r="G20" s="126"/>
      <c r="H20" s="126"/>
      <c r="I20" s="93">
        <f>+'Main Table'!H151</f>
        <v>5149723</v>
      </c>
      <c r="J20" s="128"/>
      <c r="K20" s="139"/>
      <c r="L20" s="139"/>
      <c r="M20" s="139"/>
      <c r="N20" s="139"/>
      <c r="O20" s="135"/>
      <c r="P20" s="90"/>
      <c r="Q20" s="90"/>
      <c r="R20" s="90"/>
      <c r="S20" s="90"/>
      <c r="T20" s="293"/>
      <c r="U20" s="295">
        <f t="shared" si="1"/>
        <v>43965</v>
      </c>
      <c r="V20" s="6"/>
      <c r="W20" s="296">
        <v>409640</v>
      </c>
      <c r="X20" s="6"/>
      <c r="Y20" s="44">
        <v>0</v>
      </c>
      <c r="Z20" s="6"/>
      <c r="AA20" s="297">
        <f t="shared" ref="AA20:AA51" si="2">+W19-W20</f>
        <v>1292</v>
      </c>
      <c r="AB20" s="6"/>
      <c r="AC20" s="301"/>
      <c r="AD20" s="294"/>
    </row>
    <row r="21" spans="3:30" x14ac:dyDescent="0.3">
      <c r="C21" s="1"/>
      <c r="D21" s="125"/>
      <c r="E21" s="126" t="s">
        <v>44</v>
      </c>
      <c r="F21" s="126" t="s">
        <v>4</v>
      </c>
      <c r="G21" s="126"/>
      <c r="H21" s="126"/>
      <c r="I21" s="129">
        <f>+'Main Table'!AA167</f>
        <v>175007</v>
      </c>
      <c r="J21" s="128"/>
      <c r="K21" s="139"/>
      <c r="L21" s="139"/>
      <c r="M21" s="139"/>
      <c r="N21" s="139"/>
      <c r="O21" s="135"/>
      <c r="P21" s="90"/>
      <c r="Q21" s="90"/>
      <c r="R21" s="90"/>
      <c r="S21" s="90"/>
      <c r="T21" s="293"/>
      <c r="U21" s="295">
        <f t="shared" si="1"/>
        <v>43966</v>
      </c>
      <c r="V21" s="6"/>
      <c r="W21" s="296">
        <v>405327</v>
      </c>
      <c r="X21" s="6"/>
      <c r="Y21" s="44">
        <v>0.27300000000000002</v>
      </c>
      <c r="Z21" s="6"/>
      <c r="AA21" s="297">
        <f t="shared" si="2"/>
        <v>4313</v>
      </c>
      <c r="AB21" s="6"/>
      <c r="AC21" s="301"/>
      <c r="AD21" s="294"/>
    </row>
    <row r="22" spans="3:30" x14ac:dyDescent="0.3">
      <c r="C22" s="1"/>
      <c r="D22" s="125"/>
      <c r="E22" s="126"/>
      <c r="F22" s="126" t="s">
        <v>45</v>
      </c>
      <c r="G22" s="126"/>
      <c r="H22" s="126"/>
      <c r="I22" s="158">
        <v>16966</v>
      </c>
      <c r="J22" s="128"/>
      <c r="K22" s="139"/>
      <c r="L22" s="281">
        <v>17202</v>
      </c>
      <c r="M22" s="139"/>
      <c r="N22" s="159">
        <f>+(I22-L22)/I22</f>
        <v>-1.3910173287751975E-2</v>
      </c>
      <c r="O22" s="135"/>
      <c r="P22" s="90"/>
      <c r="Q22" s="90"/>
      <c r="R22" s="90"/>
      <c r="S22" s="90"/>
      <c r="T22" s="293"/>
      <c r="U22" s="295">
        <f t="shared" si="1"/>
        <v>43967</v>
      </c>
      <c r="V22" s="6"/>
      <c r="W22" s="296">
        <v>393991</v>
      </c>
      <c r="X22" s="6"/>
      <c r="Y22" s="44">
        <v>0.26100000000000001</v>
      </c>
      <c r="Z22" s="6"/>
      <c r="AA22" s="297">
        <f t="shared" si="2"/>
        <v>11336</v>
      </c>
      <c r="AB22" s="6"/>
      <c r="AC22" s="301"/>
      <c r="AD22" s="294"/>
    </row>
    <row r="23" spans="3:30" x14ac:dyDescent="0.3">
      <c r="C23" s="1"/>
      <c r="D23" s="125"/>
      <c r="E23" s="126"/>
      <c r="F23" s="136" t="s">
        <v>70</v>
      </c>
      <c r="G23" s="136"/>
      <c r="H23" s="136"/>
      <c r="I23" s="129">
        <f>+I20-I21-I22</f>
        <v>4957750</v>
      </c>
      <c r="J23" s="128"/>
      <c r="K23" s="139"/>
      <c r="L23" s="139"/>
      <c r="M23" s="139"/>
      <c r="N23" s="139"/>
      <c r="O23" s="135"/>
      <c r="P23" s="113"/>
      <c r="Q23" s="113"/>
      <c r="R23" s="113"/>
      <c r="S23" s="473"/>
      <c r="T23" s="293"/>
      <c r="U23" s="295">
        <f t="shared" si="1"/>
        <v>43968</v>
      </c>
      <c r="V23" s="6"/>
      <c r="W23" s="296">
        <v>384245</v>
      </c>
      <c r="X23" s="6"/>
      <c r="Y23" s="44">
        <v>0.251</v>
      </c>
      <c r="Z23" s="6"/>
      <c r="AA23" s="297">
        <f t="shared" si="2"/>
        <v>9746</v>
      </c>
      <c r="AB23" s="6"/>
      <c r="AC23" s="301"/>
      <c r="AD23" s="294"/>
    </row>
    <row r="24" spans="3:30" x14ac:dyDescent="0.3">
      <c r="C24" s="1"/>
      <c r="D24" s="125"/>
      <c r="E24" s="126" t="s">
        <v>77</v>
      </c>
      <c r="F24" s="128"/>
      <c r="G24" s="128"/>
      <c r="H24" s="128"/>
      <c r="I24" s="130">
        <f>+'Main Table'!AP167</f>
        <v>3011098</v>
      </c>
      <c r="J24" s="128"/>
      <c r="K24" s="139"/>
      <c r="L24" s="139"/>
      <c r="M24" s="139"/>
      <c r="N24" s="139"/>
      <c r="O24" s="135"/>
      <c r="P24" s="113"/>
      <c r="Q24" s="113"/>
      <c r="R24" s="113"/>
      <c r="S24" s="113"/>
      <c r="T24" s="293"/>
      <c r="U24" s="295">
        <f t="shared" si="1"/>
        <v>43969</v>
      </c>
      <c r="V24" s="6"/>
      <c r="W24" s="296">
        <v>379527</v>
      </c>
      <c r="X24" s="6"/>
      <c r="Y24" s="44">
        <v>0.245</v>
      </c>
      <c r="Z24" s="6"/>
      <c r="AA24" s="297">
        <f t="shared" si="2"/>
        <v>4718</v>
      </c>
      <c r="AB24" s="6"/>
      <c r="AC24" s="301"/>
      <c r="AD24" s="294"/>
    </row>
    <row r="25" spans="3:30" x14ac:dyDescent="0.3">
      <c r="C25" s="1"/>
      <c r="D25" s="703" t="s">
        <v>49</v>
      </c>
      <c r="E25" s="704"/>
      <c r="F25" s="704"/>
      <c r="G25" s="704"/>
      <c r="H25" s="704"/>
      <c r="I25" s="131">
        <f>+I23-I24</f>
        <v>1946652</v>
      </c>
      <c r="J25" s="128"/>
      <c r="K25" s="139"/>
      <c r="L25" s="139"/>
      <c r="M25" s="139"/>
      <c r="N25" s="139"/>
      <c r="O25" s="135"/>
      <c r="P25" s="113"/>
      <c r="Q25" s="113"/>
      <c r="R25" s="113"/>
      <c r="S25" s="113"/>
      <c r="T25" s="293"/>
      <c r="U25" s="295">
        <f t="shared" si="1"/>
        <v>43970</v>
      </c>
      <c r="V25" s="6"/>
      <c r="W25" s="296">
        <v>375997</v>
      </c>
      <c r="X25" s="6"/>
      <c r="Y25" s="44">
        <v>0.23899999999999999</v>
      </c>
      <c r="Z25" s="6"/>
      <c r="AA25" s="297">
        <f t="shared" si="2"/>
        <v>3530</v>
      </c>
      <c r="AB25" s="6"/>
      <c r="AC25" s="301"/>
      <c r="AD25" s="294"/>
    </row>
    <row r="26" spans="3:30" x14ac:dyDescent="0.3">
      <c r="C26" s="1"/>
      <c r="D26" s="125"/>
      <c r="E26" s="126" t="s">
        <v>71</v>
      </c>
      <c r="F26" s="128"/>
      <c r="G26" s="128"/>
      <c r="H26" s="128"/>
      <c r="I26" s="130">
        <f>+I24</f>
        <v>3011098</v>
      </c>
      <c r="J26" s="128"/>
      <c r="K26" s="139"/>
      <c r="L26" s="139"/>
      <c r="M26" s="139"/>
      <c r="N26" s="139"/>
      <c r="O26" s="135"/>
      <c r="P26" s="90"/>
      <c r="Q26" s="90"/>
      <c r="R26" s="90"/>
      <c r="S26" s="90"/>
      <c r="T26" s="293"/>
      <c r="U26" s="295">
        <f t="shared" si="1"/>
        <v>43971</v>
      </c>
      <c r="V26" s="6"/>
      <c r="W26" s="296">
        <v>373168</v>
      </c>
      <c r="X26" s="6"/>
      <c r="Y26" s="44">
        <v>0.23400000000000001</v>
      </c>
      <c r="Z26" s="6"/>
      <c r="AA26" s="297">
        <f t="shared" si="2"/>
        <v>2829</v>
      </c>
      <c r="AB26" s="6"/>
      <c r="AC26" s="301"/>
      <c r="AD26" s="294"/>
    </row>
    <row r="27" spans="3:30" ht="15" thickBot="1" x14ac:dyDescent="0.35">
      <c r="C27" s="1"/>
      <c r="D27" s="703" t="s">
        <v>46</v>
      </c>
      <c r="E27" s="704"/>
      <c r="F27" s="704"/>
      <c r="G27" s="704"/>
      <c r="H27" s="704"/>
      <c r="I27" s="148">
        <f>+I25+I26</f>
        <v>4957750</v>
      </c>
      <c r="J27" s="128"/>
      <c r="K27" s="708">
        <v>4904673</v>
      </c>
      <c r="L27" s="708"/>
      <c r="M27" s="139"/>
      <c r="N27" s="149">
        <f>+I27-K27</f>
        <v>53077</v>
      </c>
      <c r="O27" s="135"/>
      <c r="P27" s="90"/>
      <c r="Q27" s="90"/>
      <c r="R27" s="90"/>
      <c r="S27" s="90"/>
      <c r="T27" s="293"/>
      <c r="U27" s="295">
        <f t="shared" si="1"/>
        <v>43972</v>
      </c>
      <c r="V27" s="6"/>
      <c r="W27" s="296">
        <v>346181</v>
      </c>
      <c r="X27" s="6"/>
      <c r="Y27" s="44">
        <v>0.214</v>
      </c>
      <c r="Z27" s="6"/>
      <c r="AA27" s="297">
        <f t="shared" si="2"/>
        <v>26987</v>
      </c>
      <c r="AB27" s="6"/>
      <c r="AC27" s="301"/>
      <c r="AD27" s="294"/>
    </row>
    <row r="28" spans="3:30" ht="15.6" thickTop="1" thickBot="1" x14ac:dyDescent="0.35">
      <c r="C28" s="10"/>
      <c r="D28" s="134"/>
      <c r="E28" s="705" t="s">
        <v>69</v>
      </c>
      <c r="F28" s="705"/>
      <c r="G28" s="705"/>
      <c r="H28" s="136"/>
      <c r="I28" s="274">
        <f>+I27/I32</f>
        <v>0.87791652360108419</v>
      </c>
      <c r="J28" s="139"/>
      <c r="K28" s="139"/>
      <c r="L28" s="139"/>
      <c r="M28" s="110"/>
      <c r="N28" s="506">
        <f>+N27/K27</f>
        <v>1.0821720428660586E-2</v>
      </c>
      <c r="O28" s="135"/>
      <c r="P28" s="1"/>
      <c r="Q28" s="1"/>
      <c r="R28" s="1"/>
      <c r="S28" s="1"/>
      <c r="T28" s="293"/>
      <c r="U28" s="295">
        <f t="shared" si="1"/>
        <v>43973</v>
      </c>
      <c r="V28" s="6"/>
      <c r="W28" s="296">
        <v>341216</v>
      </c>
      <c r="X28" s="6"/>
      <c r="Y28" s="44">
        <v>0.20699999999999999</v>
      </c>
      <c r="Z28" s="6"/>
      <c r="AA28" s="297">
        <f t="shared" si="2"/>
        <v>4965</v>
      </c>
      <c r="AB28" s="6"/>
      <c r="AC28" s="301"/>
      <c r="AD28" s="294"/>
    </row>
    <row r="29" spans="3:30" ht="15.6" thickTop="1" thickBot="1" x14ac:dyDescent="0.35">
      <c r="C29" s="10"/>
      <c r="D29" s="132"/>
      <c r="E29" s="137"/>
      <c r="F29" s="137"/>
      <c r="G29" s="137"/>
      <c r="H29" s="137"/>
      <c r="I29" s="138"/>
      <c r="J29" s="133"/>
      <c r="K29" s="142"/>
      <c r="L29" s="142"/>
      <c r="M29" s="142"/>
      <c r="N29" s="142"/>
      <c r="O29" s="143"/>
      <c r="P29" s="1"/>
      <c r="Q29" s="1"/>
      <c r="R29" s="1"/>
      <c r="S29" s="1"/>
      <c r="T29" s="293"/>
      <c r="U29" s="295">
        <f t="shared" si="1"/>
        <v>43974</v>
      </c>
      <c r="V29" s="6"/>
      <c r="W29" s="296">
        <v>336852</v>
      </c>
      <c r="X29" s="6"/>
      <c r="Y29" s="44">
        <v>0.20200000000000001</v>
      </c>
      <c r="Z29" s="6"/>
      <c r="AA29" s="297">
        <f t="shared" si="2"/>
        <v>4364</v>
      </c>
      <c r="AB29" s="6"/>
      <c r="AC29" s="301"/>
      <c r="AD29" s="294"/>
    </row>
    <row r="30" spans="3:30" ht="15" thickBot="1" x14ac:dyDescent="0.35">
      <c r="C30" s="10"/>
      <c r="D30" s="90"/>
      <c r="E30" s="110"/>
      <c r="F30" s="110"/>
      <c r="G30" s="110"/>
      <c r="H30" s="110"/>
      <c r="I30" s="110"/>
      <c r="J30" s="90"/>
      <c r="P30" s="90"/>
      <c r="Q30" s="90"/>
      <c r="R30" s="90"/>
      <c r="S30" s="469"/>
      <c r="T30" s="293"/>
      <c r="U30" s="295">
        <f t="shared" si="1"/>
        <v>43975</v>
      </c>
      <c r="V30" s="6"/>
      <c r="W30" s="296">
        <v>336142</v>
      </c>
      <c r="X30" s="6"/>
      <c r="Y30" s="44">
        <v>0.19900000000000001</v>
      </c>
      <c r="Z30" s="6"/>
      <c r="AA30" s="297">
        <f t="shared" si="2"/>
        <v>710</v>
      </c>
      <c r="AB30" s="6"/>
      <c r="AC30" s="301"/>
      <c r="AD30" s="294"/>
    </row>
    <row r="31" spans="3:30" ht="16.2" thickBot="1" x14ac:dyDescent="0.35">
      <c r="C31" s="90"/>
      <c r="D31" s="272"/>
      <c r="E31" s="684" t="s">
        <v>114</v>
      </c>
      <c r="F31" s="685"/>
      <c r="G31" s="685"/>
      <c r="H31" s="685"/>
      <c r="I31" s="685"/>
      <c r="J31" s="686"/>
      <c r="K31" s="271"/>
      <c r="L31" s="270" t="s">
        <v>10</v>
      </c>
      <c r="M31" s="269"/>
      <c r="N31" s="268"/>
      <c r="O31" s="110"/>
      <c r="P31" s="90"/>
      <c r="Q31" s="90"/>
      <c r="R31" s="90"/>
      <c r="S31" s="90"/>
      <c r="T31" s="293"/>
      <c r="U31" s="295">
        <f t="shared" si="1"/>
        <v>43976</v>
      </c>
      <c r="V31" s="6"/>
      <c r="W31" s="296">
        <v>337736</v>
      </c>
      <c r="X31" s="6"/>
      <c r="Y31" s="44">
        <v>0.19800000000000001</v>
      </c>
      <c r="Z31" s="6"/>
      <c r="AA31" s="297">
        <f t="shared" si="2"/>
        <v>-1594</v>
      </c>
      <c r="AB31" s="6"/>
      <c r="AC31" s="301"/>
      <c r="AD31" s="294"/>
    </row>
    <row r="32" spans="3:30" x14ac:dyDescent="0.3">
      <c r="C32" s="10"/>
      <c r="D32" s="259"/>
      <c r="E32" s="260" t="s">
        <v>88</v>
      </c>
      <c r="F32" s="24"/>
      <c r="G32" s="24"/>
      <c r="H32" s="24"/>
      <c r="I32" s="679">
        <f>+'Main Table'!H167</f>
        <v>5647177</v>
      </c>
      <c r="J32" s="679"/>
      <c r="K32" s="24"/>
      <c r="L32" s="25">
        <f>+I32/$I$32</f>
        <v>1</v>
      </c>
      <c r="M32" s="261"/>
      <c r="N32" s="90"/>
      <c r="O32" s="90"/>
      <c r="P32" s="90"/>
      <c r="Q32" s="90"/>
      <c r="R32" s="90"/>
      <c r="S32" s="90"/>
      <c r="T32" s="293"/>
      <c r="U32" s="295">
        <f t="shared" si="1"/>
        <v>43977</v>
      </c>
      <c r="V32" s="6"/>
      <c r="W32" s="296">
        <v>333791</v>
      </c>
      <c r="X32" s="6"/>
      <c r="Y32" s="44">
        <v>0.193</v>
      </c>
      <c r="Z32" s="6"/>
      <c r="AA32" s="297">
        <f t="shared" si="2"/>
        <v>3945</v>
      </c>
      <c r="AB32" s="6"/>
      <c r="AC32" s="301"/>
      <c r="AD32" s="294"/>
    </row>
    <row r="33" spans="3:30" x14ac:dyDescent="0.3">
      <c r="C33" s="10"/>
      <c r="D33" s="259"/>
      <c r="E33" s="260"/>
      <c r="F33" s="24"/>
      <c r="G33" s="24"/>
      <c r="H33" s="24"/>
      <c r="I33" s="24"/>
      <c r="J33" s="24"/>
      <c r="K33" s="24"/>
      <c r="L33" s="24"/>
      <c r="M33" s="261"/>
      <c r="N33" s="90"/>
      <c r="O33" s="90"/>
      <c r="P33" s="90"/>
      <c r="Q33" s="90"/>
      <c r="R33" s="90"/>
      <c r="S33" s="90"/>
      <c r="T33" s="293"/>
      <c r="U33" s="295">
        <f t="shared" si="1"/>
        <v>43978</v>
      </c>
      <c r="V33" s="6"/>
      <c r="W33" s="296">
        <v>332639</v>
      </c>
      <c r="X33" s="6"/>
      <c r="Y33" s="44">
        <v>0.191</v>
      </c>
      <c r="Z33" s="6"/>
      <c r="AA33" s="297">
        <f t="shared" si="2"/>
        <v>1152</v>
      </c>
      <c r="AB33" s="6"/>
      <c r="AC33" s="301"/>
      <c r="AD33" s="294"/>
    </row>
    <row r="34" spans="3:30" x14ac:dyDescent="0.3">
      <c r="D34" s="262"/>
      <c r="E34" s="22"/>
      <c r="F34" s="263" t="s">
        <v>113</v>
      </c>
      <c r="G34" s="263"/>
      <c r="H34" s="22"/>
      <c r="I34" s="680">
        <f>+I27</f>
        <v>4957750</v>
      </c>
      <c r="J34" s="681"/>
      <c r="K34" s="22"/>
      <c r="L34" s="25">
        <f>+I34/$I$32</f>
        <v>0.87791652360108419</v>
      </c>
      <c r="M34" s="264"/>
      <c r="P34" s="232"/>
      <c r="Q34" s="232"/>
      <c r="R34" s="232"/>
      <c r="S34" s="232"/>
      <c r="T34" s="293"/>
      <c r="U34" s="295">
        <f t="shared" si="1"/>
        <v>43979</v>
      </c>
      <c r="V34" s="6"/>
      <c r="W34" s="296">
        <v>328088</v>
      </c>
      <c r="X34" s="6"/>
      <c r="Y34" s="44">
        <v>0.186</v>
      </c>
      <c r="Z34" s="6"/>
      <c r="AA34" s="297">
        <f t="shared" si="2"/>
        <v>4551</v>
      </c>
      <c r="AB34" s="6"/>
      <c r="AC34" s="301"/>
      <c r="AD34" s="294"/>
    </row>
    <row r="35" spans="3:30" x14ac:dyDescent="0.3">
      <c r="D35" s="262"/>
      <c r="E35" s="22"/>
      <c r="F35" s="22" t="s">
        <v>89</v>
      </c>
      <c r="G35" s="22"/>
      <c r="H35" s="22"/>
      <c r="I35" s="687">
        <f>+I21</f>
        <v>175007</v>
      </c>
      <c r="J35" s="688"/>
      <c r="K35" s="22"/>
      <c r="L35" s="25">
        <f>+I35/$I$32</f>
        <v>3.0990174382704846E-2</v>
      </c>
      <c r="M35" s="264"/>
      <c r="P35" s="273"/>
      <c r="Q35" s="273"/>
      <c r="R35" s="273"/>
      <c r="S35" s="273"/>
      <c r="T35" s="293"/>
      <c r="U35" s="295">
        <f t="shared" si="1"/>
        <v>43980</v>
      </c>
      <c r="V35" s="6"/>
      <c r="W35" s="296">
        <v>326426</v>
      </c>
      <c r="X35" s="6"/>
      <c r="Y35" s="44">
        <v>0.182</v>
      </c>
      <c r="Z35" s="6"/>
      <c r="AA35" s="297">
        <f t="shared" si="2"/>
        <v>1662</v>
      </c>
      <c r="AB35" s="6"/>
      <c r="AC35" s="301"/>
      <c r="AD35" s="294"/>
    </row>
    <row r="36" spans="3:30" ht="15" thickBot="1" x14ac:dyDescent="0.35">
      <c r="D36" s="262"/>
      <c r="E36" s="706" t="s">
        <v>114</v>
      </c>
      <c r="F36" s="706"/>
      <c r="G36" s="706"/>
      <c r="H36" s="275"/>
      <c r="I36" s="682">
        <f>+I32-I34-I35</f>
        <v>514420</v>
      </c>
      <c r="J36" s="683"/>
      <c r="K36" s="302"/>
      <c r="L36" s="276">
        <f>+I36/$I$32</f>
        <v>9.1093302016210936E-2</v>
      </c>
      <c r="M36" s="264"/>
      <c r="T36" s="293"/>
      <c r="U36" s="295">
        <f t="shared" si="1"/>
        <v>43981</v>
      </c>
      <c r="V36" s="6"/>
      <c r="W36" s="296">
        <v>326228</v>
      </c>
      <c r="X36" s="6"/>
      <c r="Y36" s="44">
        <v>0.16900000000000001</v>
      </c>
      <c r="Z36" s="6"/>
      <c r="AA36" s="297">
        <f t="shared" si="2"/>
        <v>198</v>
      </c>
      <c r="AB36" s="6"/>
      <c r="AC36" s="301"/>
      <c r="AD36" s="294"/>
    </row>
    <row r="37" spans="3:30" ht="15.6" thickTop="1" thickBot="1" x14ac:dyDescent="0.35">
      <c r="D37" s="265"/>
      <c r="E37" s="266"/>
      <c r="F37" s="266"/>
      <c r="G37" s="266"/>
      <c r="H37" s="266"/>
      <c r="I37" s="266"/>
      <c r="J37" s="266"/>
      <c r="K37" s="266"/>
      <c r="L37" s="266"/>
      <c r="M37" s="267"/>
      <c r="S37" s="472"/>
      <c r="T37" s="293"/>
      <c r="U37" s="295">
        <f t="shared" si="1"/>
        <v>43982</v>
      </c>
      <c r="V37" s="6"/>
      <c r="W37" s="296">
        <v>303951</v>
      </c>
      <c r="X37" s="6"/>
      <c r="Y37" s="44">
        <v>0.16500000000000001</v>
      </c>
      <c r="Z37" s="6"/>
      <c r="AA37" s="297">
        <f t="shared" si="2"/>
        <v>22277</v>
      </c>
      <c r="AB37" s="6"/>
      <c r="AC37" s="301"/>
      <c r="AD37" s="294"/>
    </row>
    <row r="38" spans="3:30" x14ac:dyDescent="0.3">
      <c r="T38" s="293"/>
      <c r="U38" s="295">
        <f t="shared" si="1"/>
        <v>43983</v>
      </c>
      <c r="V38" s="6"/>
      <c r="W38" s="296">
        <v>305817</v>
      </c>
      <c r="X38" s="6"/>
      <c r="Y38" s="44">
        <v>0.16400000000000001</v>
      </c>
      <c r="Z38" s="6"/>
      <c r="AA38" s="297">
        <f t="shared" si="2"/>
        <v>-1866</v>
      </c>
      <c r="AB38" s="6"/>
      <c r="AC38" s="301"/>
      <c r="AD38" s="294"/>
    </row>
    <row r="39" spans="3:30" x14ac:dyDescent="0.3">
      <c r="T39" s="293"/>
      <c r="U39" s="295">
        <f t="shared" si="1"/>
        <v>43984</v>
      </c>
      <c r="V39" s="6"/>
      <c r="W39" s="296">
        <v>305724</v>
      </c>
      <c r="X39" s="6"/>
      <c r="Y39" s="44">
        <v>0.16300000000000001</v>
      </c>
      <c r="Z39" s="6"/>
      <c r="AA39" s="297">
        <f t="shared" si="2"/>
        <v>93</v>
      </c>
      <c r="AB39" s="6"/>
      <c r="AC39" s="301"/>
      <c r="AD39" s="294"/>
    </row>
    <row r="40" spans="3:30" ht="15" thickBot="1" x14ac:dyDescent="0.35">
      <c r="T40" s="293"/>
      <c r="U40" s="295">
        <f t="shared" si="1"/>
        <v>43985</v>
      </c>
      <c r="V40" s="6"/>
      <c r="W40" s="296">
        <v>297824</v>
      </c>
      <c r="X40" s="6"/>
      <c r="Y40" s="44">
        <v>0.157</v>
      </c>
      <c r="Z40" s="6"/>
      <c r="AA40" s="297">
        <f t="shared" si="2"/>
        <v>7900</v>
      </c>
      <c r="AB40" s="6"/>
      <c r="AC40" s="301"/>
      <c r="AD40" s="294"/>
    </row>
    <row r="41" spans="3:30" ht="15" thickBot="1" x14ac:dyDescent="0.35">
      <c r="D41" s="694" t="s">
        <v>127</v>
      </c>
      <c r="E41" s="695"/>
      <c r="F41" s="695"/>
      <c r="G41" s="695"/>
      <c r="H41" s="695"/>
      <c r="I41" s="695"/>
      <c r="J41" s="695"/>
      <c r="K41" s="695"/>
      <c r="L41" s="695"/>
      <c r="M41" s="695"/>
      <c r="N41" s="695"/>
      <c r="O41" s="696"/>
      <c r="T41" s="293"/>
      <c r="U41" s="295">
        <f t="shared" si="1"/>
        <v>43986</v>
      </c>
      <c r="V41" s="6"/>
      <c r="W41" s="296">
        <v>296183</v>
      </c>
      <c r="X41" s="6"/>
      <c r="Y41" s="44">
        <v>0.154</v>
      </c>
      <c r="Z41" s="6"/>
      <c r="AA41" s="297">
        <f t="shared" si="2"/>
        <v>1641</v>
      </c>
      <c r="AB41" s="6"/>
      <c r="AC41" s="301"/>
      <c r="AD41" s="294"/>
    </row>
    <row r="42" spans="3:30" ht="15" thickBot="1" x14ac:dyDescent="0.35">
      <c r="D42" s="320"/>
      <c r="E42" s="697" t="s">
        <v>75</v>
      </c>
      <c r="F42" s="697"/>
      <c r="G42" s="697"/>
      <c r="H42" s="697"/>
      <c r="I42" s="303" t="s">
        <v>74</v>
      </c>
      <c r="J42" s="304"/>
      <c r="K42" s="698" t="s">
        <v>37</v>
      </c>
      <c r="L42" s="698"/>
      <c r="M42" s="305"/>
      <c r="N42" s="306" t="s">
        <v>73</v>
      </c>
      <c r="O42" s="321"/>
      <c r="T42" s="293"/>
      <c r="U42" s="295">
        <f t="shared" si="1"/>
        <v>43987</v>
      </c>
      <c r="V42" s="6"/>
      <c r="W42" s="296">
        <v>299564</v>
      </c>
      <c r="X42" s="6"/>
      <c r="Y42" s="44">
        <v>0.154</v>
      </c>
      <c r="Z42" s="6"/>
      <c r="AA42" s="297">
        <f t="shared" si="2"/>
        <v>-3381</v>
      </c>
      <c r="AB42" s="6"/>
      <c r="AC42" s="301"/>
      <c r="AD42" s="294"/>
    </row>
    <row r="43" spans="3:30" x14ac:dyDescent="0.3">
      <c r="D43" s="322"/>
      <c r="E43" s="307" t="s">
        <v>43</v>
      </c>
      <c r="F43" s="308"/>
      <c r="G43" s="307"/>
      <c r="H43" s="307"/>
      <c r="I43" s="379">
        <v>25405</v>
      </c>
      <c r="J43" s="379"/>
      <c r="K43" s="380"/>
      <c r="L43" s="380"/>
      <c r="M43" s="380"/>
      <c r="N43" s="380"/>
      <c r="O43" s="314"/>
      <c r="T43" s="293"/>
      <c r="U43" s="295">
        <f t="shared" si="1"/>
        <v>43988</v>
      </c>
      <c r="V43" s="6"/>
      <c r="W43" s="296">
        <v>299553</v>
      </c>
      <c r="X43" s="6"/>
      <c r="Y43" s="44">
        <v>0.154</v>
      </c>
      <c r="Z43" s="6"/>
      <c r="AA43" s="297">
        <f t="shared" si="2"/>
        <v>11</v>
      </c>
      <c r="AB43" s="6"/>
      <c r="AC43" s="301"/>
      <c r="AD43" s="294"/>
    </row>
    <row r="44" spans="3:30" x14ac:dyDescent="0.3">
      <c r="D44" s="322"/>
      <c r="E44" s="307" t="s">
        <v>44</v>
      </c>
      <c r="F44" s="307" t="s">
        <v>4</v>
      </c>
      <c r="G44" s="307"/>
      <c r="H44" s="307"/>
      <c r="I44" s="379">
        <v>1836</v>
      </c>
      <c r="J44" s="379"/>
      <c r="K44" s="380"/>
      <c r="L44" s="380"/>
      <c r="M44" s="380"/>
      <c r="N44" s="380"/>
      <c r="O44" s="314"/>
      <c r="T44" s="293"/>
      <c r="U44" s="295">
        <f t="shared" si="1"/>
        <v>43989</v>
      </c>
      <c r="V44" s="6"/>
      <c r="W44" s="296">
        <v>301798</v>
      </c>
      <c r="X44" s="6"/>
      <c r="Y44" s="44">
        <v>0.152</v>
      </c>
      <c r="Z44" s="6"/>
      <c r="AA44" s="297">
        <f t="shared" si="2"/>
        <v>-2245</v>
      </c>
      <c r="AB44" s="6"/>
      <c r="AC44" s="301"/>
      <c r="AD44" s="294"/>
    </row>
    <row r="45" spans="3:30" x14ac:dyDescent="0.3">
      <c r="D45" s="322"/>
      <c r="E45" s="307"/>
      <c r="F45" s="307" t="s">
        <v>45</v>
      </c>
      <c r="G45" s="307"/>
      <c r="H45" s="307"/>
      <c r="I45" s="381">
        <v>1397</v>
      </c>
      <c r="J45" s="379"/>
      <c r="K45" s="380"/>
      <c r="L45" s="379"/>
      <c r="M45" s="380"/>
      <c r="N45" s="382"/>
      <c r="O45" s="314"/>
      <c r="T45" s="293"/>
      <c r="U45" s="295">
        <f t="shared" si="1"/>
        <v>43990</v>
      </c>
      <c r="V45" s="6"/>
      <c r="W45" s="296">
        <v>301795</v>
      </c>
      <c r="X45" s="6"/>
      <c r="Y45" s="44">
        <v>0.15</v>
      </c>
      <c r="Z45" s="6"/>
      <c r="AA45" s="297">
        <f t="shared" si="2"/>
        <v>3</v>
      </c>
      <c r="AB45" s="6"/>
      <c r="AC45" s="301"/>
      <c r="AD45" s="294"/>
    </row>
    <row r="46" spans="3:30" x14ac:dyDescent="0.3">
      <c r="D46" s="322"/>
      <c r="E46" s="307"/>
      <c r="F46" s="311" t="s">
        <v>70</v>
      </c>
      <c r="G46" s="311"/>
      <c r="H46" s="311"/>
      <c r="I46" s="379">
        <f>+I43-I44-I45</f>
        <v>22172</v>
      </c>
      <c r="J46" s="379"/>
      <c r="K46" s="380"/>
      <c r="L46" s="380"/>
      <c r="M46" s="380"/>
      <c r="N46" s="380"/>
      <c r="O46" s="314"/>
      <c r="T46" s="293"/>
      <c r="U46" s="295">
        <f t="shared" si="1"/>
        <v>43991</v>
      </c>
      <c r="V46" s="6"/>
      <c r="W46" s="296">
        <v>300305</v>
      </c>
      <c r="X46" s="6"/>
      <c r="Y46" s="44">
        <v>0.14799999999999999</v>
      </c>
      <c r="Z46" s="6"/>
      <c r="AA46" s="297">
        <f t="shared" si="2"/>
        <v>1490</v>
      </c>
      <c r="AB46" s="6"/>
      <c r="AC46" s="301"/>
      <c r="AD46" s="294"/>
    </row>
    <row r="47" spans="3:30" x14ac:dyDescent="0.3">
      <c r="D47" s="322"/>
      <c r="E47" s="307" t="s">
        <v>77</v>
      </c>
      <c r="F47" s="309"/>
      <c r="G47" s="309"/>
      <c r="H47" s="309"/>
      <c r="I47" s="381">
        <f>+'Main Table'!AP185</f>
        <v>1970617</v>
      </c>
      <c r="J47" s="379"/>
      <c r="K47" s="380"/>
      <c r="L47" s="380"/>
      <c r="M47" s="380"/>
      <c r="N47" s="380"/>
      <c r="O47" s="314"/>
      <c r="T47" s="293"/>
      <c r="U47" s="295">
        <f t="shared" si="1"/>
        <v>43992</v>
      </c>
      <c r="V47" s="6"/>
      <c r="W47" s="296">
        <v>298430</v>
      </c>
      <c r="X47" s="6"/>
      <c r="Y47" s="44">
        <v>0.14599999999999999</v>
      </c>
      <c r="Z47" s="6"/>
      <c r="AA47" s="297">
        <f t="shared" si="2"/>
        <v>1875</v>
      </c>
      <c r="AB47" s="6"/>
      <c r="AC47" s="301"/>
      <c r="AD47" s="294"/>
    </row>
    <row r="48" spans="3:30" x14ac:dyDescent="0.3">
      <c r="D48" s="663" t="s">
        <v>49</v>
      </c>
      <c r="E48" s="664"/>
      <c r="F48" s="664"/>
      <c r="G48" s="664"/>
      <c r="H48" s="664"/>
      <c r="I48" s="312">
        <f>+I46-I47</f>
        <v>-1948445</v>
      </c>
      <c r="J48" s="379"/>
      <c r="K48" s="380"/>
      <c r="L48" s="380"/>
      <c r="M48" s="380"/>
      <c r="N48" s="380"/>
      <c r="O48" s="314"/>
      <c r="T48" s="293"/>
      <c r="U48" s="295">
        <f t="shared" si="1"/>
        <v>43993</v>
      </c>
      <c r="V48" s="6"/>
      <c r="W48" s="296">
        <v>296204</v>
      </c>
      <c r="X48" s="6"/>
      <c r="Y48" s="44">
        <v>0.14199999999999999</v>
      </c>
      <c r="Z48" s="6"/>
      <c r="AA48" s="297">
        <f t="shared" si="2"/>
        <v>2226</v>
      </c>
      <c r="AB48" s="6"/>
      <c r="AC48" s="301"/>
      <c r="AD48" s="294"/>
    </row>
    <row r="49" spans="4:32" x14ac:dyDescent="0.3">
      <c r="D49" s="322"/>
      <c r="E49" s="307" t="s">
        <v>71</v>
      </c>
      <c r="F49" s="309"/>
      <c r="G49" s="309"/>
      <c r="H49" s="309"/>
      <c r="I49" s="381">
        <f>+I47</f>
        <v>1970617</v>
      </c>
      <c r="J49" s="379"/>
      <c r="K49" s="380"/>
      <c r="L49" s="380"/>
      <c r="M49" s="380"/>
      <c r="N49" s="380"/>
      <c r="O49" s="314"/>
      <c r="T49" s="293"/>
      <c r="U49" s="295">
        <f t="shared" si="1"/>
        <v>43994</v>
      </c>
      <c r="V49" s="6"/>
      <c r="W49" s="296">
        <v>300135</v>
      </c>
      <c r="X49" s="6"/>
      <c r="Y49" s="44">
        <v>0.14199999999999999</v>
      </c>
      <c r="Z49" s="6"/>
      <c r="AA49" s="297">
        <f t="shared" si="2"/>
        <v>-3931</v>
      </c>
      <c r="AB49" s="6"/>
      <c r="AC49" s="301"/>
      <c r="AD49" s="294"/>
    </row>
    <row r="50" spans="4:32" ht="15" thickBot="1" x14ac:dyDescent="0.35">
      <c r="D50" s="663" t="s">
        <v>46</v>
      </c>
      <c r="E50" s="664"/>
      <c r="F50" s="664"/>
      <c r="G50" s="664"/>
      <c r="H50" s="664"/>
      <c r="I50" s="383">
        <f>+I48+I49</f>
        <v>22172</v>
      </c>
      <c r="J50" s="379"/>
      <c r="K50" s="665">
        <v>30167</v>
      </c>
      <c r="L50" s="665"/>
      <c r="M50" s="380"/>
      <c r="N50" s="384">
        <f>+K50-I50</f>
        <v>7995</v>
      </c>
      <c r="O50" s="314"/>
      <c r="T50" s="293"/>
      <c r="U50" s="295">
        <f t="shared" si="1"/>
        <v>43995</v>
      </c>
      <c r="V50" s="6"/>
      <c r="W50" s="296">
        <v>305087</v>
      </c>
      <c r="X50" s="6"/>
      <c r="Y50" s="44">
        <v>0.14199999999999999</v>
      </c>
      <c r="Z50" s="6"/>
      <c r="AA50" s="297">
        <f t="shared" si="2"/>
        <v>-4952</v>
      </c>
      <c r="AB50" s="6"/>
      <c r="AC50" s="301"/>
      <c r="AD50" s="294"/>
    </row>
    <row r="51" spans="4:32" ht="15.6" thickTop="1" thickBot="1" x14ac:dyDescent="0.35">
      <c r="D51" s="313"/>
      <c r="E51" s="666" t="s">
        <v>69</v>
      </c>
      <c r="F51" s="666"/>
      <c r="G51" s="666"/>
      <c r="H51" s="311"/>
      <c r="I51" s="385">
        <f>+I50/K50</f>
        <v>0.73497530414028578</v>
      </c>
      <c r="J51" s="380"/>
      <c r="K51" s="380"/>
      <c r="L51" s="380"/>
      <c r="M51" s="380"/>
      <c r="N51" s="386">
        <f>+N50/K50</f>
        <v>0.26502469585971428</v>
      </c>
      <c r="O51" s="314"/>
      <c r="S51" s="56"/>
      <c r="T51" s="293"/>
      <c r="U51" s="295">
        <f>+U50+1</f>
        <v>43996</v>
      </c>
      <c r="V51" s="6"/>
      <c r="W51" s="296">
        <v>302731</v>
      </c>
      <c r="X51" s="6"/>
      <c r="Y51" s="44">
        <v>0.14000000000000001</v>
      </c>
      <c r="Z51" s="6"/>
      <c r="AA51" s="297">
        <f t="shared" si="2"/>
        <v>2356</v>
      </c>
      <c r="AB51" s="6"/>
      <c r="AC51" s="301"/>
      <c r="AD51" s="294"/>
    </row>
    <row r="52" spans="4:32" ht="15.6" thickTop="1" thickBot="1" x14ac:dyDescent="0.35">
      <c r="D52" s="323"/>
      <c r="E52" s="324"/>
      <c r="F52" s="324"/>
      <c r="G52" s="324"/>
      <c r="H52" s="324"/>
      <c r="I52" s="387"/>
      <c r="J52" s="388"/>
      <c r="K52" s="389"/>
      <c r="L52" s="389"/>
      <c r="M52" s="389"/>
      <c r="N52" s="389"/>
      <c r="O52" s="317"/>
      <c r="T52" s="293"/>
      <c r="U52" s="295">
        <f t="shared" ref="U52:U123" si="3">+U51+1</f>
        <v>43997</v>
      </c>
      <c r="V52" s="6"/>
      <c r="W52" s="296">
        <v>301583</v>
      </c>
      <c r="X52" s="6"/>
      <c r="Y52" s="44">
        <v>0.13800000000000001</v>
      </c>
      <c r="Z52" s="6"/>
      <c r="AA52" s="297">
        <f t="shared" ref="AA52:AA63" si="4">+W51-W52</f>
        <v>1148</v>
      </c>
      <c r="AB52" s="6"/>
      <c r="AC52" s="301"/>
      <c r="AD52" s="294"/>
    </row>
    <row r="53" spans="4:32" ht="15" thickBot="1" x14ac:dyDescent="0.35">
      <c r="D53" s="90"/>
      <c r="E53" s="151"/>
      <c r="F53" s="151"/>
      <c r="G53" s="151"/>
      <c r="H53" s="151"/>
      <c r="I53" s="353"/>
      <c r="J53" s="90"/>
      <c r="K53" s="110"/>
      <c r="L53" s="110"/>
      <c r="M53" s="359"/>
      <c r="N53" s="110"/>
      <c r="O53" s="110"/>
      <c r="P53" s="61"/>
      <c r="Q53" s="61"/>
      <c r="R53" s="61"/>
      <c r="T53" s="293"/>
      <c r="U53" s="295">
        <f t="shared" si="3"/>
        <v>43998</v>
      </c>
      <c r="V53" s="6"/>
      <c r="W53" s="296">
        <v>306362</v>
      </c>
      <c r="X53" s="6"/>
      <c r="Y53" s="44">
        <v>0.13900000000000001</v>
      </c>
      <c r="Z53" s="6"/>
      <c r="AA53" s="297">
        <f t="shared" si="4"/>
        <v>-4779</v>
      </c>
      <c r="AB53" s="6"/>
      <c r="AC53" s="301"/>
      <c r="AD53" s="294"/>
    </row>
    <row r="54" spans="4:32" ht="16.2" thickBot="1" x14ac:dyDescent="0.35">
      <c r="D54" s="360"/>
      <c r="E54" s="667" t="s">
        <v>128</v>
      </c>
      <c r="F54" s="668"/>
      <c r="G54" s="668"/>
      <c r="H54" s="668"/>
      <c r="I54" s="668"/>
      <c r="J54" s="669"/>
      <c r="K54" s="361"/>
      <c r="L54" s="364" t="s">
        <v>10</v>
      </c>
      <c r="M54" s="363"/>
      <c r="N54" s="110"/>
      <c r="O54" s="110"/>
      <c r="P54" s="61"/>
      <c r="Q54" s="61"/>
      <c r="R54" s="61"/>
      <c r="T54" s="293"/>
      <c r="U54" s="295">
        <f t="shared" si="3"/>
        <v>43999</v>
      </c>
      <c r="V54" s="6"/>
      <c r="W54" s="296">
        <v>310165</v>
      </c>
      <c r="X54" s="6"/>
      <c r="Y54" s="44">
        <v>0.13900000000000001</v>
      </c>
      <c r="Z54" s="6"/>
      <c r="AA54" s="297">
        <f t="shared" si="4"/>
        <v>-3803</v>
      </c>
      <c r="AB54" s="6"/>
      <c r="AC54" s="301"/>
      <c r="AD54" s="294"/>
    </row>
    <row r="55" spans="4:32" x14ac:dyDescent="0.3">
      <c r="D55" s="322"/>
      <c r="E55" s="354" t="s">
        <v>88</v>
      </c>
      <c r="F55" s="309"/>
      <c r="G55" s="309"/>
      <c r="H55" s="309"/>
      <c r="I55" s="670">
        <f>+K50</f>
        <v>30167</v>
      </c>
      <c r="J55" s="670"/>
      <c r="K55" s="309"/>
      <c r="L55" s="355">
        <f>+I55/$I$55</f>
        <v>1</v>
      </c>
      <c r="M55" s="362"/>
      <c r="N55" s="110"/>
      <c r="O55" s="110"/>
      <c r="P55" s="61"/>
      <c r="Q55" s="61"/>
      <c r="R55" s="61"/>
      <c r="T55" s="293"/>
      <c r="U55" s="295">
        <f t="shared" si="3"/>
        <v>44000</v>
      </c>
      <c r="V55" s="6"/>
      <c r="W55" s="296">
        <v>321504</v>
      </c>
      <c r="X55" s="6"/>
      <c r="Y55" s="44">
        <v>0.13800000000000001</v>
      </c>
      <c r="Z55" s="6"/>
      <c r="AA55" s="297">
        <f t="shared" si="4"/>
        <v>-11339</v>
      </c>
      <c r="AB55" s="6"/>
      <c r="AC55" s="301"/>
      <c r="AD55" s="294"/>
    </row>
    <row r="56" spans="4:32" x14ac:dyDescent="0.3">
      <c r="D56" s="322"/>
      <c r="E56" s="354"/>
      <c r="F56" s="309"/>
      <c r="G56" s="309"/>
      <c r="H56" s="309"/>
      <c r="I56" s="309"/>
      <c r="J56" s="309"/>
      <c r="K56" s="309"/>
      <c r="L56" s="309"/>
      <c r="M56" s="362"/>
      <c r="N56" s="110"/>
      <c r="O56" s="110"/>
      <c r="P56" s="61"/>
      <c r="Q56" s="61"/>
      <c r="R56" s="61"/>
      <c r="T56" s="293"/>
      <c r="U56" s="295">
        <f t="shared" si="3"/>
        <v>44001</v>
      </c>
      <c r="V56" s="6"/>
      <c r="W56" s="296">
        <v>323237</v>
      </c>
      <c r="X56" s="6"/>
      <c r="Y56" s="44">
        <v>0.14099999999999999</v>
      </c>
      <c r="Z56" s="6"/>
      <c r="AA56" s="297">
        <f t="shared" si="4"/>
        <v>-1733</v>
      </c>
      <c r="AB56" s="6"/>
      <c r="AC56" s="301"/>
      <c r="AD56" s="294"/>
    </row>
    <row r="57" spans="4:32" x14ac:dyDescent="0.3">
      <c r="D57" s="313"/>
      <c r="E57" s="310"/>
      <c r="F57" s="356" t="s">
        <v>113</v>
      </c>
      <c r="G57" s="356"/>
      <c r="H57" s="310"/>
      <c r="I57" s="671">
        <f>+I50</f>
        <v>22172</v>
      </c>
      <c r="J57" s="672"/>
      <c r="K57" s="310"/>
      <c r="L57" s="355">
        <f>+I57/$I$55</f>
        <v>0.73497530414028578</v>
      </c>
      <c r="M57" s="314"/>
      <c r="N57" s="110"/>
      <c r="O57" s="110"/>
      <c r="P57" s="61"/>
      <c r="Q57" s="61"/>
      <c r="R57" s="61"/>
      <c r="T57" s="293"/>
      <c r="U57" s="295">
        <f t="shared" si="3"/>
        <v>44002</v>
      </c>
      <c r="V57" s="6"/>
      <c r="W57" s="296">
        <v>338196</v>
      </c>
      <c r="X57" s="6"/>
      <c r="Y57" s="44">
        <v>0.14499999999999999</v>
      </c>
      <c r="Z57" s="6"/>
      <c r="AA57" s="297">
        <f t="shared" si="4"/>
        <v>-14959</v>
      </c>
      <c r="AB57" s="6"/>
      <c r="AC57" s="301"/>
      <c r="AD57" s="294"/>
    </row>
    <row r="58" spans="4:32" x14ac:dyDescent="0.3">
      <c r="D58" s="313"/>
      <c r="E58" s="310"/>
      <c r="F58" s="310" t="s">
        <v>89</v>
      </c>
      <c r="G58" s="310"/>
      <c r="H58" s="310"/>
      <c r="I58" s="673">
        <f>+I44</f>
        <v>1836</v>
      </c>
      <c r="J58" s="674"/>
      <c r="K58" s="310"/>
      <c r="L58" s="355">
        <f>+I58/$I$55</f>
        <v>6.0861205953525378E-2</v>
      </c>
      <c r="M58" s="314"/>
      <c r="N58" s="110"/>
      <c r="O58" s="110"/>
      <c r="P58" s="61"/>
      <c r="Q58" s="61"/>
      <c r="R58" s="61"/>
      <c r="T58" s="293"/>
      <c r="U58" s="295">
        <f t="shared" si="3"/>
        <v>44003</v>
      </c>
      <c r="V58" s="6"/>
      <c r="W58" s="296">
        <v>345179</v>
      </c>
      <c r="X58" s="6"/>
      <c r="Y58" s="44">
        <v>0.14699999999999999</v>
      </c>
      <c r="Z58" s="6"/>
      <c r="AA58" s="297">
        <f t="shared" si="4"/>
        <v>-6983</v>
      </c>
      <c r="AB58" s="6"/>
      <c r="AC58" s="301"/>
      <c r="AD58" s="294"/>
    </row>
    <row r="59" spans="4:32" ht="15" thickBot="1" x14ac:dyDescent="0.35">
      <c r="D59" s="313"/>
      <c r="E59" s="675" t="s">
        <v>114</v>
      </c>
      <c r="F59" s="675"/>
      <c r="G59" s="675"/>
      <c r="H59" s="310"/>
      <c r="I59" s="676">
        <f>+I55-I57-I58</f>
        <v>6159</v>
      </c>
      <c r="J59" s="677"/>
      <c r="K59" s="357"/>
      <c r="L59" s="358">
        <f>+I59/$I$55</f>
        <v>0.20416348990618888</v>
      </c>
      <c r="M59" s="314"/>
      <c r="N59" s="110"/>
      <c r="O59" s="110"/>
      <c r="P59" s="157"/>
      <c r="Q59" s="157"/>
      <c r="R59" s="157"/>
      <c r="T59" s="293"/>
      <c r="U59" s="295">
        <f t="shared" si="3"/>
        <v>44004</v>
      </c>
      <c r="V59" s="6"/>
      <c r="W59" s="296">
        <v>336790</v>
      </c>
      <c r="X59" s="6"/>
      <c r="Y59" s="44">
        <v>0.14099999999999999</v>
      </c>
      <c r="Z59" s="6"/>
      <c r="AA59" s="297">
        <f t="shared" si="4"/>
        <v>8389</v>
      </c>
      <c r="AB59" s="6"/>
      <c r="AC59" s="301"/>
      <c r="AD59" s="294"/>
    </row>
    <row r="60" spans="4:32" ht="15" thickTop="1" x14ac:dyDescent="0.3">
      <c r="D60" s="313"/>
      <c r="E60" s="467"/>
      <c r="F60" s="467" t="s">
        <v>129</v>
      </c>
      <c r="G60" s="467"/>
      <c r="H60" s="310"/>
      <c r="I60" s="678">
        <f>+I45</f>
        <v>1397</v>
      </c>
      <c r="J60" s="678"/>
      <c r="K60" s="357"/>
      <c r="L60" s="377"/>
      <c r="M60" s="314"/>
      <c r="N60" s="110"/>
      <c r="O60" s="110"/>
      <c r="P60" s="157"/>
      <c r="Q60" s="157"/>
      <c r="R60" s="157"/>
      <c r="T60" s="293"/>
      <c r="U60" s="295">
        <f t="shared" si="3"/>
        <v>44005</v>
      </c>
      <c r="V60" s="6"/>
      <c r="W60" s="296">
        <v>349505</v>
      </c>
      <c r="X60" s="6"/>
      <c r="Y60" s="44">
        <v>0.14399999999999999</v>
      </c>
      <c r="Z60" s="6"/>
      <c r="AA60" s="297">
        <f t="shared" si="4"/>
        <v>-12715</v>
      </c>
      <c r="AB60" s="6"/>
      <c r="AC60" s="301"/>
      <c r="AD60" s="294"/>
      <c r="AF60" s="61"/>
    </row>
    <row r="61" spans="4:32" ht="15" thickBot="1" x14ac:dyDescent="0.35">
      <c r="D61" s="313"/>
      <c r="E61" s="376"/>
      <c r="F61" s="376" t="s">
        <v>130</v>
      </c>
      <c r="G61" s="376"/>
      <c r="H61" s="310"/>
      <c r="I61" s="676">
        <f>+I59-I60</f>
        <v>4762</v>
      </c>
      <c r="J61" s="676"/>
      <c r="K61" s="357"/>
      <c r="L61" s="358">
        <f>+I61/K50</f>
        <v>0.15785460934133325</v>
      </c>
      <c r="M61" s="314"/>
      <c r="N61" s="110"/>
      <c r="O61" s="110"/>
      <c r="P61" s="61"/>
      <c r="Q61" s="61"/>
      <c r="R61" s="61"/>
      <c r="T61" s="293"/>
      <c r="U61" s="295">
        <f t="shared" si="3"/>
        <v>44006</v>
      </c>
      <c r="V61" s="6"/>
      <c r="W61" s="296">
        <v>361428</v>
      </c>
      <c r="X61" s="6"/>
      <c r="Y61" s="44">
        <v>0.14699999999999999</v>
      </c>
      <c r="Z61" s="6"/>
      <c r="AA61" s="297">
        <f t="shared" si="4"/>
        <v>-11923</v>
      </c>
      <c r="AB61" s="6"/>
      <c r="AC61" s="301"/>
      <c r="AD61" s="294"/>
    </row>
    <row r="62" spans="4:32" ht="15.6" thickTop="1" thickBot="1" x14ac:dyDescent="0.35">
      <c r="D62" s="315"/>
      <c r="E62" s="316"/>
      <c r="F62" s="316"/>
      <c r="G62" s="316"/>
      <c r="H62" s="316"/>
      <c r="I62" s="316"/>
      <c r="J62" s="316"/>
      <c r="K62" s="316"/>
      <c r="L62" s="316"/>
      <c r="M62" s="317"/>
      <c r="N62" s="110"/>
      <c r="O62" s="110"/>
      <c r="P62" s="61"/>
      <c r="Q62" s="61"/>
      <c r="R62" s="61"/>
      <c r="T62" s="293"/>
      <c r="U62" s="295">
        <f t="shared" si="3"/>
        <v>44007</v>
      </c>
      <c r="V62" s="6"/>
      <c r="W62" s="296">
        <v>374775</v>
      </c>
      <c r="X62" s="6"/>
      <c r="Y62" s="44">
        <v>0.15</v>
      </c>
      <c r="Z62" s="6"/>
      <c r="AA62" s="297">
        <f t="shared" si="4"/>
        <v>-13347</v>
      </c>
      <c r="AB62" s="6"/>
      <c r="AC62" s="301"/>
      <c r="AD62" s="294"/>
    </row>
    <row r="63" spans="4:32" ht="15" thickBot="1" x14ac:dyDescent="0.35">
      <c r="T63" s="293"/>
      <c r="U63" s="295">
        <f t="shared" si="3"/>
        <v>44008</v>
      </c>
      <c r="V63" s="6"/>
      <c r="W63" s="296">
        <v>402712</v>
      </c>
      <c r="X63" s="6"/>
      <c r="Y63" s="44">
        <v>0.158</v>
      </c>
      <c r="Z63" s="6"/>
      <c r="AA63" s="297">
        <f t="shared" si="4"/>
        <v>-27937</v>
      </c>
      <c r="AB63" s="6"/>
      <c r="AC63" s="301"/>
      <c r="AD63" s="294"/>
    </row>
    <row r="64" spans="4:32" ht="15" thickBot="1" x14ac:dyDescent="0.35">
      <c r="E64" s="667" t="s">
        <v>117</v>
      </c>
      <c r="F64" s="668"/>
      <c r="G64" s="668"/>
      <c r="H64" s="668"/>
      <c r="I64" s="668"/>
      <c r="J64" s="668"/>
      <c r="K64" s="668"/>
      <c r="L64" s="668"/>
      <c r="M64" s="669"/>
      <c r="P64" s="370"/>
      <c r="Q64" s="370"/>
      <c r="R64" s="370"/>
      <c r="T64" s="293"/>
      <c r="U64" s="295">
        <f t="shared" si="3"/>
        <v>44009</v>
      </c>
      <c r="V64" s="6"/>
      <c r="W64" s="296">
        <v>425664</v>
      </c>
      <c r="X64" s="6"/>
      <c r="Y64" s="44">
        <v>0.16400000000000001</v>
      </c>
      <c r="Z64" s="6"/>
      <c r="AA64" s="297">
        <f t="shared" ref="AA64:AA81" si="5">+W63-W64</f>
        <v>-22952</v>
      </c>
      <c r="AB64" s="6"/>
      <c r="AC64" s="301"/>
      <c r="AD64" s="294"/>
    </row>
    <row r="65" spans="4:30" x14ac:dyDescent="0.3">
      <c r="E65" s="365"/>
      <c r="F65" s="318" t="s">
        <v>109</v>
      </c>
      <c r="G65" s="318"/>
      <c r="H65" s="318"/>
      <c r="I65" s="662">
        <v>11690000</v>
      </c>
      <c r="J65" s="662"/>
      <c r="K65" s="662"/>
      <c r="L65" s="662"/>
      <c r="M65" s="366"/>
      <c r="P65" s="57"/>
      <c r="Q65" s="57"/>
      <c r="R65" s="57"/>
      <c r="S65" s="57"/>
      <c r="T65" s="293"/>
      <c r="U65" s="295">
        <f t="shared" si="3"/>
        <v>44010</v>
      </c>
      <c r="V65" s="6"/>
      <c r="W65" s="296">
        <v>440910</v>
      </c>
      <c r="X65" s="6"/>
      <c r="Y65" s="44">
        <v>0.16700000000000001</v>
      </c>
      <c r="Z65" s="6"/>
      <c r="AA65" s="297">
        <f t="shared" si="5"/>
        <v>-15246</v>
      </c>
      <c r="AB65" s="6"/>
      <c r="AC65" s="301"/>
      <c r="AD65" s="294"/>
    </row>
    <row r="66" spans="4:30" x14ac:dyDescent="0.3">
      <c r="E66" s="365"/>
      <c r="F66" s="318" t="s">
        <v>110</v>
      </c>
      <c r="G66" s="318"/>
      <c r="H66" s="318"/>
      <c r="I66" s="318"/>
      <c r="J66" s="318"/>
      <c r="K66" s="318"/>
      <c r="L66" s="319">
        <f>+I59/I65</f>
        <v>5.2686056458511551E-4</v>
      </c>
      <c r="M66" s="366"/>
      <c r="T66" s="293"/>
      <c r="U66" s="295">
        <f t="shared" si="3"/>
        <v>44011</v>
      </c>
      <c r="V66" s="6"/>
      <c r="W66" s="296">
        <v>459097</v>
      </c>
      <c r="X66" s="6"/>
      <c r="Y66" s="44">
        <v>0.17100000000000001</v>
      </c>
      <c r="Z66" s="6"/>
      <c r="AA66" s="297">
        <f t="shared" si="5"/>
        <v>-18187</v>
      </c>
      <c r="AB66" s="6"/>
      <c r="AC66" s="301"/>
      <c r="AD66" s="294"/>
    </row>
    <row r="67" spans="4:30" x14ac:dyDescent="0.3">
      <c r="E67" s="365"/>
      <c r="F67" s="689" t="s">
        <v>108</v>
      </c>
      <c r="G67" s="689"/>
      <c r="H67" s="318"/>
      <c r="I67" s="318"/>
      <c r="J67" s="318"/>
      <c r="K67" s="318"/>
      <c r="L67" s="378">
        <f>+I59/(I65/100000)</f>
        <v>52.686056458511544</v>
      </c>
      <c r="M67" s="366"/>
      <c r="T67" s="293"/>
      <c r="U67" s="295">
        <f t="shared" si="3"/>
        <v>44012</v>
      </c>
      <c r="V67" s="6"/>
      <c r="W67" s="296">
        <v>477287</v>
      </c>
      <c r="X67" s="6"/>
      <c r="Y67" s="44">
        <v>0.17499999999999999</v>
      </c>
      <c r="Z67" s="6"/>
      <c r="AA67" s="297">
        <f t="shared" si="5"/>
        <v>-18190</v>
      </c>
      <c r="AB67" s="6"/>
      <c r="AC67" s="301"/>
      <c r="AD67" s="294"/>
    </row>
    <row r="68" spans="4:30" ht="15" thickBot="1" x14ac:dyDescent="0.35">
      <c r="E68" s="367"/>
      <c r="F68" s="368"/>
      <c r="G68" s="368"/>
      <c r="H68" s="368"/>
      <c r="I68" s="368"/>
      <c r="J68" s="368"/>
      <c r="K68" s="368"/>
      <c r="L68" s="368"/>
      <c r="M68" s="369"/>
      <c r="T68" s="293"/>
      <c r="U68" s="295">
        <f t="shared" si="3"/>
        <v>44013</v>
      </c>
      <c r="V68" s="6"/>
      <c r="W68" s="296">
        <v>494808</v>
      </c>
      <c r="X68" s="6"/>
      <c r="Y68" s="44">
        <v>0.17799999999999999</v>
      </c>
      <c r="Z68" s="6"/>
      <c r="AA68" s="297">
        <f t="shared" si="5"/>
        <v>-17521</v>
      </c>
      <c r="AB68" s="6"/>
      <c r="AC68" s="301"/>
      <c r="AD68" s="294"/>
    </row>
    <row r="69" spans="4:30" x14ac:dyDescent="0.3">
      <c r="T69" s="293"/>
      <c r="U69" s="295">
        <f t="shared" si="3"/>
        <v>44014</v>
      </c>
      <c r="V69" s="6"/>
      <c r="W69" s="296">
        <v>518711</v>
      </c>
      <c r="X69" s="6"/>
      <c r="Y69" s="44">
        <v>0.183</v>
      </c>
      <c r="Z69" s="6"/>
      <c r="AA69" s="297">
        <f t="shared" si="5"/>
        <v>-23903</v>
      </c>
      <c r="AB69" s="6"/>
      <c r="AC69" s="301"/>
      <c r="AD69" s="294"/>
    </row>
    <row r="70" spans="4:30" x14ac:dyDescent="0.3">
      <c r="T70" s="293"/>
      <c r="U70" s="295">
        <f t="shared" si="3"/>
        <v>44015</v>
      </c>
      <c r="V70" s="6"/>
      <c r="W70" s="296">
        <v>537924</v>
      </c>
      <c r="X70" s="6"/>
      <c r="Y70" s="44">
        <v>0.187</v>
      </c>
      <c r="Z70" s="6"/>
      <c r="AA70" s="297">
        <f t="shared" si="5"/>
        <v>-19213</v>
      </c>
      <c r="AB70" s="6"/>
      <c r="AC70" s="301"/>
      <c r="AD70" s="294"/>
    </row>
    <row r="71" spans="4:30" ht="15" thickBot="1" x14ac:dyDescent="0.35">
      <c r="T71" s="293"/>
      <c r="U71" s="295">
        <f t="shared" si="3"/>
        <v>44016</v>
      </c>
      <c r="V71" s="6"/>
      <c r="W71" s="296">
        <v>561332</v>
      </c>
      <c r="X71" s="6"/>
      <c r="Y71" s="44">
        <v>0.191</v>
      </c>
      <c r="Z71" s="6"/>
      <c r="AA71" s="297">
        <f t="shared" si="5"/>
        <v>-23408</v>
      </c>
      <c r="AB71" s="6"/>
      <c r="AC71" s="301"/>
      <c r="AD71" s="294"/>
    </row>
    <row r="72" spans="4:30" ht="15" thickBot="1" x14ac:dyDescent="0.35">
      <c r="D72" s="637" t="s">
        <v>131</v>
      </c>
      <c r="E72" s="638"/>
      <c r="F72" s="638"/>
      <c r="G72" s="638"/>
      <c r="H72" s="638"/>
      <c r="I72" s="638"/>
      <c r="J72" s="638"/>
      <c r="K72" s="638"/>
      <c r="L72" s="638"/>
      <c r="M72" s="638"/>
      <c r="N72" s="638"/>
      <c r="O72" s="639"/>
      <c r="T72" s="293"/>
      <c r="U72" s="295">
        <f t="shared" si="3"/>
        <v>44017</v>
      </c>
      <c r="V72" s="6"/>
      <c r="W72" s="296">
        <v>569824</v>
      </c>
      <c r="X72" s="6"/>
      <c r="Y72" s="44">
        <v>0.191</v>
      </c>
      <c r="Z72" s="6"/>
      <c r="AA72" s="297">
        <f t="shared" si="5"/>
        <v>-8492</v>
      </c>
      <c r="AB72" s="6"/>
      <c r="AC72" s="301"/>
      <c r="AD72" s="294"/>
    </row>
    <row r="73" spans="4:30" ht="15" thickBot="1" x14ac:dyDescent="0.35">
      <c r="D73" s="397"/>
      <c r="E73" s="640" t="s">
        <v>75</v>
      </c>
      <c r="F73" s="640"/>
      <c r="G73" s="640"/>
      <c r="H73" s="640"/>
      <c r="I73" s="398" t="s">
        <v>74</v>
      </c>
      <c r="J73" s="399"/>
      <c r="K73" s="641" t="s">
        <v>37</v>
      </c>
      <c r="L73" s="641"/>
      <c r="M73" s="400"/>
      <c r="N73" s="401" t="s">
        <v>73</v>
      </c>
      <c r="O73" s="402"/>
      <c r="T73" s="293"/>
      <c r="U73" s="295">
        <f t="shared" si="3"/>
        <v>44018</v>
      </c>
      <c r="V73" s="6"/>
      <c r="W73" s="296">
        <v>581179</v>
      </c>
      <c r="X73" s="6"/>
      <c r="Y73" s="44">
        <v>0.192</v>
      </c>
      <c r="Z73" s="6"/>
      <c r="AA73" s="297">
        <f t="shared" si="5"/>
        <v>-11355</v>
      </c>
      <c r="AB73" s="6"/>
      <c r="AC73" s="301"/>
      <c r="AD73" s="294"/>
    </row>
    <row r="74" spans="4:30" x14ac:dyDescent="0.3">
      <c r="D74" s="403"/>
      <c r="E74" s="404" t="s">
        <v>43</v>
      </c>
      <c r="F74" s="405"/>
      <c r="G74" s="404"/>
      <c r="H74" s="404"/>
      <c r="I74" s="406">
        <v>38828</v>
      </c>
      <c r="J74" s="406"/>
      <c r="K74" s="407"/>
      <c r="L74" s="407"/>
      <c r="M74" s="407"/>
      <c r="N74" s="407"/>
      <c r="O74" s="408"/>
      <c r="T74" s="293"/>
      <c r="U74" s="295">
        <f t="shared" si="3"/>
        <v>44019</v>
      </c>
      <c r="V74" s="6"/>
      <c r="W74" s="296">
        <v>606840</v>
      </c>
      <c r="X74" s="6"/>
      <c r="Y74" s="44">
        <v>0.19600000000000001</v>
      </c>
      <c r="Z74" s="6"/>
      <c r="AA74" s="297">
        <f t="shared" si="5"/>
        <v>-25661</v>
      </c>
      <c r="AB74" s="6"/>
      <c r="AC74" s="301"/>
      <c r="AD74" s="294"/>
    </row>
    <row r="75" spans="4:30" x14ac:dyDescent="0.3">
      <c r="D75" s="403"/>
      <c r="E75" s="404" t="s">
        <v>44</v>
      </c>
      <c r="F75" s="404" t="s">
        <v>4</v>
      </c>
      <c r="G75" s="404"/>
      <c r="H75" s="404"/>
      <c r="I75" s="406">
        <v>2144</v>
      </c>
      <c r="J75" s="406"/>
      <c r="K75" s="407"/>
      <c r="L75" s="407"/>
      <c r="M75" s="407"/>
      <c r="N75" s="407"/>
      <c r="O75" s="408"/>
      <c r="T75" s="293"/>
      <c r="U75" s="295">
        <f t="shared" si="3"/>
        <v>44020</v>
      </c>
      <c r="V75" s="6"/>
      <c r="W75" s="296">
        <v>621347</v>
      </c>
      <c r="X75" s="6"/>
      <c r="Y75" s="44">
        <v>0.19700000000000001</v>
      </c>
      <c r="Z75" s="6"/>
      <c r="AA75" s="297">
        <f t="shared" si="5"/>
        <v>-14507</v>
      </c>
      <c r="AB75" s="6"/>
      <c r="AC75" s="301"/>
      <c r="AD75" s="294"/>
    </row>
    <row r="76" spans="4:30" x14ac:dyDescent="0.3">
      <c r="D76" s="403"/>
      <c r="E76" s="404"/>
      <c r="F76" s="404" t="s">
        <v>45</v>
      </c>
      <c r="G76" s="404"/>
      <c r="H76" s="404"/>
      <c r="I76" s="409"/>
      <c r="J76" s="406"/>
      <c r="K76" s="407"/>
      <c r="L76" s="406"/>
      <c r="M76" s="407"/>
      <c r="N76" s="410"/>
      <c r="O76" s="408"/>
      <c r="T76" s="293"/>
      <c r="U76" s="295">
        <f t="shared" si="3"/>
        <v>44021</v>
      </c>
      <c r="V76" s="6"/>
      <c r="W76" s="296">
        <v>639107</v>
      </c>
      <c r="X76" s="6"/>
      <c r="Y76" s="44">
        <v>0.19800000000000001</v>
      </c>
      <c r="Z76" s="6"/>
      <c r="AA76" s="297">
        <f t="shared" si="5"/>
        <v>-17760</v>
      </c>
      <c r="AB76" s="6"/>
      <c r="AC76" s="301"/>
      <c r="AD76" s="294"/>
    </row>
    <row r="77" spans="4:30" x14ac:dyDescent="0.3">
      <c r="D77" s="403"/>
      <c r="E77" s="404"/>
      <c r="F77" s="411" t="s">
        <v>70</v>
      </c>
      <c r="G77" s="411"/>
      <c r="H77" s="411"/>
      <c r="I77" s="406">
        <f>+I74-I75-I76</f>
        <v>36684</v>
      </c>
      <c r="J77" s="406"/>
      <c r="K77" s="407"/>
      <c r="L77" s="407"/>
      <c r="M77" s="407"/>
      <c r="N77" s="407"/>
      <c r="O77" s="408"/>
      <c r="T77" s="293"/>
      <c r="U77" s="295">
        <f t="shared" si="3"/>
        <v>44022</v>
      </c>
      <c r="V77" s="6"/>
      <c r="W77" s="296">
        <v>670486</v>
      </c>
      <c r="X77" s="6"/>
      <c r="Y77" s="44">
        <v>0.20399999999999999</v>
      </c>
      <c r="Z77" s="6"/>
      <c r="AA77" s="297">
        <f t="shared" si="5"/>
        <v>-31379</v>
      </c>
      <c r="AB77" s="6"/>
      <c r="AC77" s="301"/>
      <c r="AD77" s="294"/>
    </row>
    <row r="78" spans="4:30" x14ac:dyDescent="0.3">
      <c r="D78" s="403"/>
      <c r="E78" s="404" t="s">
        <v>77</v>
      </c>
      <c r="F78" s="16"/>
      <c r="G78" s="16"/>
      <c r="H78" s="16"/>
      <c r="I78" s="409">
        <f>+'Main Table'!AP223</f>
        <v>0</v>
      </c>
      <c r="J78" s="406"/>
      <c r="K78" s="407"/>
      <c r="L78" s="407"/>
      <c r="M78" s="407"/>
      <c r="N78" s="407"/>
      <c r="O78" s="408"/>
      <c r="T78" s="293"/>
      <c r="U78" s="295">
        <f t="shared" si="3"/>
        <v>44023</v>
      </c>
      <c r="V78" s="6"/>
      <c r="W78" s="296">
        <v>687513</v>
      </c>
      <c r="X78" s="6"/>
      <c r="Y78" s="44">
        <v>0.20499999999999999</v>
      </c>
      <c r="Z78" s="6"/>
      <c r="AA78" s="297">
        <f t="shared" si="5"/>
        <v>-17027</v>
      </c>
      <c r="AB78" s="6"/>
      <c r="AC78" s="301"/>
      <c r="AD78" s="294"/>
    </row>
    <row r="79" spans="4:30" x14ac:dyDescent="0.3">
      <c r="D79" s="642" t="s">
        <v>49</v>
      </c>
      <c r="E79" s="643"/>
      <c r="F79" s="643"/>
      <c r="G79" s="643"/>
      <c r="H79" s="643"/>
      <c r="I79" s="412">
        <f>+I77-I78</f>
        <v>36684</v>
      </c>
      <c r="J79" s="406"/>
      <c r="K79" s="407"/>
      <c r="L79" s="407"/>
      <c r="M79" s="407"/>
      <c r="N79" s="407"/>
      <c r="O79" s="408"/>
      <c r="T79" s="293"/>
      <c r="U79" s="295">
        <f t="shared" si="3"/>
        <v>44024</v>
      </c>
      <c r="V79" s="6"/>
      <c r="W79" s="296">
        <v>699823</v>
      </c>
      <c r="X79" s="6"/>
      <c r="Y79" s="44">
        <v>0.20499999999999999</v>
      </c>
      <c r="Z79" s="6"/>
      <c r="AA79" s="297">
        <f t="shared" si="5"/>
        <v>-12310</v>
      </c>
      <c r="AB79" s="6"/>
      <c r="AC79" s="301"/>
      <c r="AD79" s="294"/>
    </row>
    <row r="80" spans="4:30" x14ac:dyDescent="0.3">
      <c r="D80" s="403"/>
      <c r="E80" s="404" t="s">
        <v>71</v>
      </c>
      <c r="F80" s="16"/>
      <c r="G80" s="16"/>
      <c r="H80" s="16"/>
      <c r="I80" s="409">
        <f>+I78</f>
        <v>0</v>
      </c>
      <c r="J80" s="406"/>
      <c r="K80" s="407"/>
      <c r="L80" s="407"/>
      <c r="M80" s="407"/>
      <c r="N80" s="407"/>
      <c r="O80" s="408"/>
      <c r="T80" s="293"/>
      <c r="U80" s="295">
        <f t="shared" si="3"/>
        <v>44025</v>
      </c>
      <c r="V80" s="6"/>
      <c r="W80" s="296">
        <v>716467</v>
      </c>
      <c r="X80" s="6"/>
      <c r="Y80" s="44">
        <v>0.20599999999999999</v>
      </c>
      <c r="Z80" s="6"/>
      <c r="AA80" s="297">
        <f t="shared" si="5"/>
        <v>-16644</v>
      </c>
      <c r="AB80" s="6"/>
      <c r="AC80" s="301"/>
      <c r="AD80" s="294"/>
    </row>
    <row r="81" spans="3:30" ht="15" thickBot="1" x14ac:dyDescent="0.35">
      <c r="D81" s="642" t="s">
        <v>46</v>
      </c>
      <c r="E81" s="643"/>
      <c r="F81" s="643"/>
      <c r="G81" s="643"/>
      <c r="H81" s="643"/>
      <c r="I81" s="413">
        <f>+I79+I80</f>
        <v>36684</v>
      </c>
      <c r="J81" s="406"/>
      <c r="K81" s="645">
        <v>48675</v>
      </c>
      <c r="L81" s="645"/>
      <c r="M81" s="407"/>
      <c r="N81" s="414">
        <f>+K81-I81</f>
        <v>11991</v>
      </c>
      <c r="O81" s="408"/>
      <c r="S81" s="57"/>
      <c r="T81" s="293"/>
      <c r="U81" s="295">
        <f t="shared" si="3"/>
        <v>44026</v>
      </c>
      <c r="V81" s="6"/>
      <c r="W81" s="296">
        <v>720448</v>
      </c>
      <c r="X81" s="6"/>
      <c r="Y81" s="44">
        <v>0.20300000000000001</v>
      </c>
      <c r="Z81" s="6"/>
      <c r="AA81" s="297">
        <f t="shared" si="5"/>
        <v>-3981</v>
      </c>
      <c r="AB81" s="6"/>
      <c r="AC81" s="301"/>
      <c r="AD81" s="294"/>
    </row>
    <row r="82" spans="3:30" ht="15.6" thickTop="1" thickBot="1" x14ac:dyDescent="0.35">
      <c r="D82" s="415"/>
      <c r="E82" s="644" t="s">
        <v>69</v>
      </c>
      <c r="F82" s="644"/>
      <c r="G82" s="644"/>
      <c r="H82" s="411"/>
      <c r="I82" s="416">
        <f>+I81/K81</f>
        <v>0.75365177195685673</v>
      </c>
      <c r="J82" s="407"/>
      <c r="K82" s="407"/>
      <c r="L82" s="407"/>
      <c r="M82" s="407"/>
      <c r="N82" s="417">
        <f>+N81/K81</f>
        <v>0.2463482280431433</v>
      </c>
      <c r="O82" s="408"/>
      <c r="T82" s="293"/>
      <c r="U82" s="295">
        <f t="shared" si="3"/>
        <v>44027</v>
      </c>
      <c r="V82" s="6"/>
      <c r="W82" s="296">
        <v>734229</v>
      </c>
      <c r="X82" s="6"/>
      <c r="Y82" s="44">
        <v>0.20300000000000001</v>
      </c>
      <c r="Z82" s="6"/>
      <c r="AA82" s="297">
        <f t="shared" ref="AA82" si="6">+W81-W82</f>
        <v>-13781</v>
      </c>
      <c r="AB82" s="6"/>
      <c r="AC82" s="301"/>
      <c r="AD82" s="294"/>
    </row>
    <row r="83" spans="3:30" ht="15.6" thickTop="1" thickBot="1" x14ac:dyDescent="0.35">
      <c r="D83" s="418"/>
      <c r="E83" s="419"/>
      <c r="F83" s="419"/>
      <c r="G83" s="419"/>
      <c r="H83" s="419"/>
      <c r="I83" s="420"/>
      <c r="J83" s="421"/>
      <c r="K83" s="422"/>
      <c r="L83" s="422"/>
      <c r="M83" s="422"/>
      <c r="N83" s="422"/>
      <c r="O83" s="423"/>
      <c r="T83" s="293"/>
      <c r="U83" s="295">
        <f t="shared" si="3"/>
        <v>44028</v>
      </c>
      <c r="V83" s="6"/>
      <c r="W83" s="296">
        <v>761026</v>
      </c>
      <c r="X83" s="6"/>
      <c r="Y83" s="44">
        <v>0.20599999999999999</v>
      </c>
      <c r="Z83" s="6"/>
      <c r="AA83" s="297">
        <f t="shared" ref="AA83" si="7">+W82-W83</f>
        <v>-26797</v>
      </c>
      <c r="AB83" s="6"/>
      <c r="AC83" s="301"/>
      <c r="AD83" s="294"/>
    </row>
    <row r="84" spans="3:30" x14ac:dyDescent="0.3">
      <c r="C84" s="61"/>
      <c r="D84" s="90"/>
      <c r="E84" s="151"/>
      <c r="F84" s="151"/>
      <c r="G84" s="151"/>
      <c r="H84" s="151"/>
      <c r="I84" s="161"/>
      <c r="J84" s="531"/>
      <c r="K84" s="532"/>
      <c r="L84" s="532"/>
      <c r="M84" s="532"/>
      <c r="N84" s="532"/>
      <c r="O84" s="110"/>
      <c r="P84" s="61"/>
      <c r="T84" s="293"/>
      <c r="U84" s="295">
        <f t="shared" si="3"/>
        <v>44029</v>
      </c>
      <c r="V84" s="6"/>
      <c r="W84" s="296">
        <v>791691</v>
      </c>
      <c r="X84" s="6"/>
      <c r="Y84" s="44">
        <v>0.21</v>
      </c>
      <c r="Z84" s="6"/>
      <c r="AA84" s="297">
        <f t="shared" ref="AA84" si="8">+W83-W84</f>
        <v>-30665</v>
      </c>
      <c r="AB84" s="6"/>
      <c r="AC84" s="301"/>
      <c r="AD84" s="294"/>
    </row>
    <row r="85" spans="3:30" x14ac:dyDescent="0.3">
      <c r="C85" s="61"/>
      <c r="D85" s="90"/>
      <c r="E85" s="151"/>
      <c r="F85" s="151"/>
      <c r="G85" s="151"/>
      <c r="H85" s="151"/>
      <c r="I85" s="161"/>
      <c r="J85" s="531"/>
      <c r="K85" s="532"/>
      <c r="L85" s="532"/>
      <c r="M85" s="532"/>
      <c r="N85" s="532"/>
      <c r="O85" s="110"/>
      <c r="P85" s="61"/>
      <c r="T85" s="293"/>
      <c r="U85" s="295">
        <f t="shared" si="3"/>
        <v>44030</v>
      </c>
      <c r="V85" s="6"/>
      <c r="W85" s="296">
        <v>801338</v>
      </c>
      <c r="X85" s="6"/>
      <c r="Y85" s="44">
        <v>0.20899999999999999</v>
      </c>
      <c r="Z85" s="6"/>
      <c r="AA85" s="297">
        <f t="shared" ref="AA85" si="9">+W84-W85</f>
        <v>-9647</v>
      </c>
      <c r="AB85" s="6"/>
      <c r="AC85" s="301"/>
      <c r="AD85" s="294"/>
    </row>
    <row r="86" spans="3:30" x14ac:dyDescent="0.3">
      <c r="C86" s="61"/>
      <c r="D86" s="90"/>
      <c r="E86" s="151"/>
      <c r="F86" s="151"/>
      <c r="G86" s="151"/>
      <c r="H86" s="151"/>
      <c r="I86" s="161"/>
      <c r="J86" s="531"/>
      <c r="K86" s="532"/>
      <c r="L86" s="532"/>
      <c r="M86" s="532"/>
      <c r="N86" s="532"/>
      <c r="O86" s="110"/>
      <c r="P86" s="61"/>
      <c r="T86" s="293"/>
      <c r="U86" s="295">
        <f t="shared" si="3"/>
        <v>44031</v>
      </c>
      <c r="V86" s="6"/>
      <c r="W86" s="296">
        <v>811067</v>
      </c>
      <c r="X86" s="6"/>
      <c r="Y86" s="44">
        <v>0.20799999999999999</v>
      </c>
      <c r="Z86" s="6"/>
      <c r="AA86" s="297">
        <f t="shared" ref="AA86" si="10">+W85-W86</f>
        <v>-9729</v>
      </c>
      <c r="AB86" s="6"/>
      <c r="AC86" s="301"/>
      <c r="AD86" s="294"/>
    </row>
    <row r="87" spans="3:30" x14ac:dyDescent="0.3">
      <c r="C87" s="61"/>
      <c r="D87" s="90"/>
      <c r="E87" s="151"/>
      <c r="F87" s="151"/>
      <c r="G87" s="151"/>
      <c r="H87" s="151"/>
      <c r="I87" s="161"/>
      <c r="J87" s="531"/>
      <c r="K87" s="532"/>
      <c r="L87" s="532"/>
      <c r="M87" s="532"/>
      <c r="N87" s="532"/>
      <c r="O87" s="110"/>
      <c r="P87" s="61"/>
      <c r="T87" s="293"/>
      <c r="U87" s="295">
        <f t="shared" si="3"/>
        <v>44032</v>
      </c>
      <c r="V87" s="6"/>
      <c r="W87" s="296">
        <v>792871</v>
      </c>
      <c r="X87" s="6"/>
      <c r="Y87" s="44">
        <v>0.2</v>
      </c>
      <c r="Z87" s="6"/>
      <c r="AA87" s="297">
        <f t="shared" ref="AA87" si="11">+W86-W87</f>
        <v>18196</v>
      </c>
      <c r="AB87" s="6"/>
      <c r="AC87" s="301"/>
      <c r="AD87" s="294"/>
    </row>
    <row r="88" spans="3:30" x14ac:dyDescent="0.3">
      <c r="C88" s="61"/>
      <c r="D88" s="90"/>
      <c r="E88" s="151"/>
      <c r="F88" s="151"/>
      <c r="G88" s="151"/>
      <c r="H88" s="151"/>
      <c r="I88" s="161"/>
      <c r="J88" s="531"/>
      <c r="K88" s="532"/>
      <c r="L88" s="532"/>
      <c r="M88" s="532"/>
      <c r="N88" s="532"/>
      <c r="O88" s="110"/>
      <c r="P88" s="61"/>
      <c r="T88" s="293"/>
      <c r="U88" s="295">
        <f t="shared" si="3"/>
        <v>44033</v>
      </c>
      <c r="V88" s="6"/>
      <c r="W88" s="296">
        <v>747251</v>
      </c>
      <c r="X88" s="6"/>
      <c r="Y88" s="44">
        <v>0.185</v>
      </c>
      <c r="Z88" s="6"/>
      <c r="AA88" s="297">
        <f t="shared" ref="AA88" si="12">+W87-W88</f>
        <v>45620</v>
      </c>
      <c r="AB88" s="6"/>
      <c r="AC88" s="301"/>
      <c r="AD88" s="294"/>
    </row>
    <row r="89" spans="3:30" x14ac:dyDescent="0.3">
      <c r="C89" s="61"/>
      <c r="D89" s="90"/>
      <c r="E89" s="151"/>
      <c r="F89" s="151"/>
      <c r="G89" s="151"/>
      <c r="H89" s="151"/>
      <c r="I89" s="161"/>
      <c r="J89" s="531"/>
      <c r="K89" s="532"/>
      <c r="L89" s="532"/>
      <c r="M89" s="532"/>
      <c r="N89" s="532"/>
      <c r="O89" s="110"/>
      <c r="P89" s="61"/>
      <c r="T89" s="293"/>
      <c r="U89" s="295">
        <f t="shared" si="3"/>
        <v>44034</v>
      </c>
      <c r="V89" s="6"/>
      <c r="W89" s="296">
        <v>757520</v>
      </c>
      <c r="X89" s="6"/>
      <c r="Y89" s="44">
        <v>0.185</v>
      </c>
      <c r="Z89" s="6"/>
      <c r="AA89" s="297">
        <f t="shared" ref="AA89" si="13">+W88-W89</f>
        <v>-10269</v>
      </c>
      <c r="AB89" s="6"/>
      <c r="AC89" s="301"/>
      <c r="AD89" s="294"/>
    </row>
    <row r="90" spans="3:30" x14ac:dyDescent="0.3">
      <c r="C90" s="61"/>
      <c r="D90" s="90"/>
      <c r="E90" s="151"/>
      <c r="F90" s="151"/>
      <c r="G90" s="151"/>
      <c r="H90" s="151"/>
      <c r="I90" s="161"/>
      <c r="J90" s="531"/>
      <c r="K90" s="532"/>
      <c r="L90" s="532"/>
      <c r="M90" s="532"/>
      <c r="N90" s="532"/>
      <c r="O90" s="110"/>
      <c r="P90" s="61"/>
      <c r="T90" s="293"/>
      <c r="U90" s="295">
        <f t="shared" si="3"/>
        <v>44035</v>
      </c>
      <c r="V90" s="6"/>
      <c r="W90" s="296">
        <v>770711</v>
      </c>
      <c r="X90" s="6"/>
      <c r="Y90" s="44">
        <v>0.185</v>
      </c>
      <c r="Z90" s="6"/>
      <c r="AA90" s="297">
        <f t="shared" ref="AA90" si="14">+W89-W90</f>
        <v>-13191</v>
      </c>
      <c r="AB90" s="6"/>
      <c r="AC90" s="301"/>
      <c r="AD90" s="294"/>
    </row>
    <row r="91" spans="3:30" x14ac:dyDescent="0.3">
      <c r="C91" s="61"/>
      <c r="D91" s="90"/>
      <c r="E91" s="151"/>
      <c r="F91" s="151"/>
      <c r="G91" s="151"/>
      <c r="H91" s="151"/>
      <c r="I91" s="161"/>
      <c r="J91" s="531"/>
      <c r="K91" s="532"/>
      <c r="L91" s="532"/>
      <c r="M91" s="532"/>
      <c r="N91" s="532"/>
      <c r="O91" s="110"/>
      <c r="P91" s="61"/>
      <c r="T91" s="293"/>
      <c r="U91" s="295">
        <f t="shared" si="3"/>
        <v>44036</v>
      </c>
      <c r="V91" s="6"/>
      <c r="W91" s="296">
        <v>783144</v>
      </c>
      <c r="X91" s="6"/>
      <c r="Y91" s="44">
        <v>0.184</v>
      </c>
      <c r="Z91" s="6"/>
      <c r="AA91" s="297">
        <f t="shared" ref="AA91" si="15">+W90-W91</f>
        <v>-12433</v>
      </c>
      <c r="AB91" s="6"/>
      <c r="AC91" s="301"/>
      <c r="AD91" s="294"/>
    </row>
    <row r="92" spans="3:30" x14ac:dyDescent="0.3">
      <c r="O92" s="110"/>
      <c r="T92" s="293"/>
      <c r="U92" s="295">
        <f t="shared" si="3"/>
        <v>44037</v>
      </c>
      <c r="V92" s="6"/>
      <c r="W92" s="296">
        <v>784395</v>
      </c>
      <c r="X92" s="6"/>
      <c r="Y92" s="44">
        <v>0.182</v>
      </c>
      <c r="Z92" s="6"/>
      <c r="AA92" s="297">
        <f t="shared" ref="AA92" si="16">+W91-W92</f>
        <v>-1251</v>
      </c>
      <c r="AB92" s="6"/>
      <c r="AC92" s="301"/>
      <c r="AD92" s="294"/>
    </row>
    <row r="93" spans="3:30" x14ac:dyDescent="0.3">
      <c r="O93" s="110"/>
      <c r="T93" s="293"/>
      <c r="U93" s="295">
        <f t="shared" si="3"/>
        <v>44038</v>
      </c>
      <c r="V93" s="6"/>
      <c r="W93" s="296">
        <v>768522</v>
      </c>
      <c r="X93" s="6"/>
      <c r="Y93" s="44">
        <v>0.17599999999999999</v>
      </c>
      <c r="Z93" s="6"/>
      <c r="AA93" s="297">
        <f t="shared" ref="AA93" si="17">+W92-W93</f>
        <v>15873</v>
      </c>
      <c r="AB93" s="6"/>
      <c r="AC93" s="301"/>
      <c r="AD93" s="294"/>
    </row>
    <row r="94" spans="3:30" x14ac:dyDescent="0.3">
      <c r="O94" s="110"/>
      <c r="T94" s="293"/>
      <c r="U94" s="295">
        <f t="shared" si="3"/>
        <v>44039</v>
      </c>
      <c r="V94" s="6"/>
      <c r="W94" s="296">
        <v>757532</v>
      </c>
      <c r="X94" s="6"/>
      <c r="Y94" s="44">
        <v>0.17100000000000001</v>
      </c>
      <c r="Z94" s="6"/>
      <c r="AA94" s="297">
        <f t="shared" ref="AA94" si="18">+W93-W94</f>
        <v>10990</v>
      </c>
      <c r="AB94" s="6"/>
      <c r="AC94" s="301"/>
      <c r="AD94" s="294"/>
    </row>
    <row r="95" spans="3:30" x14ac:dyDescent="0.3">
      <c r="O95" s="110"/>
      <c r="T95" s="293"/>
      <c r="U95" s="295">
        <f t="shared" si="3"/>
        <v>44040</v>
      </c>
      <c r="V95" s="6"/>
      <c r="W95" s="296">
        <v>747119</v>
      </c>
      <c r="X95" s="6"/>
      <c r="Y95" s="44">
        <v>0.16600000000000001</v>
      </c>
      <c r="Z95" s="6"/>
      <c r="AA95" s="297">
        <f t="shared" ref="AA95" si="19">+W94-W95</f>
        <v>10413</v>
      </c>
      <c r="AB95" s="6"/>
      <c r="AC95" s="301"/>
      <c r="AD95" s="294"/>
    </row>
    <row r="96" spans="3:30" x14ac:dyDescent="0.3">
      <c r="O96" s="110"/>
      <c r="T96" s="293"/>
      <c r="U96" s="295">
        <f t="shared" si="3"/>
        <v>44041</v>
      </c>
      <c r="V96" s="6"/>
      <c r="W96" s="296">
        <v>750781</v>
      </c>
      <c r="X96" s="6"/>
      <c r="Y96" s="44">
        <v>0.16400000000000001</v>
      </c>
      <c r="Z96" s="6"/>
      <c r="AA96" s="297">
        <f t="shared" ref="AA96" si="20">+W95-W96</f>
        <v>-3662</v>
      </c>
      <c r="AB96" s="6"/>
      <c r="AC96" s="301"/>
      <c r="AD96" s="294"/>
    </row>
    <row r="97" spans="15:31" x14ac:dyDescent="0.3">
      <c r="O97" s="110"/>
      <c r="T97" s="293"/>
      <c r="U97" s="295">
        <f t="shared" si="3"/>
        <v>44042</v>
      </c>
      <c r="V97" s="6"/>
      <c r="W97" s="296">
        <v>753862</v>
      </c>
      <c r="X97" s="6"/>
      <c r="Y97" s="44">
        <v>0.16300000000000001</v>
      </c>
      <c r="Z97" s="6"/>
      <c r="AA97" s="297">
        <f t="shared" ref="AA97" si="21">+W96-W97</f>
        <v>-3081</v>
      </c>
      <c r="AB97" s="6"/>
      <c r="AC97" s="301"/>
      <c r="AD97" s="294"/>
    </row>
    <row r="98" spans="15:31" x14ac:dyDescent="0.3">
      <c r="O98" s="110"/>
      <c r="T98" s="293"/>
      <c r="U98" s="295">
        <f t="shared" si="3"/>
        <v>44043</v>
      </c>
      <c r="V98" s="6"/>
      <c r="W98" s="296">
        <v>761970</v>
      </c>
      <c r="X98" s="6"/>
      <c r="Y98" s="44">
        <v>0.16200000000000001</v>
      </c>
      <c r="Z98" s="6"/>
      <c r="AA98" s="297">
        <f t="shared" ref="AA98" si="22">+W97-W98</f>
        <v>-8108</v>
      </c>
      <c r="AB98" s="6"/>
      <c r="AC98" s="301"/>
      <c r="AD98" s="294"/>
    </row>
    <row r="99" spans="15:31" x14ac:dyDescent="0.3">
      <c r="O99" s="110"/>
      <c r="T99" s="293"/>
      <c r="U99" s="295">
        <f t="shared" si="3"/>
        <v>44044</v>
      </c>
      <c r="V99" s="6"/>
      <c r="W99" s="296">
        <v>753065</v>
      </c>
      <c r="X99" s="6"/>
      <c r="Y99" s="44">
        <v>0.158</v>
      </c>
      <c r="Z99" s="6"/>
      <c r="AA99" s="297">
        <f t="shared" ref="AA99" si="23">+W98-W99</f>
        <v>8905</v>
      </c>
      <c r="AB99" s="6"/>
      <c r="AC99" s="301"/>
      <c r="AD99" s="294"/>
    </row>
    <row r="100" spans="15:31" x14ac:dyDescent="0.3">
      <c r="O100" s="110"/>
      <c r="T100" s="293"/>
      <c r="U100" s="295">
        <f t="shared" si="3"/>
        <v>44045</v>
      </c>
      <c r="V100" s="6"/>
      <c r="W100" s="296">
        <v>730039</v>
      </c>
      <c r="X100" s="6"/>
      <c r="Y100" s="44">
        <v>0.152</v>
      </c>
      <c r="Z100" s="6"/>
      <c r="AA100" s="297">
        <f t="shared" ref="AA100" si="24">+W99-W100</f>
        <v>23026</v>
      </c>
      <c r="AB100" s="6"/>
      <c r="AC100" s="301"/>
      <c r="AD100" s="294"/>
    </row>
    <row r="101" spans="15:31" x14ac:dyDescent="0.3">
      <c r="O101" s="110"/>
      <c r="R101" s="61"/>
      <c r="T101" s="293"/>
      <c r="U101" s="295">
        <f t="shared" si="3"/>
        <v>44046</v>
      </c>
      <c r="V101" s="6"/>
      <c r="W101" s="296">
        <v>709320</v>
      </c>
      <c r="X101" s="6"/>
      <c r="Y101" s="44">
        <v>0.14599999999999999</v>
      </c>
      <c r="Z101" s="6"/>
      <c r="AA101" s="297">
        <f t="shared" ref="AA101" si="25">+W100-W101</f>
        <v>20719</v>
      </c>
      <c r="AB101" s="6"/>
      <c r="AC101" s="301"/>
      <c r="AD101" s="294"/>
      <c r="AE101" s="61"/>
    </row>
    <row r="102" spans="15:31" x14ac:dyDescent="0.3">
      <c r="O102" s="110"/>
      <c r="T102" s="293"/>
      <c r="U102" s="295">
        <f t="shared" si="3"/>
        <v>44047</v>
      </c>
      <c r="V102" s="6"/>
      <c r="W102" s="296">
        <v>685528</v>
      </c>
      <c r="X102" s="6"/>
      <c r="Y102" s="44">
        <v>0.13900000000000001</v>
      </c>
      <c r="Z102" s="6"/>
      <c r="AA102" s="297">
        <f t="shared" ref="AA102" si="26">+W101-W102</f>
        <v>23792</v>
      </c>
      <c r="AB102" s="6"/>
      <c r="AC102" s="301"/>
      <c r="AD102" s="294"/>
    </row>
    <row r="103" spans="15:31" x14ac:dyDescent="0.3">
      <c r="O103" s="110"/>
      <c r="T103" s="293"/>
      <c r="U103" s="295">
        <f t="shared" si="3"/>
        <v>44048</v>
      </c>
      <c r="V103" s="6"/>
      <c r="W103" s="296">
        <v>618132</v>
      </c>
      <c r="X103" s="6"/>
      <c r="Y103" s="44">
        <v>0.126</v>
      </c>
      <c r="Z103" s="6"/>
      <c r="AA103" s="297">
        <f t="shared" ref="AA103" si="27">+W102-W103</f>
        <v>67396</v>
      </c>
      <c r="AB103" s="6"/>
      <c r="AC103" s="301"/>
      <c r="AD103" s="294"/>
    </row>
    <row r="104" spans="15:31" x14ac:dyDescent="0.3">
      <c r="O104" s="110"/>
      <c r="T104" s="293"/>
      <c r="U104" s="295">
        <f t="shared" si="3"/>
        <v>44049</v>
      </c>
      <c r="V104" s="6"/>
      <c r="W104" s="296">
        <v>614289</v>
      </c>
      <c r="X104" s="6"/>
      <c r="Y104" s="44">
        <v>0.122</v>
      </c>
      <c r="Z104" s="6"/>
      <c r="AA104" s="297">
        <f t="shared" ref="AA104" si="28">+W103-W104</f>
        <v>3843</v>
      </c>
      <c r="AB104" s="6"/>
      <c r="AC104" s="301"/>
      <c r="AD104" s="294"/>
    </row>
    <row r="105" spans="15:31" x14ac:dyDescent="0.3">
      <c r="O105" s="110"/>
      <c r="T105" s="293"/>
      <c r="U105" s="295">
        <f t="shared" si="3"/>
        <v>44050</v>
      </c>
      <c r="V105" s="6"/>
      <c r="W105" s="296">
        <v>612883</v>
      </c>
      <c r="X105" s="6"/>
      <c r="Y105" s="44">
        <v>0.12</v>
      </c>
      <c r="Z105" s="6"/>
      <c r="AA105" s="297">
        <f t="shared" ref="AA105" si="29">+W104-W105</f>
        <v>1406</v>
      </c>
      <c r="AB105" s="6"/>
      <c r="AC105" s="301"/>
      <c r="AD105" s="294"/>
    </row>
    <row r="106" spans="15:31" x14ac:dyDescent="0.3">
      <c r="O106" s="110"/>
      <c r="T106" s="293"/>
      <c r="U106" s="295">
        <f t="shared" si="3"/>
        <v>44051</v>
      </c>
      <c r="V106" s="6"/>
      <c r="W106" s="296">
        <v>600161</v>
      </c>
      <c r="X106" s="6"/>
      <c r="Y106" s="44">
        <v>0.11700000000000001</v>
      </c>
      <c r="Z106" s="6"/>
      <c r="AA106" s="297">
        <f t="shared" ref="AA106" si="30">+W105-W106</f>
        <v>12722</v>
      </c>
      <c r="AB106" s="6"/>
      <c r="AC106" s="301"/>
      <c r="AD106" s="294"/>
    </row>
    <row r="107" spans="15:31" x14ac:dyDescent="0.3">
      <c r="O107" s="110"/>
      <c r="T107" s="293"/>
      <c r="U107" s="295">
        <f t="shared" si="3"/>
        <v>44052</v>
      </c>
      <c r="V107" s="6"/>
      <c r="W107" s="296">
        <v>578836</v>
      </c>
      <c r="X107" s="6"/>
      <c r="Y107" s="44">
        <v>0.111</v>
      </c>
      <c r="Z107" s="6"/>
      <c r="AA107" s="297">
        <f t="shared" ref="AA107" si="31">+W106-W107</f>
        <v>21325</v>
      </c>
      <c r="AB107" s="6"/>
      <c r="AC107" s="301"/>
      <c r="AD107" s="294"/>
    </row>
    <row r="108" spans="15:31" x14ac:dyDescent="0.3">
      <c r="O108" s="110"/>
      <c r="T108" s="293"/>
      <c r="U108" s="295">
        <f t="shared" si="3"/>
        <v>44053</v>
      </c>
      <c r="V108" s="6"/>
      <c r="W108" s="296">
        <v>557343</v>
      </c>
      <c r="X108" s="6"/>
      <c r="Y108" s="44">
        <v>0.106</v>
      </c>
      <c r="Z108" s="6"/>
      <c r="AA108" s="297">
        <f t="shared" ref="AA108" si="32">+W107-W108</f>
        <v>21493</v>
      </c>
      <c r="AB108" s="6"/>
      <c r="AC108" s="301"/>
      <c r="AD108" s="294"/>
    </row>
    <row r="109" spans="15:31" x14ac:dyDescent="0.3">
      <c r="O109" s="110"/>
      <c r="T109" s="293"/>
      <c r="U109" s="295">
        <f t="shared" si="3"/>
        <v>44054</v>
      </c>
      <c r="V109" s="6"/>
      <c r="W109" s="296">
        <v>553058</v>
      </c>
      <c r="X109" s="6"/>
      <c r="Y109" s="44">
        <v>0.104</v>
      </c>
      <c r="Z109" s="6"/>
      <c r="AA109" s="297">
        <f t="shared" ref="AA109" si="33">+W108-W109</f>
        <v>4285</v>
      </c>
      <c r="AB109" s="6"/>
      <c r="AC109" s="301"/>
      <c r="AD109" s="294"/>
    </row>
    <row r="110" spans="15:31" x14ac:dyDescent="0.3">
      <c r="O110" s="110"/>
      <c r="T110" s="293"/>
      <c r="U110" s="295">
        <f t="shared" si="3"/>
        <v>44055</v>
      </c>
      <c r="V110" s="6"/>
      <c r="W110" s="296">
        <v>558346</v>
      </c>
      <c r="X110" s="6"/>
      <c r="Y110" s="44">
        <v>0.104</v>
      </c>
      <c r="Z110" s="6"/>
      <c r="AA110" s="297">
        <f t="shared" ref="AA110" si="34">+W109-W110</f>
        <v>-5288</v>
      </c>
      <c r="AB110" s="6"/>
      <c r="AC110" s="301"/>
      <c r="AD110" s="294"/>
    </row>
    <row r="111" spans="15:31" x14ac:dyDescent="0.3">
      <c r="O111" s="110"/>
      <c r="T111" s="293"/>
      <c r="U111" s="295">
        <f t="shared" si="3"/>
        <v>44056</v>
      </c>
      <c r="V111" s="6"/>
      <c r="W111" s="296">
        <v>565064</v>
      </c>
      <c r="X111" s="6"/>
      <c r="Y111" s="44">
        <v>0.104</v>
      </c>
      <c r="Z111" s="6"/>
      <c r="AA111" s="297">
        <f t="shared" ref="AA111" si="35">+W110-W111</f>
        <v>-6718</v>
      </c>
      <c r="AB111" s="6"/>
      <c r="AC111" s="301"/>
      <c r="AD111" s="294"/>
    </row>
    <row r="112" spans="15:31" x14ac:dyDescent="0.3">
      <c r="O112" s="110"/>
      <c r="T112" s="293"/>
      <c r="U112" s="295">
        <f t="shared" si="3"/>
        <v>44057</v>
      </c>
      <c r="V112" s="6"/>
      <c r="W112" s="296">
        <v>570997</v>
      </c>
      <c r="X112" s="6"/>
      <c r="Y112" s="44">
        <v>0.104</v>
      </c>
      <c r="Z112" s="6"/>
      <c r="AA112" s="297">
        <f t="shared" ref="AA112" si="36">+W111-W112</f>
        <v>-5933</v>
      </c>
      <c r="AB112" s="6"/>
      <c r="AC112" s="301"/>
      <c r="AD112" s="294"/>
    </row>
    <row r="113" spans="15:30" x14ac:dyDescent="0.3">
      <c r="O113" s="110"/>
      <c r="T113" s="293"/>
      <c r="U113" s="295">
        <f t="shared" si="3"/>
        <v>44058</v>
      </c>
      <c r="V113" s="6"/>
      <c r="W113" s="296">
        <v>569341</v>
      </c>
      <c r="X113" s="6"/>
      <c r="Y113" s="44">
        <v>0.10299999999999999</v>
      </c>
      <c r="Z113" s="6"/>
      <c r="AA113" s="297">
        <f t="shared" ref="AA113" si="37">+W112-W113</f>
        <v>1656</v>
      </c>
      <c r="AB113" s="6"/>
      <c r="AC113" s="301"/>
      <c r="AD113" s="294"/>
    </row>
    <row r="114" spans="15:30" x14ac:dyDescent="0.3">
      <c r="O114" s="110"/>
      <c r="T114" s="293"/>
      <c r="U114" s="295">
        <f t="shared" si="3"/>
        <v>44059</v>
      </c>
      <c r="V114" s="6"/>
      <c r="W114" s="296">
        <v>547525</v>
      </c>
      <c r="X114" s="6"/>
      <c r="Y114" s="44">
        <v>9.8000000000000004E-2</v>
      </c>
      <c r="Z114" s="6"/>
      <c r="AA114" s="297">
        <f t="shared" ref="AA114" si="38">+W113-W114</f>
        <v>21816</v>
      </c>
      <c r="AB114" s="6"/>
      <c r="AC114" s="301"/>
      <c r="AD114" s="294"/>
    </row>
    <row r="115" spans="15:30" x14ac:dyDescent="0.3">
      <c r="O115" s="110"/>
      <c r="T115" s="293"/>
      <c r="U115" s="295">
        <f t="shared" si="3"/>
        <v>44060</v>
      </c>
      <c r="V115" s="6"/>
      <c r="W115" s="296">
        <v>524856</v>
      </c>
      <c r="X115" s="6"/>
      <c r="Y115" s="44">
        <v>9.4E-2</v>
      </c>
      <c r="Z115" s="6"/>
      <c r="AA115" s="297">
        <f t="shared" ref="AA115" si="39">+W114-W115</f>
        <v>22669</v>
      </c>
      <c r="AB115" s="6"/>
      <c r="AC115" s="301"/>
      <c r="AD115" s="294"/>
    </row>
    <row r="116" spans="15:30" x14ac:dyDescent="0.3">
      <c r="O116" s="110"/>
      <c r="T116" s="293"/>
      <c r="U116" s="295">
        <f t="shared" si="3"/>
        <v>44061</v>
      </c>
      <c r="V116" s="6"/>
      <c r="W116" s="296">
        <f>+I$36</f>
        <v>514420</v>
      </c>
      <c r="X116" s="6"/>
      <c r="Y116" s="44">
        <f>+L$36</f>
        <v>9.1093302016210936E-2</v>
      </c>
      <c r="Z116" s="6"/>
      <c r="AA116" s="297">
        <f t="shared" ref="AA116" si="40">+W115-W116</f>
        <v>10436</v>
      </c>
      <c r="AB116" s="6"/>
      <c r="AC116" s="301"/>
      <c r="AD116" s="294"/>
    </row>
    <row r="117" spans="15:30" x14ac:dyDescent="0.3">
      <c r="O117" s="110"/>
      <c r="T117" s="293"/>
      <c r="U117" s="295">
        <f t="shared" si="3"/>
        <v>44062</v>
      </c>
      <c r="V117" s="6"/>
      <c r="W117" s="296"/>
      <c r="X117" s="6"/>
      <c r="Y117" s="44"/>
      <c r="Z117" s="6"/>
      <c r="AA117" s="297"/>
      <c r="AB117" s="6"/>
      <c r="AC117" s="301"/>
      <c r="AD117" s="294"/>
    </row>
    <row r="118" spans="15:30" x14ac:dyDescent="0.3">
      <c r="O118" s="110"/>
      <c r="T118" s="293"/>
      <c r="U118" s="295">
        <f t="shared" si="3"/>
        <v>44063</v>
      </c>
      <c r="V118" s="6"/>
      <c r="W118" s="296"/>
      <c r="X118" s="6"/>
      <c r="Y118" s="44"/>
      <c r="Z118" s="6"/>
      <c r="AA118" s="297"/>
      <c r="AB118" s="6"/>
      <c r="AC118" s="301"/>
      <c r="AD118" s="294"/>
    </row>
    <row r="119" spans="15:30" x14ac:dyDescent="0.3">
      <c r="O119" s="110"/>
      <c r="T119" s="293"/>
      <c r="U119" s="295">
        <f t="shared" si="3"/>
        <v>44064</v>
      </c>
      <c r="V119" s="6"/>
      <c r="W119" s="296"/>
      <c r="X119" s="6"/>
      <c r="Y119" s="44"/>
      <c r="Z119" s="6"/>
      <c r="AA119" s="297"/>
      <c r="AB119" s="6"/>
      <c r="AC119" s="301"/>
      <c r="AD119" s="294"/>
    </row>
    <row r="120" spans="15:30" x14ac:dyDescent="0.3">
      <c r="O120" s="110"/>
      <c r="T120" s="293"/>
      <c r="U120" s="295">
        <f t="shared" si="3"/>
        <v>44065</v>
      </c>
      <c r="V120" s="6"/>
      <c r="W120" s="296"/>
      <c r="X120" s="6"/>
      <c r="Y120" s="44"/>
      <c r="Z120" s="6"/>
      <c r="AA120" s="297"/>
      <c r="AB120" s="6"/>
      <c r="AC120" s="301"/>
      <c r="AD120" s="294"/>
    </row>
    <row r="121" spans="15:30" x14ac:dyDescent="0.3">
      <c r="O121" s="110"/>
      <c r="T121" s="293"/>
      <c r="U121" s="295">
        <f t="shared" si="3"/>
        <v>44066</v>
      </c>
      <c r="V121" s="6"/>
      <c r="W121" s="296"/>
      <c r="X121" s="6"/>
      <c r="Y121" s="44"/>
      <c r="Z121" s="6"/>
      <c r="AA121" s="297"/>
      <c r="AB121" s="6"/>
      <c r="AC121" s="301"/>
      <c r="AD121" s="294"/>
    </row>
    <row r="122" spans="15:30" x14ac:dyDescent="0.3">
      <c r="O122" s="110"/>
      <c r="T122" s="293"/>
      <c r="U122" s="295">
        <f t="shared" si="3"/>
        <v>44067</v>
      </c>
      <c r="V122" s="6"/>
      <c r="W122" s="296"/>
      <c r="X122" s="6"/>
      <c r="Y122" s="44"/>
      <c r="Z122" s="6"/>
      <c r="AA122" s="297"/>
      <c r="AB122" s="6"/>
      <c r="AC122" s="301"/>
      <c r="AD122" s="294"/>
    </row>
    <row r="123" spans="15:30" ht="15" thickBot="1" x14ac:dyDescent="0.35">
      <c r="O123" s="110"/>
      <c r="T123" s="298"/>
      <c r="U123" s="393">
        <f t="shared" si="3"/>
        <v>44068</v>
      </c>
      <c r="V123" s="290"/>
      <c r="W123" s="394"/>
      <c r="X123" s="290"/>
      <c r="Y123" s="299"/>
      <c r="Z123" s="290"/>
      <c r="AA123" s="395"/>
      <c r="AB123" s="290"/>
      <c r="AC123" s="396"/>
      <c r="AD123" s="300"/>
    </row>
    <row r="124" spans="15:30" x14ac:dyDescent="0.3">
      <c r="O124" s="110"/>
    </row>
    <row r="125" spans="15:30" x14ac:dyDescent="0.3">
      <c r="O125" s="110"/>
      <c r="P125" s="57"/>
      <c r="Q125" s="57"/>
      <c r="R125" s="57"/>
    </row>
    <row r="126" spans="15:30" x14ac:dyDescent="0.3">
      <c r="O126" s="110"/>
    </row>
    <row r="127" spans="15:30" ht="15" thickBot="1" x14ac:dyDescent="0.35">
      <c r="O127" s="110"/>
    </row>
    <row r="128" spans="15:30" ht="15.6" thickTop="1" thickBot="1" x14ac:dyDescent="0.35">
      <c r="Q128" s="484"/>
      <c r="R128" s="485"/>
      <c r="S128" s="485"/>
      <c r="T128" s="485"/>
      <c r="U128" s="485"/>
      <c r="V128" s="485"/>
      <c r="W128" s="485"/>
      <c r="X128" s="485"/>
      <c r="Y128" s="485"/>
      <c r="Z128" s="485"/>
      <c r="AA128" s="485"/>
      <c r="AB128" s="486"/>
    </row>
    <row r="129" spans="4:36" ht="15" thickBot="1" x14ac:dyDescent="0.35">
      <c r="E129" s="649" t="s">
        <v>119</v>
      </c>
      <c r="F129" s="650"/>
      <c r="G129" s="650"/>
      <c r="H129" s="650"/>
      <c r="I129" s="650"/>
      <c r="J129" s="650"/>
      <c r="K129" s="650"/>
      <c r="L129" s="650"/>
      <c r="M129" s="651"/>
      <c r="Q129" s="487"/>
      <c r="R129" s="6"/>
      <c r="S129" s="6"/>
      <c r="T129" s="6"/>
      <c r="U129" s="5" t="s">
        <v>146</v>
      </c>
      <c r="V129" s="5"/>
      <c r="W129" s="5"/>
      <c r="X129" s="5"/>
      <c r="Y129" s="5"/>
      <c r="Z129" s="5"/>
      <c r="AA129" s="5" t="s">
        <v>30</v>
      </c>
      <c r="AB129" s="488"/>
    </row>
    <row r="130" spans="4:36" x14ac:dyDescent="0.3">
      <c r="E130" s="438"/>
      <c r="F130" s="439" t="s">
        <v>120</v>
      </c>
      <c r="G130" s="439"/>
      <c r="H130" s="439"/>
      <c r="I130" s="652">
        <v>21477737</v>
      </c>
      <c r="J130" s="652"/>
      <c r="K130" s="652"/>
      <c r="L130" s="652"/>
      <c r="M130" s="440"/>
      <c r="Q130" s="487"/>
      <c r="R130" s="480" t="s">
        <v>148</v>
      </c>
      <c r="S130" s="6"/>
      <c r="T130" s="6"/>
      <c r="U130" s="480" t="s">
        <v>147</v>
      </c>
      <c r="V130" s="5"/>
      <c r="W130" s="480" t="s">
        <v>20</v>
      </c>
      <c r="X130" s="5"/>
      <c r="Y130" s="480" t="s">
        <v>4</v>
      </c>
      <c r="Z130" s="5"/>
      <c r="AA130" s="489" t="s">
        <v>145</v>
      </c>
      <c r="AB130" s="488"/>
    </row>
    <row r="131" spans="4:36" x14ac:dyDescent="0.3">
      <c r="E131" s="438"/>
      <c r="F131" s="439" t="s">
        <v>110</v>
      </c>
      <c r="G131" s="439"/>
      <c r="H131" s="439"/>
      <c r="I131" s="439"/>
      <c r="J131" s="439"/>
      <c r="K131" s="439"/>
      <c r="L131" s="441">
        <f>+I143/I130</f>
        <v>4.5847474526762295E-4</v>
      </c>
      <c r="M131" s="440"/>
      <c r="Q131" s="487"/>
      <c r="R131" s="6" t="s">
        <v>135</v>
      </c>
      <c r="S131" s="6"/>
      <c r="T131" s="6"/>
      <c r="U131" s="7">
        <v>2003</v>
      </c>
      <c r="V131" s="6"/>
      <c r="W131" s="7">
        <v>389666</v>
      </c>
      <c r="X131" s="6"/>
      <c r="Y131" s="7">
        <v>31257</v>
      </c>
      <c r="Z131" s="6"/>
      <c r="AA131" s="296">
        <f>+AJ131</f>
        <v>19500</v>
      </c>
      <c r="AB131" s="488"/>
      <c r="AJ131" s="1">
        <v>19500</v>
      </c>
    </row>
    <row r="132" spans="4:36" x14ac:dyDescent="0.3">
      <c r="E132" s="438"/>
      <c r="F132" s="653" t="s">
        <v>108</v>
      </c>
      <c r="G132" s="653"/>
      <c r="H132" s="439"/>
      <c r="I132" s="439"/>
      <c r="J132" s="439"/>
      <c r="K132" s="439"/>
      <c r="L132" s="442">
        <f>+I143/(I130/100000)</f>
        <v>45.847474526762298</v>
      </c>
      <c r="M132" s="440"/>
      <c r="Q132" s="487"/>
      <c r="R132" s="6" t="s">
        <v>136</v>
      </c>
      <c r="S132" s="6"/>
      <c r="T132" s="6"/>
      <c r="U132" s="7">
        <v>1913</v>
      </c>
      <c r="V132" s="6"/>
      <c r="W132" s="7">
        <v>169892</v>
      </c>
      <c r="X132" s="6"/>
      <c r="Y132" s="7">
        <v>13076</v>
      </c>
      <c r="Z132" s="6"/>
      <c r="AA132" s="296">
        <f t="shared" ref="AA132:AA140" si="41">+AJ132</f>
        <v>8900</v>
      </c>
      <c r="AB132" s="488"/>
      <c r="AJ132" s="1">
        <v>8900</v>
      </c>
    </row>
    <row r="133" spans="4:36" x14ac:dyDescent="0.3">
      <c r="E133" s="438"/>
      <c r="F133" s="443"/>
      <c r="G133" s="443"/>
      <c r="H133" s="439"/>
      <c r="I133" s="439"/>
      <c r="J133" s="439"/>
      <c r="K133" s="439"/>
      <c r="L133" s="442"/>
      <c r="M133" s="440"/>
      <c r="Q133" s="487"/>
      <c r="R133" s="6" t="s">
        <v>137</v>
      </c>
      <c r="S133" s="6"/>
      <c r="T133" s="6"/>
      <c r="U133" s="7">
        <v>1568</v>
      </c>
      <c r="V133" s="6"/>
      <c r="W133" s="7">
        <v>16606</v>
      </c>
      <c r="X133" s="6"/>
      <c r="Y133" s="7">
        <v>912</v>
      </c>
      <c r="Z133" s="6"/>
      <c r="AA133" s="296">
        <f t="shared" si="41"/>
        <v>1100</v>
      </c>
      <c r="AB133" s="488"/>
      <c r="AJ133" s="1">
        <v>1100</v>
      </c>
    </row>
    <row r="134" spans="4:36" x14ac:dyDescent="0.3">
      <c r="E134" s="438"/>
      <c r="F134" s="443" t="s">
        <v>121</v>
      </c>
      <c r="G134" s="443"/>
      <c r="H134" s="653" t="s">
        <v>122</v>
      </c>
      <c r="I134" s="653"/>
      <c r="J134" s="439"/>
      <c r="K134" s="439"/>
      <c r="L134" s="442"/>
      <c r="M134" s="440"/>
      <c r="Q134" s="487"/>
      <c r="R134" s="6" t="s">
        <v>58</v>
      </c>
      <c r="S134" s="6"/>
      <c r="T134" s="6"/>
      <c r="U134" s="7">
        <v>1561</v>
      </c>
      <c r="V134" s="6"/>
      <c r="W134" s="7">
        <v>107611</v>
      </c>
      <c r="X134" s="6"/>
      <c r="Y134" s="7">
        <v>7937</v>
      </c>
      <c r="Z134" s="6"/>
      <c r="AA134" s="296">
        <f t="shared" si="41"/>
        <v>7000</v>
      </c>
      <c r="AB134" s="488"/>
      <c r="AJ134" s="1">
        <v>7000</v>
      </c>
    </row>
    <row r="135" spans="4:36" ht="15" thickBot="1" x14ac:dyDescent="0.35">
      <c r="E135" s="444"/>
      <c r="F135" s="445"/>
      <c r="G135" s="445"/>
      <c r="H135" s="445"/>
      <c r="I135" s="445"/>
      <c r="J135" s="445"/>
      <c r="K135" s="445"/>
      <c r="L135" s="445"/>
      <c r="M135" s="446"/>
      <c r="Q135" s="487"/>
      <c r="R135" s="6" t="s">
        <v>142</v>
      </c>
      <c r="S135" s="6"/>
      <c r="T135" s="6"/>
      <c r="U135" s="7">
        <v>1435</v>
      </c>
      <c r="V135" s="6"/>
      <c r="W135" s="7">
        <v>10128</v>
      </c>
      <c r="X135" s="6"/>
      <c r="Y135" s="7">
        <v>541</v>
      </c>
      <c r="Z135" s="6"/>
      <c r="AA135" s="296">
        <f t="shared" si="41"/>
        <v>700</v>
      </c>
      <c r="AB135" s="488"/>
      <c r="AJ135" s="1">
        <v>700</v>
      </c>
    </row>
    <row r="136" spans="4:36" x14ac:dyDescent="0.3">
      <c r="Q136" s="487"/>
      <c r="R136" s="6" t="s">
        <v>138</v>
      </c>
      <c r="S136" s="6"/>
      <c r="T136" s="6"/>
      <c r="U136" s="7">
        <v>1288</v>
      </c>
      <c r="V136" s="6"/>
      <c r="W136" s="7">
        <v>45913</v>
      </c>
      <c r="X136" s="6"/>
      <c r="Y136" s="7">
        <v>4287</v>
      </c>
      <c r="Z136" s="6"/>
      <c r="AA136" s="296">
        <f t="shared" si="41"/>
        <v>3600</v>
      </c>
      <c r="AB136" s="488"/>
      <c r="AJ136" s="1">
        <v>3600</v>
      </c>
    </row>
    <row r="137" spans="4:36" ht="15" thickBot="1" x14ac:dyDescent="0.35">
      <c r="D137" s="90"/>
      <c r="E137" s="151"/>
      <c r="F137" s="151"/>
      <c r="G137" s="151"/>
      <c r="H137" s="151"/>
      <c r="I137" s="353"/>
      <c r="J137" s="90"/>
      <c r="K137" s="110"/>
      <c r="L137" s="110"/>
      <c r="M137" s="110"/>
      <c r="N137" s="110"/>
      <c r="Q137" s="487"/>
      <c r="R137" s="6" t="s">
        <v>143</v>
      </c>
      <c r="S137" s="6"/>
      <c r="T137" s="6"/>
      <c r="U137" s="7">
        <v>1129</v>
      </c>
      <c r="V137" s="6"/>
      <c r="W137" s="7">
        <v>52477</v>
      </c>
      <c r="X137" s="6"/>
      <c r="Y137" s="7">
        <v>3152</v>
      </c>
      <c r="Z137" s="6"/>
      <c r="AA137" s="296">
        <f t="shared" si="41"/>
        <v>4600</v>
      </c>
      <c r="AB137" s="488"/>
      <c r="AJ137" s="1">
        <v>4600</v>
      </c>
    </row>
    <row r="138" spans="4:36" ht="16.2" thickBot="1" x14ac:dyDescent="0.35">
      <c r="D138" s="424"/>
      <c r="E138" s="654" t="s">
        <v>132</v>
      </c>
      <c r="F138" s="655"/>
      <c r="G138" s="655"/>
      <c r="H138" s="655"/>
      <c r="I138" s="655"/>
      <c r="J138" s="656"/>
      <c r="K138" s="425"/>
      <c r="L138" s="437" t="s">
        <v>10</v>
      </c>
      <c r="M138" s="426"/>
      <c r="N138" s="110"/>
      <c r="Q138" s="487"/>
      <c r="R138" s="6" t="s">
        <v>139</v>
      </c>
      <c r="S138" s="6"/>
      <c r="T138" s="6"/>
      <c r="U138" s="7">
        <v>1118</v>
      </c>
      <c r="V138" s="6"/>
      <c r="W138" s="7">
        <v>10889</v>
      </c>
      <c r="X138" s="6"/>
      <c r="Y138" s="7">
        <v>505</v>
      </c>
      <c r="Z138" s="6"/>
      <c r="AA138" s="296">
        <f t="shared" si="41"/>
        <v>980</v>
      </c>
      <c r="AB138" s="488"/>
      <c r="AJ138" s="1">
        <v>980</v>
      </c>
    </row>
    <row r="139" spans="4:36" x14ac:dyDescent="0.3">
      <c r="D139" s="403"/>
      <c r="E139" s="427" t="s">
        <v>88</v>
      </c>
      <c r="F139" s="16"/>
      <c r="G139" s="16"/>
      <c r="H139" s="16"/>
      <c r="I139" s="657">
        <f>+K81</f>
        <v>48675</v>
      </c>
      <c r="J139" s="657"/>
      <c r="K139" s="16"/>
      <c r="L139" s="60">
        <f>+I139/$I$139</f>
        <v>1</v>
      </c>
      <c r="M139" s="428"/>
      <c r="N139" s="110"/>
      <c r="Q139" s="487"/>
      <c r="R139" s="6" t="s">
        <v>140</v>
      </c>
      <c r="S139" s="6"/>
      <c r="T139" s="6"/>
      <c r="U139" s="7">
        <v>1093</v>
      </c>
      <c r="V139" s="6"/>
      <c r="W139" s="7">
        <v>138546</v>
      </c>
      <c r="X139" s="6"/>
      <c r="Y139" s="7">
        <v>6770</v>
      </c>
      <c r="Z139" s="6"/>
      <c r="AA139" s="296">
        <f t="shared" si="41"/>
        <v>12700</v>
      </c>
      <c r="AB139" s="488"/>
      <c r="AJ139" s="1">
        <v>12700</v>
      </c>
    </row>
    <row r="140" spans="4:36" x14ac:dyDescent="0.3">
      <c r="D140" s="403"/>
      <c r="E140" s="427"/>
      <c r="F140" s="16"/>
      <c r="G140" s="16"/>
      <c r="H140" s="16"/>
      <c r="I140" s="16"/>
      <c r="J140" s="16"/>
      <c r="K140" s="16"/>
      <c r="L140" s="16"/>
      <c r="M140" s="428"/>
      <c r="N140" s="110"/>
      <c r="Q140" s="487"/>
      <c r="R140" s="6" t="s">
        <v>141</v>
      </c>
      <c r="S140" s="6"/>
      <c r="T140" s="6"/>
      <c r="U140" s="490">
        <v>1081</v>
      </c>
      <c r="V140" s="6"/>
      <c r="W140" s="490">
        <v>65337</v>
      </c>
      <c r="X140" s="6"/>
      <c r="Y140" s="490">
        <v>3108</v>
      </c>
      <c r="Z140" s="6"/>
      <c r="AA140" s="491">
        <f t="shared" si="41"/>
        <v>6100</v>
      </c>
      <c r="AB140" s="488"/>
      <c r="AJ140" s="482">
        <v>6100</v>
      </c>
    </row>
    <row r="141" spans="4:36" x14ac:dyDescent="0.3">
      <c r="D141" s="415"/>
      <c r="E141" s="15"/>
      <c r="F141" s="429" t="s">
        <v>113</v>
      </c>
      <c r="G141" s="429"/>
      <c r="H141" s="15"/>
      <c r="I141" s="658">
        <f>+I81</f>
        <v>36684</v>
      </c>
      <c r="J141" s="659"/>
      <c r="K141" s="15"/>
      <c r="L141" s="60">
        <f>+I141/$I$139</f>
        <v>0.75365177195685673</v>
      </c>
      <c r="M141" s="408"/>
      <c r="N141" s="110"/>
      <c r="Q141" s="487"/>
      <c r="R141" s="5" t="s">
        <v>33</v>
      </c>
      <c r="S141" s="6"/>
      <c r="T141" s="6"/>
      <c r="U141" s="296">
        <f>+W141/(AA141/100)</f>
        <v>1545.0521632402579</v>
      </c>
      <c r="V141" s="6"/>
      <c r="W141" s="296">
        <f>SUM(W131:W140)</f>
        <v>1007065</v>
      </c>
      <c r="X141" s="6"/>
      <c r="Y141" s="296">
        <f>SUM(Y131:Y140)</f>
        <v>71545</v>
      </c>
      <c r="Z141" s="6"/>
      <c r="AA141" s="296">
        <f>SUM(AA131:AA140)</f>
        <v>65180</v>
      </c>
      <c r="AB141" s="488"/>
      <c r="AJ141" s="56">
        <f>SUM(AJ131:AJ140)</f>
        <v>65180</v>
      </c>
    </row>
    <row r="142" spans="4:36" x14ac:dyDescent="0.3">
      <c r="D142" s="415"/>
      <c r="E142" s="15"/>
      <c r="F142" s="15" t="s">
        <v>89</v>
      </c>
      <c r="G142" s="15"/>
      <c r="H142" s="15"/>
      <c r="I142" s="660">
        <f>+I75</f>
        <v>2144</v>
      </c>
      <c r="J142" s="661"/>
      <c r="K142" s="15"/>
      <c r="L142" s="60">
        <f>+I142/$I$139</f>
        <v>4.4047252182845401E-2</v>
      </c>
      <c r="M142" s="408"/>
      <c r="N142" s="110"/>
      <c r="Q142" s="487"/>
      <c r="R142" s="5"/>
      <c r="S142" s="6"/>
      <c r="T142" s="6"/>
      <c r="U142" s="6"/>
      <c r="V142" s="6"/>
      <c r="W142" s="296"/>
      <c r="X142" s="6"/>
      <c r="Y142" s="296"/>
      <c r="Z142" s="6"/>
      <c r="AA142" s="6"/>
      <c r="AB142" s="488"/>
      <c r="AJ142" s="56"/>
    </row>
    <row r="143" spans="4:36" ht="15" thickBot="1" x14ac:dyDescent="0.35">
      <c r="D143" s="415"/>
      <c r="E143" s="646" t="s">
        <v>114</v>
      </c>
      <c r="F143" s="646"/>
      <c r="G143" s="646"/>
      <c r="H143" s="15"/>
      <c r="I143" s="647">
        <f>+I139-I141-I142</f>
        <v>9847</v>
      </c>
      <c r="J143" s="648"/>
      <c r="K143" s="430"/>
      <c r="L143" s="431">
        <f>+I143/$I$139</f>
        <v>0.20230097586029788</v>
      </c>
      <c r="M143" s="408"/>
      <c r="N143" s="110"/>
      <c r="Q143" s="487"/>
      <c r="R143" s="5" t="s">
        <v>59</v>
      </c>
      <c r="S143" s="6"/>
      <c r="T143" s="6"/>
      <c r="U143" s="7">
        <v>7441</v>
      </c>
      <c r="V143" s="6"/>
      <c r="W143" s="7">
        <f>+'Main Table'!H106</f>
        <v>2465403</v>
      </c>
      <c r="X143" s="6"/>
      <c r="Y143" s="7">
        <f>+'Main Table'!AA106</f>
        <v>126977</v>
      </c>
      <c r="Z143" s="6"/>
      <c r="AA143" s="296">
        <v>331000</v>
      </c>
      <c r="AB143" s="488"/>
      <c r="AJ143" s="56">
        <v>333000</v>
      </c>
    </row>
    <row r="144" spans="4:36" ht="15.6" thickTop="1" thickBot="1" x14ac:dyDescent="0.35">
      <c r="D144" s="415"/>
      <c r="E144" s="432"/>
      <c r="F144" s="432"/>
      <c r="G144" s="432"/>
      <c r="H144" s="15"/>
      <c r="I144" s="433"/>
      <c r="J144" s="432"/>
      <c r="K144" s="430"/>
      <c r="L144" s="434"/>
      <c r="M144" s="408"/>
      <c r="N144" s="110"/>
      <c r="Q144" s="487"/>
      <c r="R144" s="5" t="s">
        <v>144</v>
      </c>
      <c r="S144" s="6"/>
      <c r="T144" s="6"/>
      <c r="U144" s="492"/>
      <c r="V144" s="6"/>
      <c r="W144" s="493">
        <f>+W141/W143</f>
        <v>0.40847885720914595</v>
      </c>
      <c r="X144" s="6"/>
      <c r="Y144" s="493">
        <f>+Y141/Y143</f>
        <v>0.56344849854698098</v>
      </c>
      <c r="Z144" s="6"/>
      <c r="AA144" s="493">
        <f>+AA141/AA143</f>
        <v>0.19691842900302114</v>
      </c>
      <c r="AB144" s="488"/>
      <c r="AJ144" s="483">
        <f>+AJ141/AJ143</f>
        <v>0.19573573573573574</v>
      </c>
    </row>
    <row r="145" spans="4:28" ht="15.6" thickTop="1" thickBot="1" x14ac:dyDescent="0.35">
      <c r="D145" s="435"/>
      <c r="E145" s="436"/>
      <c r="F145" s="436"/>
      <c r="G145" s="436"/>
      <c r="H145" s="436"/>
      <c r="I145" s="436"/>
      <c r="J145" s="436"/>
      <c r="K145" s="436"/>
      <c r="L145" s="436"/>
      <c r="M145" s="423"/>
      <c r="N145" s="110"/>
      <c r="Q145" s="494"/>
      <c r="R145" s="495"/>
      <c r="S145" s="495"/>
      <c r="T145" s="495"/>
      <c r="U145" s="495"/>
      <c r="V145" s="495"/>
      <c r="W145" s="495"/>
      <c r="X145" s="495"/>
      <c r="Y145" s="495"/>
      <c r="Z145" s="495"/>
      <c r="AA145" s="495"/>
      <c r="AB145" s="496"/>
    </row>
    <row r="149" spans="4:28" x14ac:dyDescent="0.3">
      <c r="F149" s="1">
        <v>1248371</v>
      </c>
    </row>
    <row r="150" spans="4:28" x14ac:dyDescent="0.3">
      <c r="W150" s="1"/>
    </row>
    <row r="151" spans="4:28" x14ac:dyDescent="0.3">
      <c r="F151">
        <v>700</v>
      </c>
    </row>
    <row r="152" spans="4:28" x14ac:dyDescent="0.3">
      <c r="F152" s="87">
        <f>+F151/F149</f>
        <v>5.6073074430597954E-4</v>
      </c>
    </row>
    <row r="154" spans="4:28" x14ac:dyDescent="0.3">
      <c r="F154" s="1">
        <v>60000</v>
      </c>
    </row>
    <row r="155" spans="4:28" x14ac:dyDescent="0.3">
      <c r="F155">
        <f>+F152*F154</f>
        <v>33.643844658358773</v>
      </c>
    </row>
    <row r="157" spans="4:28" x14ac:dyDescent="0.3">
      <c r="F157" s="1">
        <v>331000000</v>
      </c>
    </row>
    <row r="158" spans="4:28" x14ac:dyDescent="0.3">
      <c r="F158" s="56">
        <f>+W86</f>
        <v>811067</v>
      </c>
    </row>
    <row r="159" spans="4:28" x14ac:dyDescent="0.3">
      <c r="F159" s="57">
        <f>+F158/F157</f>
        <v>2.4503534743202417E-3</v>
      </c>
    </row>
  </sheetData>
  <mergeCells count="50">
    <mergeCell ref="F67:G67"/>
    <mergeCell ref="E64:M64"/>
    <mergeCell ref="I61:J61"/>
    <mergeCell ref="T3:AD3"/>
    <mergeCell ref="E15:I15"/>
    <mergeCell ref="D41:O41"/>
    <mergeCell ref="E42:H42"/>
    <mergeCell ref="K42:L42"/>
    <mergeCell ref="D18:O18"/>
    <mergeCell ref="E19:H19"/>
    <mergeCell ref="D25:H25"/>
    <mergeCell ref="E28:G28"/>
    <mergeCell ref="E36:G36"/>
    <mergeCell ref="K19:L19"/>
    <mergeCell ref="D27:H27"/>
    <mergeCell ref="K27:L27"/>
    <mergeCell ref="I32:J32"/>
    <mergeCell ref="I34:J34"/>
    <mergeCell ref="I36:J36"/>
    <mergeCell ref="E31:J31"/>
    <mergeCell ref="I35:J35"/>
    <mergeCell ref="I65:L65"/>
    <mergeCell ref="D48:H48"/>
    <mergeCell ref="D50:H50"/>
    <mergeCell ref="K50:L50"/>
    <mergeCell ref="E51:G51"/>
    <mergeCell ref="E54:J54"/>
    <mergeCell ref="I55:J55"/>
    <mergeCell ref="I57:J57"/>
    <mergeCell ref="I58:J58"/>
    <mergeCell ref="E59:G59"/>
    <mergeCell ref="I59:J59"/>
    <mergeCell ref="I60:J60"/>
    <mergeCell ref="E143:G143"/>
    <mergeCell ref="I143:J143"/>
    <mergeCell ref="E129:M129"/>
    <mergeCell ref="I130:L130"/>
    <mergeCell ref="F132:G132"/>
    <mergeCell ref="E138:J138"/>
    <mergeCell ref="I139:J139"/>
    <mergeCell ref="I141:J141"/>
    <mergeCell ref="I142:J142"/>
    <mergeCell ref="H134:I134"/>
    <mergeCell ref="D72:O72"/>
    <mergeCell ref="E73:H73"/>
    <mergeCell ref="K73:L73"/>
    <mergeCell ref="D79:H79"/>
    <mergeCell ref="E82:G82"/>
    <mergeCell ref="D81:H81"/>
    <mergeCell ref="K81:L8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topLeftCell="A10" workbookViewId="0">
      <selection activeCell="J15" sqref="J15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4.3320312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602" t="s">
        <v>5</v>
      </c>
      <c r="C1" s="602"/>
      <c r="D1" s="602"/>
    </row>
    <row r="2" spans="2:31" ht="15.6" x14ac:dyDescent="0.3">
      <c r="B2" s="602" t="s">
        <v>6</v>
      </c>
      <c r="C2" s="602"/>
      <c r="D2" s="602"/>
    </row>
    <row r="3" spans="2:31" ht="15.6" x14ac:dyDescent="0.3">
      <c r="B3" s="256" t="s">
        <v>13</v>
      </c>
      <c r="C3" s="256"/>
      <c r="D3" s="166"/>
    </row>
    <row r="4" spans="2:31" ht="15.6" x14ac:dyDescent="0.3">
      <c r="B4" s="167"/>
      <c r="C4" s="167"/>
      <c r="D4" s="166"/>
    </row>
    <row r="5" spans="2:31" ht="15.6" x14ac:dyDescent="0.3">
      <c r="B5" s="167"/>
      <c r="C5" s="167"/>
      <c r="D5" s="166" t="s">
        <v>83</v>
      </c>
      <c r="F5" s="257" t="s">
        <v>84</v>
      </c>
    </row>
    <row r="6" spans="2:31" ht="15.6" x14ac:dyDescent="0.3">
      <c r="B6" s="167"/>
      <c r="C6" s="167"/>
      <c r="D6" s="166"/>
      <c r="F6" t="s">
        <v>87</v>
      </c>
    </row>
    <row r="7" spans="2:31" ht="15.6" x14ac:dyDescent="0.3">
      <c r="B7" s="167"/>
      <c r="C7" s="167"/>
      <c r="D7" s="166"/>
      <c r="F7" s="257" t="s">
        <v>86</v>
      </c>
    </row>
    <row r="8" spans="2:31" ht="15.6" x14ac:dyDescent="0.3">
      <c r="B8" s="167"/>
      <c r="C8" s="167"/>
      <c r="D8" s="166"/>
      <c r="F8" s="257" t="s">
        <v>85</v>
      </c>
    </row>
    <row r="9" spans="2:31" ht="15.6" x14ac:dyDescent="0.3">
      <c r="B9" s="167"/>
      <c r="C9" s="167"/>
      <c r="D9" s="166"/>
      <c r="F9" s="257"/>
    </row>
    <row r="11" spans="2:31" ht="15" thickBot="1" x14ac:dyDescent="0.35">
      <c r="D11" s="87"/>
      <c r="F11" s="1"/>
      <c r="G11" s="1"/>
      <c r="H11" s="1"/>
      <c r="I11" s="1"/>
      <c r="J11" s="1"/>
      <c r="K11" s="1"/>
      <c r="L11" s="59"/>
      <c r="M11" s="1"/>
      <c r="N11" s="1"/>
      <c r="O11" s="1"/>
      <c r="P11" s="1"/>
      <c r="Q11" s="1"/>
      <c r="R11" s="1"/>
      <c r="S11" s="1"/>
      <c r="T11" s="1"/>
      <c r="U11" s="1"/>
      <c r="V11" s="59"/>
    </row>
    <row r="12" spans="2:31" ht="15" thickBot="1" x14ac:dyDescent="0.35">
      <c r="D12" s="710" t="s">
        <v>23</v>
      </c>
      <c r="E12" s="711"/>
      <c r="F12" s="711"/>
      <c r="G12" s="711"/>
      <c r="H12" s="711"/>
      <c r="I12" s="711"/>
      <c r="J12" s="711"/>
      <c r="K12" s="711"/>
      <c r="L12" s="711"/>
      <c r="M12" s="711"/>
      <c r="N12" s="711"/>
      <c r="O12" s="711"/>
      <c r="P12" s="711"/>
      <c r="Q12" s="711"/>
      <c r="R12" s="711"/>
      <c r="S12" s="711"/>
      <c r="T12" s="711"/>
      <c r="U12" s="712"/>
      <c r="V12" s="59"/>
    </row>
    <row r="13" spans="2:31" ht="15" thickBot="1" x14ac:dyDescent="0.35">
      <c r="D13" s="226" t="s">
        <v>19</v>
      </c>
      <c r="E13" s="76"/>
      <c r="F13" s="227" t="s">
        <v>20</v>
      </c>
      <c r="G13" s="77"/>
      <c r="H13" s="77"/>
      <c r="I13" s="77"/>
      <c r="J13" s="228" t="s">
        <v>21</v>
      </c>
      <c r="K13" s="77"/>
      <c r="L13" s="227" t="s">
        <v>18</v>
      </c>
      <c r="M13" s="78"/>
      <c r="N13" s="78"/>
      <c r="O13" s="78"/>
      <c r="P13" s="227" t="s">
        <v>20</v>
      </c>
      <c r="Q13" s="78"/>
      <c r="R13" s="78"/>
      <c r="S13" s="78"/>
      <c r="T13" s="227" t="s">
        <v>22</v>
      </c>
      <c r="U13" s="229"/>
      <c r="V13" s="1"/>
      <c r="X13" s="90"/>
      <c r="Y13" s="90"/>
      <c r="Z13" s="90"/>
      <c r="AA13" s="90"/>
      <c r="AB13" s="90"/>
      <c r="AC13" s="90"/>
      <c r="AD13" s="1"/>
      <c r="AE13" s="1"/>
    </row>
    <row r="14" spans="2:31" ht="15" thickBot="1" x14ac:dyDescent="0.35">
      <c r="D14" s="79">
        <v>43916</v>
      </c>
      <c r="E14" s="80"/>
      <c r="F14" s="81">
        <f>+'Main Table'!H16</f>
        <v>85435</v>
      </c>
      <c r="G14" s="81"/>
      <c r="H14" s="81"/>
      <c r="I14" s="81"/>
      <c r="J14" s="231">
        <v>0.1</v>
      </c>
      <c r="K14" s="81"/>
      <c r="L14" s="81">
        <v>0</v>
      </c>
      <c r="M14" s="81"/>
      <c r="N14" s="81"/>
      <c r="O14" s="81"/>
      <c r="P14" s="81">
        <f>+F14</f>
        <v>85435</v>
      </c>
      <c r="Q14" s="81"/>
      <c r="R14" s="81"/>
      <c r="S14" s="81"/>
      <c r="T14" s="231">
        <v>0.01</v>
      </c>
      <c r="U14" s="229"/>
      <c r="V14" s="1"/>
      <c r="X14" s="233"/>
      <c r="Y14" s="709" t="s">
        <v>62</v>
      </c>
      <c r="Z14" s="709"/>
      <c r="AA14" s="709"/>
      <c r="AB14" s="709"/>
      <c r="AC14" s="709"/>
      <c r="AD14" s="234"/>
      <c r="AE14" s="1"/>
    </row>
    <row r="15" spans="2:31" x14ac:dyDescent="0.3">
      <c r="D15" s="79">
        <f t="shared" ref="D15:D60" si="0">1+D14</f>
        <v>43917</v>
      </c>
      <c r="E15" s="80"/>
      <c r="F15" s="81">
        <f t="shared" ref="F15:F49" si="1">+F14*(1+J14)</f>
        <v>93978.500000000015</v>
      </c>
      <c r="G15" s="81"/>
      <c r="H15" s="81"/>
      <c r="I15" s="81"/>
      <c r="J15" s="82">
        <f t="shared" ref="J15:J59" si="2">+J14</f>
        <v>0.1</v>
      </c>
      <c r="K15" s="81"/>
      <c r="L15" s="81">
        <f t="shared" ref="L15:L59" si="3">+L14+1</f>
        <v>1</v>
      </c>
      <c r="M15" s="81"/>
      <c r="N15" s="81"/>
      <c r="O15" s="81"/>
      <c r="P15" s="81">
        <f t="shared" ref="P15:P49" si="4">+P14*(1+T14)</f>
        <v>86289.35</v>
      </c>
      <c r="Q15" s="81"/>
      <c r="R15" s="81"/>
      <c r="S15" s="81"/>
      <c r="T15" s="82">
        <f t="shared" ref="T15:T59" si="5">+T14</f>
        <v>0.01</v>
      </c>
      <c r="U15" s="229"/>
      <c r="V15" s="1"/>
      <c r="X15" s="235"/>
      <c r="Y15" s="236" t="s">
        <v>63</v>
      </c>
      <c r="Z15" s="237"/>
      <c r="AA15" s="236" t="s">
        <v>64</v>
      </c>
      <c r="AB15" s="238"/>
      <c r="AC15" s="239" t="s">
        <v>10</v>
      </c>
      <c r="AD15" s="240"/>
      <c r="AE15" s="1"/>
    </row>
    <row r="16" spans="2:31" x14ac:dyDescent="0.3">
      <c r="D16" s="79">
        <f t="shared" si="0"/>
        <v>43918</v>
      </c>
      <c r="E16" s="80"/>
      <c r="F16" s="81">
        <f t="shared" si="1"/>
        <v>103376.35000000002</v>
      </c>
      <c r="G16" s="81"/>
      <c r="H16" s="81"/>
      <c r="I16" s="81"/>
      <c r="J16" s="82">
        <f t="shared" si="2"/>
        <v>0.1</v>
      </c>
      <c r="K16" s="81"/>
      <c r="L16" s="81">
        <f t="shared" si="3"/>
        <v>2</v>
      </c>
      <c r="M16" s="81"/>
      <c r="N16" s="81"/>
      <c r="O16" s="81"/>
      <c r="P16" s="81">
        <f t="shared" si="4"/>
        <v>87152.243500000011</v>
      </c>
      <c r="Q16" s="81"/>
      <c r="R16" s="81"/>
      <c r="S16" s="81"/>
      <c r="T16" s="82">
        <f t="shared" si="5"/>
        <v>0.01</v>
      </c>
      <c r="U16" s="229"/>
      <c r="V16" s="1"/>
      <c r="X16" s="235"/>
      <c r="Y16" s="241" t="s">
        <v>59</v>
      </c>
      <c r="Z16" s="241"/>
      <c r="AA16" s="242">
        <v>330</v>
      </c>
      <c r="AB16" s="241"/>
      <c r="AC16" s="243">
        <f>+AA16/AA16</f>
        <v>1</v>
      </c>
      <c r="AD16" s="240"/>
      <c r="AE16" s="1"/>
    </row>
    <row r="17" spans="4:33" x14ac:dyDescent="0.3">
      <c r="D17" s="79">
        <f t="shared" si="0"/>
        <v>43919</v>
      </c>
      <c r="E17" s="80"/>
      <c r="F17" s="81">
        <f t="shared" si="1"/>
        <v>113713.98500000003</v>
      </c>
      <c r="G17" s="81"/>
      <c r="H17" s="81"/>
      <c r="I17" s="81"/>
      <c r="J17" s="82">
        <f t="shared" si="2"/>
        <v>0.1</v>
      </c>
      <c r="K17" s="81"/>
      <c r="L17" s="81">
        <f t="shared" si="3"/>
        <v>3</v>
      </c>
      <c r="M17" s="81"/>
      <c r="N17" s="81"/>
      <c r="O17" s="81"/>
      <c r="P17" s="81">
        <f t="shared" si="4"/>
        <v>88023.765935000018</v>
      </c>
      <c r="Q17" s="81"/>
      <c r="R17" s="81"/>
      <c r="S17" s="81"/>
      <c r="T17" s="82">
        <f t="shared" si="5"/>
        <v>0.01</v>
      </c>
      <c r="U17" s="229"/>
      <c r="V17" s="1"/>
      <c r="X17" s="235"/>
      <c r="Y17" s="244" t="s">
        <v>61</v>
      </c>
      <c r="Z17" s="241"/>
      <c r="AA17" s="245">
        <v>53.42</v>
      </c>
      <c r="AB17" s="241"/>
      <c r="AC17" s="243">
        <f>+AA17/AA16</f>
        <v>0.16187878787878787</v>
      </c>
      <c r="AD17" s="240"/>
      <c r="AE17" s="1"/>
    </row>
    <row r="18" spans="4:33" x14ac:dyDescent="0.3">
      <c r="D18" s="79">
        <f t="shared" si="0"/>
        <v>43920</v>
      </c>
      <c r="E18" s="80"/>
      <c r="F18" s="81">
        <f t="shared" si="1"/>
        <v>125085.38350000004</v>
      </c>
      <c r="G18" s="81"/>
      <c r="H18" s="81"/>
      <c r="I18" s="81"/>
      <c r="J18" s="82">
        <f t="shared" si="2"/>
        <v>0.1</v>
      </c>
      <c r="K18" s="81"/>
      <c r="L18" s="81">
        <f t="shared" si="3"/>
        <v>4</v>
      </c>
      <c r="M18" s="81"/>
      <c r="N18" s="81"/>
      <c r="O18" s="81"/>
      <c r="P18" s="81">
        <f t="shared" si="4"/>
        <v>88904.003594350012</v>
      </c>
      <c r="Q18" s="81"/>
      <c r="R18" s="81"/>
      <c r="S18" s="81"/>
      <c r="T18" s="82">
        <f t="shared" si="5"/>
        <v>0.01</v>
      </c>
      <c r="U18" s="229"/>
      <c r="V18" s="1"/>
      <c r="X18" s="235"/>
      <c r="Y18" s="246" t="s">
        <v>65</v>
      </c>
      <c r="Z18" s="246"/>
      <c r="AA18" s="242">
        <f>+AC18*AA17</f>
        <v>11.37846</v>
      </c>
      <c r="AB18" s="241"/>
      <c r="AC18" s="243">
        <v>0.21299999999999999</v>
      </c>
      <c r="AD18" s="240"/>
      <c r="AE18" s="1"/>
    </row>
    <row r="19" spans="4:33" ht="15" thickBot="1" x14ac:dyDescent="0.35">
      <c r="D19" s="79">
        <f t="shared" si="0"/>
        <v>43921</v>
      </c>
      <c r="E19" s="80"/>
      <c r="F19" s="81">
        <f t="shared" si="1"/>
        <v>137593.92185000004</v>
      </c>
      <c r="G19" s="81"/>
      <c r="H19" s="81"/>
      <c r="I19" s="81"/>
      <c r="J19" s="82">
        <f t="shared" si="2"/>
        <v>0.1</v>
      </c>
      <c r="K19" s="81"/>
      <c r="L19" s="81">
        <f t="shared" si="3"/>
        <v>5</v>
      </c>
      <c r="M19" s="81"/>
      <c r="N19" s="81"/>
      <c r="O19" s="81"/>
      <c r="P19" s="81">
        <f t="shared" si="4"/>
        <v>89793.043630293512</v>
      </c>
      <c r="Q19" s="81"/>
      <c r="R19" s="81"/>
      <c r="S19" s="81"/>
      <c r="T19" s="82">
        <f t="shared" si="5"/>
        <v>0.01</v>
      </c>
      <c r="U19" s="229"/>
      <c r="V19" s="1"/>
      <c r="X19" s="247"/>
      <c r="Y19" s="248" t="s">
        <v>66</v>
      </c>
      <c r="Z19" s="248"/>
      <c r="AA19" s="249"/>
      <c r="AB19" s="250"/>
      <c r="AC19" s="249">
        <f>+AA18/AA16</f>
        <v>3.448018181818182E-2</v>
      </c>
      <c r="AD19" s="251"/>
      <c r="AE19" s="1"/>
    </row>
    <row r="20" spans="4:33" x14ac:dyDescent="0.3">
      <c r="D20" s="79">
        <f t="shared" si="0"/>
        <v>43922</v>
      </c>
      <c r="E20" s="80"/>
      <c r="F20" s="81">
        <f t="shared" si="1"/>
        <v>151353.31403500005</v>
      </c>
      <c r="G20" s="81"/>
      <c r="H20" s="81"/>
      <c r="I20" s="81"/>
      <c r="J20" s="82">
        <f t="shared" si="2"/>
        <v>0.1</v>
      </c>
      <c r="K20" s="81"/>
      <c r="L20" s="81">
        <f t="shared" si="3"/>
        <v>6</v>
      </c>
      <c r="M20" s="81"/>
      <c r="N20" s="81"/>
      <c r="O20" s="81"/>
      <c r="P20" s="81">
        <f t="shared" si="4"/>
        <v>90690.974066596449</v>
      </c>
      <c r="Q20" s="81"/>
      <c r="R20" s="81"/>
      <c r="S20" s="81"/>
      <c r="T20" s="82">
        <f t="shared" si="5"/>
        <v>0.01</v>
      </c>
      <c r="U20" s="229"/>
      <c r="V20" s="1"/>
      <c r="X20" s="90"/>
      <c r="Y20" s="90"/>
      <c r="Z20" s="90"/>
      <c r="AA20" s="90"/>
      <c r="AB20" s="90"/>
      <c r="AC20" s="90"/>
      <c r="AD20" s="1"/>
      <c r="AE20" s="1"/>
    </row>
    <row r="21" spans="4:33" x14ac:dyDescent="0.3">
      <c r="D21" s="79">
        <f t="shared" si="0"/>
        <v>43923</v>
      </c>
      <c r="E21" s="80"/>
      <c r="F21" s="81">
        <f t="shared" si="1"/>
        <v>166488.64543850007</v>
      </c>
      <c r="G21" s="81"/>
      <c r="H21" s="81"/>
      <c r="I21" s="81"/>
      <c r="J21" s="82">
        <f t="shared" si="2"/>
        <v>0.1</v>
      </c>
      <c r="K21" s="81"/>
      <c r="L21" s="81">
        <f t="shared" si="3"/>
        <v>7</v>
      </c>
      <c r="M21" s="81"/>
      <c r="N21" s="81"/>
      <c r="O21" s="81"/>
      <c r="P21" s="81">
        <f t="shared" si="4"/>
        <v>91597.88380726242</v>
      </c>
      <c r="Q21" s="81"/>
      <c r="R21" s="81"/>
      <c r="S21" s="81"/>
      <c r="T21" s="82">
        <f t="shared" si="5"/>
        <v>0.01</v>
      </c>
      <c r="U21" s="229"/>
      <c r="V21" s="1"/>
      <c r="X21" s="90"/>
      <c r="Y21" s="90"/>
      <c r="Z21" s="90"/>
      <c r="AA21" s="90"/>
      <c r="AB21" s="90"/>
      <c r="AC21" s="90"/>
      <c r="AD21" s="1"/>
      <c r="AE21" s="1"/>
    </row>
    <row r="22" spans="4:33" x14ac:dyDescent="0.3">
      <c r="D22" s="79">
        <f t="shared" si="0"/>
        <v>43924</v>
      </c>
      <c r="E22" s="80"/>
      <c r="F22" s="81">
        <f t="shared" si="1"/>
        <v>183137.50998235008</v>
      </c>
      <c r="G22" s="81"/>
      <c r="H22" s="81"/>
      <c r="I22" s="81"/>
      <c r="J22" s="82">
        <f t="shared" si="2"/>
        <v>0.1</v>
      </c>
      <c r="K22" s="81"/>
      <c r="L22" s="81">
        <f t="shared" si="3"/>
        <v>8</v>
      </c>
      <c r="M22" s="81"/>
      <c r="N22" s="81"/>
      <c r="O22" s="81"/>
      <c r="P22" s="81">
        <f t="shared" si="4"/>
        <v>92513.862645335044</v>
      </c>
      <c r="Q22" s="81"/>
      <c r="R22" s="81"/>
      <c r="S22" s="81"/>
      <c r="T22" s="82">
        <f t="shared" si="5"/>
        <v>0.01</v>
      </c>
      <c r="U22" s="229"/>
      <c r="V22" s="1"/>
    </row>
    <row r="23" spans="4:33" x14ac:dyDescent="0.3">
      <c r="D23" s="79">
        <f t="shared" si="0"/>
        <v>43925</v>
      </c>
      <c r="E23" s="80"/>
      <c r="F23" s="81">
        <f t="shared" si="1"/>
        <v>201451.2609805851</v>
      </c>
      <c r="G23" s="81"/>
      <c r="H23" s="81"/>
      <c r="I23" s="81"/>
      <c r="J23" s="82">
        <f t="shared" si="2"/>
        <v>0.1</v>
      </c>
      <c r="K23" s="81"/>
      <c r="L23" s="81">
        <f t="shared" si="3"/>
        <v>9</v>
      </c>
      <c r="M23" s="81"/>
      <c r="N23" s="81"/>
      <c r="O23" s="81"/>
      <c r="P23" s="81">
        <f t="shared" si="4"/>
        <v>93439.001271788395</v>
      </c>
      <c r="Q23" s="81"/>
      <c r="R23" s="81"/>
      <c r="S23" s="81"/>
      <c r="T23" s="82">
        <f t="shared" si="5"/>
        <v>0.01</v>
      </c>
      <c r="U23" s="229"/>
      <c r="V23" s="1"/>
      <c r="X23" s="110"/>
      <c r="Y23" s="90"/>
      <c r="Z23" s="90"/>
      <c r="AA23" s="90"/>
      <c r="AB23" s="90"/>
      <c r="AC23" s="90"/>
      <c r="AD23" s="90"/>
      <c r="AE23" s="90"/>
      <c r="AF23" s="90"/>
      <c r="AG23" s="110"/>
    </row>
    <row r="24" spans="4:33" x14ac:dyDescent="0.3">
      <c r="D24" s="79">
        <f t="shared" si="0"/>
        <v>43926</v>
      </c>
      <c r="E24" s="80"/>
      <c r="F24" s="81">
        <f t="shared" si="1"/>
        <v>221596.38707864363</v>
      </c>
      <c r="G24" s="81"/>
      <c r="H24" s="81"/>
      <c r="I24" s="81"/>
      <c r="J24" s="82">
        <f t="shared" si="2"/>
        <v>0.1</v>
      </c>
      <c r="K24" s="81"/>
      <c r="L24" s="81">
        <f t="shared" si="3"/>
        <v>10</v>
      </c>
      <c r="M24" s="81"/>
      <c r="N24" s="81"/>
      <c r="O24" s="81"/>
      <c r="P24" s="81">
        <f t="shared" si="4"/>
        <v>94373.391284506273</v>
      </c>
      <c r="Q24" s="81"/>
      <c r="R24" s="81"/>
      <c r="S24" s="81"/>
      <c r="T24" s="82">
        <f t="shared" si="5"/>
        <v>0.01</v>
      </c>
      <c r="U24" s="229"/>
      <c r="V24" s="1"/>
      <c r="X24" s="110"/>
      <c r="Y24" s="114"/>
      <c r="Z24" s="255"/>
      <c r="AA24" s="255"/>
      <c r="AB24" s="255"/>
      <c r="AC24" s="255"/>
      <c r="AD24" s="255"/>
      <c r="AE24" s="90"/>
      <c r="AF24" s="90"/>
      <c r="AG24" s="110"/>
    </row>
    <row r="25" spans="4:33" x14ac:dyDescent="0.3">
      <c r="D25" s="79">
        <f t="shared" si="0"/>
        <v>43927</v>
      </c>
      <c r="E25" s="80"/>
      <c r="F25" s="81">
        <f t="shared" si="1"/>
        <v>243756.02578650802</v>
      </c>
      <c r="G25" s="81"/>
      <c r="H25" s="81"/>
      <c r="I25" s="81"/>
      <c r="J25" s="82">
        <f t="shared" si="2"/>
        <v>0.1</v>
      </c>
      <c r="K25" s="81"/>
      <c r="L25" s="81">
        <f t="shared" si="3"/>
        <v>11</v>
      </c>
      <c r="M25" s="81"/>
      <c r="N25" s="81"/>
      <c r="O25" s="81"/>
      <c r="P25" s="81">
        <f t="shared" si="4"/>
        <v>95317.125197351343</v>
      </c>
      <c r="Q25" s="81"/>
      <c r="R25" s="81"/>
      <c r="S25" s="81"/>
      <c r="T25" s="82">
        <f t="shared" si="5"/>
        <v>0.01</v>
      </c>
      <c r="U25" s="229"/>
      <c r="V25" s="1"/>
      <c r="X25" s="110"/>
      <c r="Y25" s="254"/>
      <c r="Z25" s="254"/>
      <c r="AA25" s="254"/>
      <c r="AB25" s="110"/>
      <c r="AC25" s="107"/>
      <c r="AD25" s="110"/>
      <c r="AE25" s="95"/>
      <c r="AF25" s="90"/>
      <c r="AG25" s="110"/>
    </row>
    <row r="26" spans="4:33" x14ac:dyDescent="0.3">
      <c r="D26" s="79">
        <f t="shared" si="0"/>
        <v>43928</v>
      </c>
      <c r="E26" s="80"/>
      <c r="F26" s="81">
        <f t="shared" si="1"/>
        <v>268131.62836515886</v>
      </c>
      <c r="G26" s="81"/>
      <c r="H26" s="81"/>
      <c r="I26" s="81"/>
      <c r="J26" s="82">
        <f t="shared" si="2"/>
        <v>0.1</v>
      </c>
      <c r="K26" s="81"/>
      <c r="L26" s="81">
        <f t="shared" si="3"/>
        <v>12</v>
      </c>
      <c r="M26" s="81"/>
      <c r="N26" s="81"/>
      <c r="O26" s="81"/>
      <c r="P26" s="81">
        <f t="shared" si="4"/>
        <v>96270.296449324858</v>
      </c>
      <c r="Q26" s="81"/>
      <c r="R26" s="81"/>
      <c r="S26" s="81"/>
      <c r="T26" s="82">
        <f t="shared" si="5"/>
        <v>0.01</v>
      </c>
      <c r="U26" s="229"/>
      <c r="V26" s="1"/>
      <c r="X26" s="110"/>
      <c r="Y26" s="114"/>
      <c r="Z26" s="114"/>
      <c r="AA26" s="114"/>
      <c r="AB26" s="110"/>
      <c r="AC26" s="252"/>
      <c r="AD26" s="110"/>
      <c r="AE26" s="253"/>
      <c r="AF26" s="90"/>
      <c r="AG26" s="110"/>
    </row>
    <row r="27" spans="4:33" x14ac:dyDescent="0.3">
      <c r="D27" s="79">
        <f t="shared" si="0"/>
        <v>43929</v>
      </c>
      <c r="E27" s="80"/>
      <c r="F27" s="81">
        <f t="shared" si="1"/>
        <v>294944.79120167479</v>
      </c>
      <c r="G27" s="81"/>
      <c r="H27" s="81"/>
      <c r="I27" s="81"/>
      <c r="J27" s="82">
        <f t="shared" si="2"/>
        <v>0.1</v>
      </c>
      <c r="K27" s="81"/>
      <c r="L27" s="81">
        <f t="shared" si="3"/>
        <v>13</v>
      </c>
      <c r="M27" s="81"/>
      <c r="N27" s="81"/>
      <c r="O27" s="81"/>
      <c r="P27" s="81">
        <f t="shared" si="4"/>
        <v>97232.999413818106</v>
      </c>
      <c r="Q27" s="81"/>
      <c r="R27" s="81"/>
      <c r="S27" s="81"/>
      <c r="T27" s="82">
        <f t="shared" si="5"/>
        <v>0.01</v>
      </c>
      <c r="U27" s="229"/>
      <c r="V27" s="1"/>
      <c r="X27" s="110"/>
      <c r="Y27" s="114"/>
      <c r="Z27" s="114"/>
      <c r="AA27" s="114"/>
      <c r="AB27" s="110"/>
      <c r="AC27" s="252"/>
      <c r="AD27" s="110"/>
      <c r="AE27" s="253"/>
      <c r="AF27" s="90"/>
      <c r="AG27" s="110"/>
    </row>
    <row r="28" spans="4:33" x14ac:dyDescent="0.3">
      <c r="D28" s="79">
        <f t="shared" si="0"/>
        <v>43930</v>
      </c>
      <c r="E28" s="80"/>
      <c r="F28" s="81">
        <f t="shared" si="1"/>
        <v>324439.27032184228</v>
      </c>
      <c r="G28" s="81"/>
      <c r="H28" s="81"/>
      <c r="I28" s="81"/>
      <c r="J28" s="82">
        <f t="shared" si="2"/>
        <v>0.1</v>
      </c>
      <c r="K28" s="81"/>
      <c r="L28" s="81">
        <f t="shared" si="3"/>
        <v>14</v>
      </c>
      <c r="M28" s="81"/>
      <c r="N28" s="81"/>
      <c r="O28" s="81"/>
      <c r="P28" s="81">
        <f t="shared" si="4"/>
        <v>98205.329407956291</v>
      </c>
      <c r="Q28" s="81"/>
      <c r="R28" s="81"/>
      <c r="S28" s="81"/>
      <c r="T28" s="82">
        <f t="shared" si="5"/>
        <v>0.01</v>
      </c>
      <c r="U28" s="229"/>
      <c r="V28" s="1"/>
      <c r="X28" s="110"/>
      <c r="Y28" s="255"/>
      <c r="Z28" s="255"/>
      <c r="AA28" s="255"/>
      <c r="AB28" s="110"/>
      <c r="AC28" s="252"/>
      <c r="AD28" s="110"/>
      <c r="AE28" s="253"/>
      <c r="AF28" s="90"/>
      <c r="AG28" s="110"/>
    </row>
    <row r="29" spans="4:33" x14ac:dyDescent="0.3">
      <c r="D29" s="79">
        <f t="shared" si="0"/>
        <v>43931</v>
      </c>
      <c r="E29" s="80"/>
      <c r="F29" s="81">
        <f t="shared" si="1"/>
        <v>356883.19735402655</v>
      </c>
      <c r="G29" s="81"/>
      <c r="H29" s="81"/>
      <c r="I29" s="81"/>
      <c r="J29" s="82">
        <f t="shared" si="2"/>
        <v>0.1</v>
      </c>
      <c r="K29" s="81"/>
      <c r="L29" s="81">
        <f t="shared" si="3"/>
        <v>15</v>
      </c>
      <c r="M29" s="81"/>
      <c r="N29" s="81"/>
      <c r="O29" s="81"/>
      <c r="P29" s="81">
        <f t="shared" si="4"/>
        <v>99187.382702035859</v>
      </c>
      <c r="Q29" s="81"/>
      <c r="R29" s="81"/>
      <c r="S29" s="81"/>
      <c r="T29" s="82">
        <f t="shared" si="5"/>
        <v>0.01</v>
      </c>
      <c r="U29" s="229"/>
      <c r="V29" s="88"/>
      <c r="X29" s="110"/>
      <c r="Y29" s="255"/>
      <c r="Z29" s="255"/>
      <c r="AA29" s="255"/>
      <c r="AB29" s="110"/>
      <c r="AC29" s="253"/>
      <c r="AD29" s="110"/>
      <c r="AE29" s="253"/>
      <c r="AF29" s="90"/>
      <c r="AG29" s="110"/>
    </row>
    <row r="30" spans="4:33" x14ac:dyDescent="0.3">
      <c r="D30" s="79">
        <f t="shared" si="0"/>
        <v>43932</v>
      </c>
      <c r="E30" s="80"/>
      <c r="F30" s="81">
        <f t="shared" si="1"/>
        <v>392571.51708942925</v>
      </c>
      <c r="G30" s="81"/>
      <c r="H30" s="81"/>
      <c r="I30" s="81"/>
      <c r="J30" s="82">
        <f t="shared" si="2"/>
        <v>0.1</v>
      </c>
      <c r="K30" s="81"/>
      <c r="L30" s="81">
        <f t="shared" si="3"/>
        <v>16</v>
      </c>
      <c r="M30" s="81"/>
      <c r="N30" s="81"/>
      <c r="O30" s="81"/>
      <c r="P30" s="81">
        <f t="shared" si="4"/>
        <v>100179.25652905622</v>
      </c>
      <c r="Q30" s="81"/>
      <c r="R30" s="81"/>
      <c r="S30" s="81"/>
      <c r="T30" s="82">
        <f t="shared" si="5"/>
        <v>0.01</v>
      </c>
      <c r="U30" s="229"/>
      <c r="V30" s="1"/>
      <c r="X30" s="110"/>
      <c r="Y30" s="90"/>
      <c r="Z30" s="90"/>
      <c r="AA30" s="90"/>
      <c r="AB30" s="90"/>
      <c r="AC30" s="90"/>
      <c r="AD30" s="90"/>
      <c r="AE30" s="90"/>
      <c r="AF30" s="90"/>
      <c r="AG30" s="110"/>
    </row>
    <row r="31" spans="4:33" x14ac:dyDescent="0.3">
      <c r="D31" s="79">
        <f t="shared" si="0"/>
        <v>43933</v>
      </c>
      <c r="E31" s="80"/>
      <c r="F31" s="81">
        <f t="shared" si="1"/>
        <v>431828.66879837221</v>
      </c>
      <c r="G31" s="81"/>
      <c r="H31" s="81"/>
      <c r="I31" s="81"/>
      <c r="J31" s="82">
        <f t="shared" si="2"/>
        <v>0.1</v>
      </c>
      <c r="K31" s="81"/>
      <c r="L31" s="81">
        <f t="shared" si="3"/>
        <v>17</v>
      </c>
      <c r="M31" s="81"/>
      <c r="N31" s="81"/>
      <c r="O31" s="81"/>
      <c r="P31" s="81">
        <f t="shared" si="4"/>
        <v>101181.04909434679</v>
      </c>
      <c r="Q31" s="81"/>
      <c r="R31" s="81"/>
      <c r="S31" s="81"/>
      <c r="T31" s="82">
        <f t="shared" si="5"/>
        <v>0.01</v>
      </c>
      <c r="U31" s="229"/>
      <c r="V31" s="1"/>
      <c r="Y31" s="90"/>
      <c r="Z31" s="90"/>
      <c r="AA31" s="90"/>
      <c r="AB31" s="90"/>
      <c r="AC31" s="90"/>
      <c r="AD31" s="90"/>
      <c r="AE31" s="1"/>
      <c r="AF31" s="1"/>
    </row>
    <row r="32" spans="4:33" x14ac:dyDescent="0.3">
      <c r="D32" s="79">
        <f t="shared" si="0"/>
        <v>43934</v>
      </c>
      <c r="E32" s="80"/>
      <c r="F32" s="81">
        <f t="shared" si="1"/>
        <v>475011.53567820945</v>
      </c>
      <c r="G32" s="81"/>
      <c r="H32" s="81"/>
      <c r="I32" s="81"/>
      <c r="J32" s="82">
        <f t="shared" si="2"/>
        <v>0.1</v>
      </c>
      <c r="K32" s="81"/>
      <c r="L32" s="81">
        <f t="shared" si="3"/>
        <v>18</v>
      </c>
      <c r="M32" s="81"/>
      <c r="N32" s="81"/>
      <c r="O32" s="81"/>
      <c r="P32" s="81">
        <f t="shared" si="4"/>
        <v>102192.85958529025</v>
      </c>
      <c r="Q32" s="81"/>
      <c r="R32" s="81"/>
      <c r="S32" s="81"/>
      <c r="T32" s="82">
        <f t="shared" si="5"/>
        <v>0.01</v>
      </c>
      <c r="U32" s="229"/>
      <c r="V32" s="1"/>
    </row>
    <row r="33" spans="4:22" x14ac:dyDescent="0.3">
      <c r="D33" s="79">
        <f t="shared" si="0"/>
        <v>43935</v>
      </c>
      <c r="E33" s="80"/>
      <c r="F33" s="81">
        <f t="shared" si="1"/>
        <v>522512.68924603041</v>
      </c>
      <c r="G33" s="81"/>
      <c r="H33" s="81"/>
      <c r="I33" s="81"/>
      <c r="J33" s="82">
        <f t="shared" si="2"/>
        <v>0.1</v>
      </c>
      <c r="K33" s="81"/>
      <c r="L33" s="81">
        <f t="shared" si="3"/>
        <v>19</v>
      </c>
      <c r="M33" s="81"/>
      <c r="N33" s="81"/>
      <c r="O33" s="81"/>
      <c r="P33" s="81">
        <f t="shared" si="4"/>
        <v>103214.78818114316</v>
      </c>
      <c r="Q33" s="81"/>
      <c r="R33" s="81"/>
      <c r="S33" s="81"/>
      <c r="T33" s="82">
        <f t="shared" si="5"/>
        <v>0.01</v>
      </c>
      <c r="U33" s="229"/>
      <c r="V33" s="1"/>
    </row>
    <row r="34" spans="4:22" x14ac:dyDescent="0.3">
      <c r="D34" s="79">
        <f t="shared" si="0"/>
        <v>43936</v>
      </c>
      <c r="E34" s="80"/>
      <c r="F34" s="81">
        <f t="shared" si="1"/>
        <v>574763.95817063353</v>
      </c>
      <c r="G34" s="81"/>
      <c r="H34" s="81"/>
      <c r="I34" s="81"/>
      <c r="J34" s="82">
        <f t="shared" si="2"/>
        <v>0.1</v>
      </c>
      <c r="K34" s="81"/>
      <c r="L34" s="81">
        <f t="shared" si="3"/>
        <v>20</v>
      </c>
      <c r="M34" s="81"/>
      <c r="N34" s="81"/>
      <c r="O34" s="81"/>
      <c r="P34" s="81">
        <f t="shared" si="4"/>
        <v>104246.93606295458</v>
      </c>
      <c r="Q34" s="81"/>
      <c r="R34" s="81"/>
      <c r="S34" s="81"/>
      <c r="T34" s="82">
        <f t="shared" si="5"/>
        <v>0.01</v>
      </c>
      <c r="U34" s="229"/>
      <c r="V34" s="1"/>
    </row>
    <row r="35" spans="4:22" x14ac:dyDescent="0.3">
      <c r="D35" s="79">
        <f t="shared" si="0"/>
        <v>43937</v>
      </c>
      <c r="E35" s="80"/>
      <c r="F35" s="81">
        <f t="shared" si="1"/>
        <v>632240.35398769693</v>
      </c>
      <c r="G35" s="81"/>
      <c r="H35" s="81"/>
      <c r="I35" s="81"/>
      <c r="J35" s="82">
        <f t="shared" si="2"/>
        <v>0.1</v>
      </c>
      <c r="K35" s="81"/>
      <c r="L35" s="81">
        <f t="shared" si="3"/>
        <v>21</v>
      </c>
      <c r="M35" s="81"/>
      <c r="N35" s="81"/>
      <c r="O35" s="81"/>
      <c r="P35" s="81">
        <f t="shared" si="4"/>
        <v>105289.40542358413</v>
      </c>
      <c r="Q35" s="81"/>
      <c r="R35" s="81"/>
      <c r="S35" s="81"/>
      <c r="T35" s="82">
        <f t="shared" si="5"/>
        <v>0.01</v>
      </c>
      <c r="U35" s="229"/>
      <c r="V35" s="1"/>
    </row>
    <row r="36" spans="4:22" x14ac:dyDescent="0.3">
      <c r="D36" s="79">
        <f t="shared" si="0"/>
        <v>43938</v>
      </c>
      <c r="E36" s="80"/>
      <c r="F36" s="81">
        <f t="shared" si="1"/>
        <v>695464.3893864667</v>
      </c>
      <c r="G36" s="81"/>
      <c r="H36" s="81"/>
      <c r="I36" s="81"/>
      <c r="J36" s="82">
        <f t="shared" si="2"/>
        <v>0.1</v>
      </c>
      <c r="K36" s="81"/>
      <c r="L36" s="81">
        <f t="shared" si="3"/>
        <v>22</v>
      </c>
      <c r="M36" s="81"/>
      <c r="N36" s="81"/>
      <c r="O36" s="81"/>
      <c r="P36" s="81">
        <f t="shared" si="4"/>
        <v>106342.29947781998</v>
      </c>
      <c r="Q36" s="81"/>
      <c r="R36" s="81"/>
      <c r="S36" s="81"/>
      <c r="T36" s="82">
        <f t="shared" si="5"/>
        <v>0.01</v>
      </c>
      <c r="U36" s="229"/>
      <c r="V36" s="10"/>
    </row>
    <row r="37" spans="4:22" x14ac:dyDescent="0.3">
      <c r="D37" s="79">
        <f t="shared" si="0"/>
        <v>43939</v>
      </c>
      <c r="E37" s="80"/>
      <c r="F37" s="81">
        <f t="shared" si="1"/>
        <v>765010.8283251134</v>
      </c>
      <c r="G37" s="81"/>
      <c r="H37" s="81"/>
      <c r="I37" s="81"/>
      <c r="J37" s="82">
        <f t="shared" si="2"/>
        <v>0.1</v>
      </c>
      <c r="K37" s="81"/>
      <c r="L37" s="81">
        <f t="shared" si="3"/>
        <v>23</v>
      </c>
      <c r="M37" s="81"/>
      <c r="N37" s="81"/>
      <c r="O37" s="81"/>
      <c r="P37" s="81">
        <f t="shared" si="4"/>
        <v>107405.72247259818</v>
      </c>
      <c r="Q37" s="81"/>
      <c r="R37" s="81"/>
      <c r="S37" s="81"/>
      <c r="T37" s="82">
        <f t="shared" si="5"/>
        <v>0.01</v>
      </c>
      <c r="U37" s="229"/>
      <c r="V37" s="10"/>
    </row>
    <row r="38" spans="4:22" x14ac:dyDescent="0.3">
      <c r="D38" s="79">
        <f t="shared" si="0"/>
        <v>43940</v>
      </c>
      <c r="E38" s="80"/>
      <c r="F38" s="81">
        <f t="shared" si="1"/>
        <v>841511.9111576248</v>
      </c>
      <c r="G38" s="81"/>
      <c r="H38" s="81"/>
      <c r="I38" s="81"/>
      <c r="J38" s="82">
        <f t="shared" si="2"/>
        <v>0.1</v>
      </c>
      <c r="K38" s="81"/>
      <c r="L38" s="81">
        <f t="shared" si="3"/>
        <v>24</v>
      </c>
      <c r="M38" s="81"/>
      <c r="N38" s="81"/>
      <c r="O38" s="81"/>
      <c r="P38" s="81">
        <f t="shared" si="4"/>
        <v>108479.77969732416</v>
      </c>
      <c r="Q38" s="81"/>
      <c r="R38" s="81"/>
      <c r="S38" s="81"/>
      <c r="T38" s="82">
        <f t="shared" si="5"/>
        <v>0.01</v>
      </c>
      <c r="U38" s="229"/>
      <c r="V38" s="10"/>
    </row>
    <row r="39" spans="4:22" x14ac:dyDescent="0.3">
      <c r="D39" s="79">
        <f t="shared" si="0"/>
        <v>43941</v>
      </c>
      <c r="E39" s="80"/>
      <c r="F39" s="81">
        <f t="shared" si="1"/>
        <v>925663.10227338737</v>
      </c>
      <c r="G39" s="81"/>
      <c r="H39" s="81"/>
      <c r="I39" s="81"/>
      <c r="J39" s="82">
        <f t="shared" si="2"/>
        <v>0.1</v>
      </c>
      <c r="K39" s="81"/>
      <c r="L39" s="81">
        <f t="shared" si="3"/>
        <v>25</v>
      </c>
      <c r="M39" s="81"/>
      <c r="N39" s="81"/>
      <c r="O39" s="81"/>
      <c r="P39" s="81">
        <f t="shared" si="4"/>
        <v>109564.57749429741</v>
      </c>
      <c r="Q39" s="81"/>
      <c r="R39" s="81"/>
      <c r="S39" s="81"/>
      <c r="T39" s="82">
        <f t="shared" si="5"/>
        <v>0.01</v>
      </c>
      <c r="U39" s="229"/>
      <c r="V39" s="10"/>
    </row>
    <row r="40" spans="4:22" x14ac:dyDescent="0.3">
      <c r="D40" s="79">
        <f t="shared" si="0"/>
        <v>43942</v>
      </c>
      <c r="E40" s="80"/>
      <c r="F40" s="81">
        <f t="shared" si="1"/>
        <v>1018229.4125007262</v>
      </c>
      <c r="G40" s="81"/>
      <c r="H40" s="81"/>
      <c r="I40" s="81"/>
      <c r="J40" s="82">
        <f t="shared" si="2"/>
        <v>0.1</v>
      </c>
      <c r="K40" s="81"/>
      <c r="L40" s="81">
        <f t="shared" si="3"/>
        <v>26</v>
      </c>
      <c r="M40" s="81"/>
      <c r="N40" s="81"/>
      <c r="O40" s="81"/>
      <c r="P40" s="81">
        <f t="shared" si="4"/>
        <v>110660.22326924038</v>
      </c>
      <c r="Q40" s="81"/>
      <c r="R40" s="81"/>
      <c r="S40" s="81"/>
      <c r="T40" s="82">
        <f t="shared" si="5"/>
        <v>0.01</v>
      </c>
      <c r="U40" s="229"/>
      <c r="V40" s="10"/>
    </row>
    <row r="41" spans="4:22" x14ac:dyDescent="0.3">
      <c r="D41" s="79">
        <f t="shared" si="0"/>
        <v>43943</v>
      </c>
      <c r="E41" s="80"/>
      <c r="F41" s="81">
        <f t="shared" si="1"/>
        <v>1120052.3537507989</v>
      </c>
      <c r="G41" s="81"/>
      <c r="H41" s="81"/>
      <c r="I41" s="81"/>
      <c r="J41" s="82">
        <f t="shared" si="2"/>
        <v>0.1</v>
      </c>
      <c r="K41" s="81"/>
      <c r="L41" s="81">
        <f t="shared" si="3"/>
        <v>27</v>
      </c>
      <c r="M41" s="81"/>
      <c r="N41" s="81"/>
      <c r="O41" s="81"/>
      <c r="P41" s="81">
        <f t="shared" si="4"/>
        <v>111766.82550193278</v>
      </c>
      <c r="Q41" s="81"/>
      <c r="R41" s="81"/>
      <c r="S41" s="81"/>
      <c r="T41" s="82">
        <f t="shared" si="5"/>
        <v>0.01</v>
      </c>
      <c r="U41" s="229"/>
      <c r="V41" s="10"/>
    </row>
    <row r="42" spans="4:22" x14ac:dyDescent="0.3">
      <c r="D42" s="79">
        <f t="shared" si="0"/>
        <v>43944</v>
      </c>
      <c r="E42" s="80"/>
      <c r="F42" s="81">
        <f t="shared" si="1"/>
        <v>1232057.5891258789</v>
      </c>
      <c r="G42" s="81"/>
      <c r="H42" s="81"/>
      <c r="I42" s="81"/>
      <c r="J42" s="82">
        <f t="shared" si="2"/>
        <v>0.1</v>
      </c>
      <c r="K42" s="81"/>
      <c r="L42" s="81">
        <f t="shared" si="3"/>
        <v>28</v>
      </c>
      <c r="M42" s="81"/>
      <c r="N42" s="81"/>
      <c r="O42" s="81"/>
      <c r="P42" s="81">
        <f t="shared" si="4"/>
        <v>112884.4937569521</v>
      </c>
      <c r="Q42" s="81"/>
      <c r="R42" s="81"/>
      <c r="S42" s="81"/>
      <c r="T42" s="82">
        <f t="shared" si="5"/>
        <v>0.01</v>
      </c>
      <c r="U42" s="229"/>
      <c r="V42" s="10"/>
    </row>
    <row r="43" spans="4:22" x14ac:dyDescent="0.3">
      <c r="D43" s="79">
        <f t="shared" si="0"/>
        <v>43945</v>
      </c>
      <c r="E43" s="80"/>
      <c r="F43" s="81">
        <f t="shared" si="1"/>
        <v>1355263.3480384669</v>
      </c>
      <c r="G43" s="81"/>
      <c r="H43" s="81"/>
      <c r="I43" s="81"/>
      <c r="J43" s="82">
        <f t="shared" si="2"/>
        <v>0.1</v>
      </c>
      <c r="K43" s="81"/>
      <c r="L43" s="81">
        <f t="shared" si="3"/>
        <v>29</v>
      </c>
      <c r="M43" s="81"/>
      <c r="N43" s="81"/>
      <c r="O43" s="81"/>
      <c r="P43" s="81">
        <f t="shared" si="4"/>
        <v>114013.33869452162</v>
      </c>
      <c r="Q43" s="81"/>
      <c r="R43" s="81"/>
      <c r="S43" s="81"/>
      <c r="T43" s="82">
        <f t="shared" si="5"/>
        <v>0.01</v>
      </c>
      <c r="U43" s="229"/>
      <c r="V43" s="10"/>
    </row>
    <row r="44" spans="4:22" x14ac:dyDescent="0.3">
      <c r="D44" s="79">
        <f t="shared" si="0"/>
        <v>43946</v>
      </c>
      <c r="E44" s="80"/>
      <c r="F44" s="81">
        <f t="shared" si="1"/>
        <v>1490789.6828423138</v>
      </c>
      <c r="G44" s="81"/>
      <c r="H44" s="81"/>
      <c r="I44" s="81"/>
      <c r="J44" s="82">
        <f t="shared" si="2"/>
        <v>0.1</v>
      </c>
      <c r="K44" s="81"/>
      <c r="L44" s="81">
        <f t="shared" si="3"/>
        <v>30</v>
      </c>
      <c r="M44" s="81"/>
      <c r="N44" s="81"/>
      <c r="O44" s="81"/>
      <c r="P44" s="81">
        <f t="shared" si="4"/>
        <v>115153.47208146684</v>
      </c>
      <c r="Q44" s="81"/>
      <c r="R44" s="81"/>
      <c r="S44" s="81"/>
      <c r="T44" s="82">
        <f t="shared" si="5"/>
        <v>0.01</v>
      </c>
      <c r="U44" s="229"/>
      <c r="V44" s="10"/>
    </row>
    <row r="45" spans="4:22" x14ac:dyDescent="0.3">
      <c r="D45" s="79">
        <f t="shared" si="0"/>
        <v>43947</v>
      </c>
      <c r="E45" s="80"/>
      <c r="F45" s="81">
        <f t="shared" si="1"/>
        <v>1639868.6511265454</v>
      </c>
      <c r="G45" s="81"/>
      <c r="H45" s="81"/>
      <c r="I45" s="81"/>
      <c r="J45" s="82">
        <f t="shared" si="2"/>
        <v>0.1</v>
      </c>
      <c r="K45" s="81"/>
      <c r="L45" s="81">
        <f t="shared" si="3"/>
        <v>31</v>
      </c>
      <c r="M45" s="81"/>
      <c r="N45" s="81"/>
      <c r="O45" s="81"/>
      <c r="P45" s="81">
        <f t="shared" si="4"/>
        <v>116305.00680228151</v>
      </c>
      <c r="Q45" s="81"/>
      <c r="R45" s="81"/>
      <c r="S45" s="81"/>
      <c r="T45" s="82">
        <f t="shared" si="5"/>
        <v>0.01</v>
      </c>
      <c r="U45" s="229"/>
      <c r="V45" s="10"/>
    </row>
    <row r="46" spans="4:22" x14ac:dyDescent="0.3">
      <c r="D46" s="79">
        <f t="shared" si="0"/>
        <v>43948</v>
      </c>
      <c r="E46" s="80"/>
      <c r="F46" s="81">
        <f t="shared" si="1"/>
        <v>1803855.5162392</v>
      </c>
      <c r="G46" s="81"/>
      <c r="H46" s="81"/>
      <c r="I46" s="81"/>
      <c r="J46" s="82">
        <f t="shared" si="2"/>
        <v>0.1</v>
      </c>
      <c r="K46" s="81"/>
      <c r="L46" s="81">
        <f t="shared" si="3"/>
        <v>32</v>
      </c>
      <c r="M46" s="81"/>
      <c r="N46" s="81"/>
      <c r="O46" s="81"/>
      <c r="P46" s="81">
        <f t="shared" si="4"/>
        <v>117468.05687030432</v>
      </c>
      <c r="Q46" s="81"/>
      <c r="R46" s="81"/>
      <c r="S46" s="81"/>
      <c r="T46" s="82">
        <f t="shared" si="5"/>
        <v>0.01</v>
      </c>
      <c r="U46" s="229"/>
      <c r="V46" s="10"/>
    </row>
    <row r="47" spans="4:22" x14ac:dyDescent="0.3">
      <c r="D47" s="79">
        <f t="shared" si="0"/>
        <v>43949</v>
      </c>
      <c r="E47" s="80"/>
      <c r="F47" s="81">
        <f t="shared" si="1"/>
        <v>1984241.0678631202</v>
      </c>
      <c r="G47" s="81"/>
      <c r="H47" s="81"/>
      <c r="I47" s="81"/>
      <c r="J47" s="82">
        <f t="shared" si="2"/>
        <v>0.1</v>
      </c>
      <c r="K47" s="81"/>
      <c r="L47" s="81">
        <f t="shared" si="3"/>
        <v>33</v>
      </c>
      <c r="M47" s="81"/>
      <c r="N47" s="81"/>
      <c r="O47" s="81"/>
      <c r="P47" s="81">
        <f t="shared" si="4"/>
        <v>118642.73743900737</v>
      </c>
      <c r="Q47" s="81"/>
      <c r="R47" s="81"/>
      <c r="S47" s="81"/>
      <c r="T47" s="82">
        <f t="shared" si="5"/>
        <v>0.01</v>
      </c>
      <c r="U47" s="229"/>
      <c r="V47" s="10"/>
    </row>
    <row r="48" spans="4:22" x14ac:dyDescent="0.3">
      <c r="D48" s="79">
        <f t="shared" si="0"/>
        <v>43950</v>
      </c>
      <c r="E48" s="80"/>
      <c r="F48" s="81">
        <f t="shared" si="1"/>
        <v>2182665.1746494323</v>
      </c>
      <c r="G48" s="81"/>
      <c r="H48" s="81"/>
      <c r="I48" s="81"/>
      <c r="J48" s="82">
        <f t="shared" si="2"/>
        <v>0.1</v>
      </c>
      <c r="K48" s="81"/>
      <c r="L48" s="81">
        <f t="shared" si="3"/>
        <v>34</v>
      </c>
      <c r="M48" s="81"/>
      <c r="N48" s="81"/>
      <c r="O48" s="81"/>
      <c r="P48" s="81">
        <f t="shared" si="4"/>
        <v>119829.16481339744</v>
      </c>
      <c r="Q48" s="81"/>
      <c r="R48" s="81"/>
      <c r="S48" s="81"/>
      <c r="T48" s="82">
        <f t="shared" si="5"/>
        <v>0.01</v>
      </c>
      <c r="U48" s="229"/>
      <c r="V48" s="10"/>
    </row>
    <row r="49" spans="4:22" x14ac:dyDescent="0.3">
      <c r="D49" s="79">
        <f t="shared" si="0"/>
        <v>43951</v>
      </c>
      <c r="E49" s="80"/>
      <c r="F49" s="81">
        <f t="shared" si="1"/>
        <v>2400931.6921143755</v>
      </c>
      <c r="G49" s="81"/>
      <c r="H49" s="81"/>
      <c r="I49" s="81"/>
      <c r="J49" s="82">
        <f t="shared" si="2"/>
        <v>0.1</v>
      </c>
      <c r="K49" s="81"/>
      <c r="L49" s="81">
        <f t="shared" si="3"/>
        <v>35</v>
      </c>
      <c r="M49" s="81"/>
      <c r="N49" s="81"/>
      <c r="O49" s="81"/>
      <c r="P49" s="81">
        <f t="shared" si="4"/>
        <v>121027.45646153142</v>
      </c>
      <c r="Q49" s="81"/>
      <c r="R49" s="81"/>
      <c r="S49" s="81"/>
      <c r="T49" s="82">
        <f t="shared" si="5"/>
        <v>0.01</v>
      </c>
      <c r="U49" s="229"/>
      <c r="V49" s="10"/>
    </row>
    <row r="50" spans="4:22" x14ac:dyDescent="0.3">
      <c r="D50" s="79">
        <f t="shared" si="0"/>
        <v>43952</v>
      </c>
      <c r="E50" s="80"/>
      <c r="F50" s="81">
        <f t="shared" ref="F50:F59" si="6">+F49*(1+J49)</f>
        <v>2641024.8613258135</v>
      </c>
      <c r="G50" s="81"/>
      <c r="H50" s="81"/>
      <c r="I50" s="81"/>
      <c r="J50" s="82">
        <f t="shared" si="2"/>
        <v>0.1</v>
      </c>
      <c r="K50" s="81"/>
      <c r="L50" s="81">
        <f t="shared" si="3"/>
        <v>36</v>
      </c>
      <c r="M50" s="81"/>
      <c r="N50" s="81"/>
      <c r="O50" s="81"/>
      <c r="P50" s="81">
        <f t="shared" ref="P50:P59" si="7">+P49*(1+T49)</f>
        <v>122237.73102614674</v>
      </c>
      <c r="Q50" s="81"/>
      <c r="R50" s="81"/>
      <c r="S50" s="81"/>
      <c r="T50" s="82">
        <f t="shared" si="5"/>
        <v>0.01</v>
      </c>
      <c r="U50" s="229"/>
      <c r="V50" s="10"/>
    </row>
    <row r="51" spans="4:22" x14ac:dyDescent="0.3">
      <c r="D51" s="79">
        <f t="shared" si="0"/>
        <v>43953</v>
      </c>
      <c r="E51" s="80"/>
      <c r="F51" s="81">
        <f t="shared" si="6"/>
        <v>2905127.3474583952</v>
      </c>
      <c r="G51" s="81"/>
      <c r="H51" s="81"/>
      <c r="I51" s="81"/>
      <c r="J51" s="82">
        <f t="shared" si="2"/>
        <v>0.1</v>
      </c>
      <c r="K51" s="81"/>
      <c r="L51" s="81">
        <f t="shared" si="3"/>
        <v>37</v>
      </c>
      <c r="M51" s="81"/>
      <c r="N51" s="81"/>
      <c r="O51" s="81"/>
      <c r="P51" s="81">
        <f t="shared" si="7"/>
        <v>123460.1083364082</v>
      </c>
      <c r="Q51" s="81"/>
      <c r="R51" s="81"/>
      <c r="S51" s="81"/>
      <c r="T51" s="82">
        <f t="shared" si="5"/>
        <v>0.01</v>
      </c>
      <c r="U51" s="229"/>
      <c r="V51" s="10"/>
    </row>
    <row r="52" spans="4:22" x14ac:dyDescent="0.3">
      <c r="D52" s="79">
        <f t="shared" si="0"/>
        <v>43954</v>
      </c>
      <c r="E52" s="80"/>
      <c r="F52" s="81">
        <f t="shared" si="6"/>
        <v>3195640.0822042348</v>
      </c>
      <c r="G52" s="81"/>
      <c r="H52" s="81"/>
      <c r="I52" s="81"/>
      <c r="J52" s="82">
        <f t="shared" si="2"/>
        <v>0.1</v>
      </c>
      <c r="K52" s="81"/>
      <c r="L52" s="81">
        <f t="shared" si="3"/>
        <v>38</v>
      </c>
      <c r="M52" s="81"/>
      <c r="N52" s="81"/>
      <c r="O52" s="81"/>
      <c r="P52" s="81">
        <f t="shared" si="7"/>
        <v>124694.70941977229</v>
      </c>
      <c r="Q52" s="81"/>
      <c r="R52" s="81"/>
      <c r="S52" s="81"/>
      <c r="T52" s="82">
        <f t="shared" si="5"/>
        <v>0.01</v>
      </c>
      <c r="U52" s="229"/>
      <c r="V52" s="10"/>
    </row>
    <row r="53" spans="4:22" x14ac:dyDescent="0.3">
      <c r="D53" s="79">
        <f t="shared" si="0"/>
        <v>43955</v>
      </c>
      <c r="E53" s="80"/>
      <c r="F53" s="81">
        <f t="shared" si="6"/>
        <v>3515204.0904246587</v>
      </c>
      <c r="G53" s="81"/>
      <c r="H53" s="81"/>
      <c r="I53" s="81"/>
      <c r="J53" s="82">
        <f t="shared" si="2"/>
        <v>0.1</v>
      </c>
      <c r="K53" s="81"/>
      <c r="L53" s="81">
        <f t="shared" si="3"/>
        <v>39</v>
      </c>
      <c r="M53" s="81"/>
      <c r="N53" s="81"/>
      <c r="O53" s="81"/>
      <c r="P53" s="81">
        <f t="shared" si="7"/>
        <v>125941.65651397001</v>
      </c>
      <c r="Q53" s="81"/>
      <c r="R53" s="81"/>
      <c r="S53" s="81"/>
      <c r="T53" s="82">
        <f t="shared" si="5"/>
        <v>0.01</v>
      </c>
      <c r="U53" s="229"/>
      <c r="V53" s="10"/>
    </row>
    <row r="54" spans="4:22" x14ac:dyDescent="0.3">
      <c r="D54" s="79">
        <f t="shared" si="0"/>
        <v>43956</v>
      </c>
      <c r="E54" s="80"/>
      <c r="F54" s="81">
        <f t="shared" si="6"/>
        <v>3866724.4994671247</v>
      </c>
      <c r="G54" s="81"/>
      <c r="H54" s="81"/>
      <c r="I54" s="81"/>
      <c r="J54" s="82">
        <f t="shared" si="2"/>
        <v>0.1</v>
      </c>
      <c r="K54" s="81"/>
      <c r="L54" s="81">
        <f t="shared" si="3"/>
        <v>40</v>
      </c>
      <c r="M54" s="81"/>
      <c r="N54" s="81"/>
      <c r="O54" s="81"/>
      <c r="P54" s="81">
        <f t="shared" si="7"/>
        <v>127201.07307910972</v>
      </c>
      <c r="Q54" s="81"/>
      <c r="R54" s="81"/>
      <c r="S54" s="81"/>
      <c r="T54" s="82">
        <f t="shared" si="5"/>
        <v>0.01</v>
      </c>
      <c r="U54" s="229"/>
      <c r="V54" s="10"/>
    </row>
    <row r="55" spans="4:22" x14ac:dyDescent="0.3">
      <c r="D55" s="79">
        <f t="shared" si="0"/>
        <v>43957</v>
      </c>
      <c r="E55" s="80"/>
      <c r="F55" s="81">
        <f t="shared" si="6"/>
        <v>4253396.9494138379</v>
      </c>
      <c r="G55" s="81"/>
      <c r="H55" s="81"/>
      <c r="I55" s="81"/>
      <c r="J55" s="82">
        <f t="shared" si="2"/>
        <v>0.1</v>
      </c>
      <c r="K55" s="81"/>
      <c r="L55" s="81">
        <f t="shared" si="3"/>
        <v>41</v>
      </c>
      <c r="M55" s="81"/>
      <c r="N55" s="81"/>
      <c r="O55" s="81"/>
      <c r="P55" s="81">
        <f t="shared" si="7"/>
        <v>128473.08380990081</v>
      </c>
      <c r="Q55" s="81"/>
      <c r="R55" s="81"/>
      <c r="S55" s="81"/>
      <c r="T55" s="82">
        <f t="shared" si="5"/>
        <v>0.01</v>
      </c>
      <c r="U55" s="229"/>
      <c r="V55" s="10"/>
    </row>
    <row r="56" spans="4:22" x14ac:dyDescent="0.3">
      <c r="D56" s="79">
        <f t="shared" si="0"/>
        <v>43958</v>
      </c>
      <c r="E56" s="80"/>
      <c r="F56" s="81">
        <f t="shared" si="6"/>
        <v>4678736.6443552217</v>
      </c>
      <c r="G56" s="81"/>
      <c r="H56" s="81"/>
      <c r="I56" s="81"/>
      <c r="J56" s="82">
        <f t="shared" si="2"/>
        <v>0.1</v>
      </c>
      <c r="K56" s="81"/>
      <c r="L56" s="81">
        <f t="shared" si="3"/>
        <v>42</v>
      </c>
      <c r="M56" s="81"/>
      <c r="N56" s="81"/>
      <c r="O56" s="81"/>
      <c r="P56" s="81">
        <f t="shared" si="7"/>
        <v>129757.81464799982</v>
      </c>
      <c r="Q56" s="81"/>
      <c r="R56" s="81"/>
      <c r="S56" s="81"/>
      <c r="T56" s="82">
        <f t="shared" si="5"/>
        <v>0.01</v>
      </c>
      <c r="U56" s="229"/>
      <c r="V56" s="10"/>
    </row>
    <row r="57" spans="4:22" x14ac:dyDescent="0.3">
      <c r="D57" s="79">
        <f t="shared" si="0"/>
        <v>43959</v>
      </c>
      <c r="E57" s="80"/>
      <c r="F57" s="81">
        <f t="shared" si="6"/>
        <v>5146610.3087907443</v>
      </c>
      <c r="G57" s="81"/>
      <c r="H57" s="81"/>
      <c r="I57" s="81"/>
      <c r="J57" s="82">
        <f t="shared" si="2"/>
        <v>0.1</v>
      </c>
      <c r="K57" s="81"/>
      <c r="L57" s="81">
        <f t="shared" si="3"/>
        <v>43</v>
      </c>
      <c r="M57" s="81"/>
      <c r="N57" s="81"/>
      <c r="O57" s="81"/>
      <c r="P57" s="81">
        <f t="shared" si="7"/>
        <v>131055.39279447982</v>
      </c>
      <c r="Q57" s="81"/>
      <c r="R57" s="81"/>
      <c r="S57" s="81"/>
      <c r="T57" s="82">
        <f t="shared" si="5"/>
        <v>0.01</v>
      </c>
      <c r="U57" s="229"/>
      <c r="V57" s="10"/>
    </row>
    <row r="58" spans="4:22" x14ac:dyDescent="0.3">
      <c r="D58" s="79">
        <f t="shared" si="0"/>
        <v>43960</v>
      </c>
      <c r="E58" s="80"/>
      <c r="F58" s="81">
        <f t="shared" si="6"/>
        <v>5661271.339669819</v>
      </c>
      <c r="G58" s="81"/>
      <c r="H58" s="81"/>
      <c r="I58" s="81"/>
      <c r="J58" s="82">
        <f t="shared" si="2"/>
        <v>0.1</v>
      </c>
      <c r="K58" s="81"/>
      <c r="L58" s="81">
        <f t="shared" si="3"/>
        <v>44</v>
      </c>
      <c r="M58" s="81"/>
      <c r="N58" s="81"/>
      <c r="O58" s="81"/>
      <c r="P58" s="81">
        <f t="shared" si="7"/>
        <v>132365.94672242462</v>
      </c>
      <c r="Q58" s="81"/>
      <c r="R58" s="81"/>
      <c r="S58" s="81"/>
      <c r="T58" s="82">
        <f t="shared" si="5"/>
        <v>0.01</v>
      </c>
      <c r="U58" s="229"/>
      <c r="V58" s="10"/>
    </row>
    <row r="59" spans="4:22" x14ac:dyDescent="0.3">
      <c r="D59" s="79">
        <f t="shared" si="0"/>
        <v>43961</v>
      </c>
      <c r="E59" s="80"/>
      <c r="F59" s="81">
        <f t="shared" si="6"/>
        <v>6227398.4736368014</v>
      </c>
      <c r="G59" s="81"/>
      <c r="H59" s="81"/>
      <c r="I59" s="81"/>
      <c r="J59" s="82">
        <f t="shared" si="2"/>
        <v>0.1</v>
      </c>
      <c r="K59" s="81"/>
      <c r="L59" s="81">
        <f t="shared" si="3"/>
        <v>45</v>
      </c>
      <c r="M59" s="81"/>
      <c r="N59" s="81"/>
      <c r="O59" s="81"/>
      <c r="P59" s="81">
        <f t="shared" si="7"/>
        <v>133689.60618964885</v>
      </c>
      <c r="Q59" s="81"/>
      <c r="R59" s="81"/>
      <c r="S59" s="81"/>
      <c r="T59" s="82">
        <f t="shared" si="5"/>
        <v>0.01</v>
      </c>
      <c r="U59" s="229"/>
      <c r="V59" s="10"/>
    </row>
    <row r="60" spans="4:22" ht="15" thickBot="1" x14ac:dyDescent="0.35">
      <c r="D60" s="279">
        <f t="shared" si="0"/>
        <v>43962</v>
      </c>
      <c r="E60" s="83"/>
      <c r="F60" s="84"/>
      <c r="G60" s="84"/>
      <c r="H60" s="84"/>
      <c r="I60" s="84"/>
      <c r="J60" s="85"/>
      <c r="K60" s="84"/>
      <c r="L60" s="84"/>
      <c r="M60" s="84"/>
      <c r="N60" s="84"/>
      <c r="O60" s="84"/>
      <c r="P60" s="84"/>
      <c r="Q60" s="84"/>
      <c r="R60" s="84"/>
      <c r="S60" s="84"/>
      <c r="T60" s="85"/>
      <c r="U60" s="230"/>
      <c r="V60" s="10"/>
    </row>
    <row r="61" spans="4:22" x14ac:dyDescent="0.3">
      <c r="D61" s="87"/>
      <c r="F61" s="5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10"/>
      <c r="V61" s="10"/>
    </row>
    <row r="62" spans="4:22" x14ac:dyDescent="0.3">
      <c r="D62" s="1"/>
      <c r="F62" s="55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277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Mike Keresman</cp:lastModifiedBy>
  <cp:lastPrinted>2020-07-20T10:09:14Z</cp:lastPrinted>
  <dcterms:created xsi:type="dcterms:W3CDTF">2020-03-28T00:34:23Z</dcterms:created>
  <dcterms:modified xsi:type="dcterms:W3CDTF">2020-08-19T10:41:20Z</dcterms:modified>
</cp:coreProperties>
</file>